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485" tabRatio="889" firstSheet="4" activeTab="11"/>
  </bookViews>
  <sheets>
    <sheet name="ア 処理現況１" sheetId="1" r:id="rId1"/>
    <sheet name="ア 処理現況２" sheetId="2" r:id="rId2"/>
    <sheet name="ア 処理現況３" sheetId="3" r:id="rId3"/>
    <sheet name="ア 処理現況４" sheetId="4" r:id="rId4"/>
    <sheet name="イ 排出 総括表" sheetId="5" r:id="rId5"/>
    <sheet name="イ 生活　排出収集形態別" sheetId="6" r:id="rId6"/>
    <sheet name="イ 事業　排出収集形態別" sheetId="7" r:id="rId7"/>
    <sheet name="ウ 中間処理" sheetId="8" r:id="rId8"/>
    <sheet name="ウ 最終処分" sheetId="9" r:id="rId9"/>
    <sheet name="ウ 資源 計" sheetId="10" r:id="rId10"/>
    <sheet name="ウ直接資源化・集団回収内訳" sheetId="11" r:id="rId11"/>
    <sheet name="ウ施設処理資源化量内訳" sheetId="12" r:id="rId12"/>
  </sheets>
  <definedNames>
    <definedName name="_xlnm.Print_Area" localSheetId="0">'ア 処理現況１'!$A$1:$J$23</definedName>
    <definedName name="_xlnm.Print_Area" localSheetId="1">'ア 処理現況２'!$B$1:$R$50</definedName>
    <definedName name="_xlnm.Print_Area" localSheetId="2">'ア 処理現況３'!$A$2:$M$58</definedName>
    <definedName name="_xlnm.Print_Area" localSheetId="3">'ア 処理現況４'!$B$2:$Q$74</definedName>
    <definedName name="_xlnm.Print_Area" localSheetId="6">'イ 事業　排出収集形態別'!$A$1:$AE$64</definedName>
    <definedName name="_xlnm.Print_Area" localSheetId="5">'イ 生活　排出収集形態別'!$A$1:$AE$64</definedName>
    <definedName name="_xlnm.Print_Area" localSheetId="4">'イ 排出 総括表'!$A$1:$W$66</definedName>
    <definedName name="_xlnm.Print_Area" localSheetId="8">'ウ 最終処分'!$A$1:$Q$71</definedName>
    <definedName name="_xlnm.Print_Area" localSheetId="7">'ウ 中間処理'!$A$1:$S$74</definedName>
    <definedName name="_xlnm.Print_Area" localSheetId="11">'ウ施設処理資源化量内訳'!$A$1:$V$64</definedName>
    <definedName name="_xlnm.Print_Area" localSheetId="10">'ウ直接資源化・集団回収内訳'!$A$1:$Z$64</definedName>
  </definedNames>
  <calcPr fullCalcOnLoad="1"/>
</workbook>
</file>

<file path=xl/sharedStrings.xml><?xml version="1.0" encoding="utf-8"?>
<sst xmlns="http://schemas.openxmlformats.org/spreadsheetml/2006/main" count="1032" uniqueCount="349">
  <si>
    <t>最終処分量（自区内処理＋自区外処理［県内処理］＋自区外処理［県外処理］）</t>
  </si>
  <si>
    <t>内　訳</t>
  </si>
  <si>
    <t>ごみ堆肥化施設</t>
  </si>
  <si>
    <t>［排出量］</t>
  </si>
  <si>
    <t>その他</t>
  </si>
  <si>
    <t>自家処理量</t>
  </si>
  <si>
    <t>集団回収量</t>
  </si>
  <si>
    <t>　　　「その他の施設」とは、最終処分を目的とした減容化施設等をいう。</t>
  </si>
  <si>
    <t>（注）収集ごみの「その他」とは、危険ごみ等をいう。</t>
  </si>
  <si>
    <t>（焼却以外の中間処理施設）</t>
  </si>
  <si>
    <t>（直接資源化）</t>
  </si>
  <si>
    <t>排　出　形　態</t>
  </si>
  <si>
    <t>　排出者が直接搬入</t>
  </si>
  <si>
    <t>（イ）ごみ排出の状況</t>
  </si>
  <si>
    <t>（ウ）ごみ処理の状況</t>
  </si>
  <si>
    <t>　自家処理</t>
  </si>
  <si>
    <t xml:space="preserve"> 　　　　「総資源化量」とは、「資源化量」と「集団回収量」の合計値をいう。</t>
  </si>
  <si>
    <t>　 （注）「資源化量」とは、「施設処理に伴う資源化量」と「直接資源化量」の合計値をいう。</t>
  </si>
  <si>
    <t>・</t>
  </si>
  <si>
    <t>処理しなければならないごみの一人一日当たりの量</t>
  </si>
  <si>
    <t>処理しなければならないごみの量</t>
  </si>
  <si>
    <t>　　　　 「リサイクル率」＝（「総資源化量」／（「収集ごみ量」＋「直接搬入ごみ量」＋「集団回収量」））×１００</t>
  </si>
  <si>
    <t>　集団回収</t>
  </si>
  <si>
    <t>　市町村・組合による収集</t>
  </si>
  <si>
    <t>　直営による収集</t>
  </si>
  <si>
    <t>　委託業者による収集</t>
  </si>
  <si>
    <t>　許可業者による収集</t>
  </si>
  <si>
    <t>計</t>
  </si>
  <si>
    <t>市町村名</t>
  </si>
  <si>
    <t>リサイクル率</t>
  </si>
  <si>
    <t>粗大ごみ</t>
  </si>
  <si>
    <t>県合計</t>
  </si>
  <si>
    <t>(注１)</t>
  </si>
  <si>
    <t>(注２)</t>
  </si>
  <si>
    <t>可燃ごみ</t>
  </si>
  <si>
    <t>不燃ごみ</t>
  </si>
  <si>
    <t>資源ごみ</t>
  </si>
  <si>
    <t>直営</t>
  </si>
  <si>
    <t>委託</t>
  </si>
  <si>
    <t>総資源化量</t>
  </si>
  <si>
    <t>計画収集人口</t>
  </si>
  <si>
    <t>自家処理人口</t>
  </si>
  <si>
    <t>　　イ　直接埋立率</t>
  </si>
  <si>
    <t>　　ア　最終処分量</t>
  </si>
  <si>
    <t>　直接埋立率（％）</t>
  </si>
  <si>
    <t>直接埋立量</t>
  </si>
  <si>
    <t>（２）一般廃棄物最終処分の状況</t>
  </si>
  <si>
    <t>　　ウ　一般廃棄物最終処分場の残余容量</t>
  </si>
  <si>
    <t>　　エ　一般廃棄物最終処分場の残余年数　</t>
  </si>
  <si>
    <t>　残余年数（年）</t>
  </si>
  <si>
    <t>許可</t>
  </si>
  <si>
    <t>直接搬入ごみ</t>
  </si>
  <si>
    <t>ウ　ごみ処理の状況</t>
  </si>
  <si>
    <t>直接資源化</t>
  </si>
  <si>
    <t>小　計</t>
  </si>
  <si>
    <t>焼却施設</t>
  </si>
  <si>
    <t>（ウ）資源化の状況</t>
  </si>
  <si>
    <t>ア　概況</t>
  </si>
  <si>
    <t>（ア）愛知県の行政区域人口・面積</t>
  </si>
  <si>
    <t>１　廃棄物処理の状況</t>
  </si>
  <si>
    <t>面　積</t>
  </si>
  <si>
    <t>人　口</t>
  </si>
  <si>
    <t>人</t>
  </si>
  <si>
    <t>計画収集人口等</t>
  </si>
  <si>
    <t>　計画処理区域内面積</t>
  </si>
  <si>
    <t>構成比（％）</t>
  </si>
  <si>
    <t>　計画処理区域内人口</t>
  </si>
  <si>
    <t>　計画収集人口</t>
  </si>
  <si>
    <t>　自家処理人口</t>
  </si>
  <si>
    <t>t/年</t>
  </si>
  <si>
    <t>［処理量］</t>
  </si>
  <si>
    <t>収集ごみ</t>
  </si>
  <si>
    <t>（直接埋立）</t>
  </si>
  <si>
    <t>最終処分場</t>
  </si>
  <si>
    <t>（焼却残渣の埋立）</t>
  </si>
  <si>
    <t>（焼却）</t>
  </si>
  <si>
    <t>焼　却　施　設</t>
  </si>
  <si>
    <t>（処理残渣の焼却）</t>
  </si>
  <si>
    <t>（処理残渣の埋立）</t>
  </si>
  <si>
    <t>粗大ごみ処理施設</t>
  </si>
  <si>
    <t>ごみ燃料化施設</t>
  </si>
  <si>
    <t>集団回収</t>
  </si>
  <si>
    <t>自家処理</t>
  </si>
  <si>
    <t>（エ）ごみ処理事業における指標</t>
  </si>
  <si>
    <t>１　ごみの排出量</t>
  </si>
  <si>
    <t>年度</t>
  </si>
  <si>
    <t>元</t>
  </si>
  <si>
    <t>２　ごみ処理状況</t>
  </si>
  <si>
    <t>（１）ごみ減量処理率及びリサイクル率</t>
  </si>
  <si>
    <t>収集ごみ量＋直接搬入ごみ量</t>
  </si>
  <si>
    <t>集団回収量</t>
  </si>
  <si>
    <t>・直接焼却率</t>
  </si>
  <si>
    <t>資源化量＋集団回収量</t>
  </si>
  <si>
    <t>　 　　　数値は四捨五入のため合計値が一致しないことがある。</t>
  </si>
  <si>
    <t>収集ごみ量＋直接搬入ごみ量＋集団回収量</t>
  </si>
  <si>
    <t>３　ごみ処理経費の状況</t>
  </si>
  <si>
    <t>（１）ごみ処理経費</t>
  </si>
  <si>
    <t>（２）一人当たりのごみ処理経費</t>
  </si>
  <si>
    <t>ｋ㎡</t>
  </si>
  <si>
    <t>ｋ㎡</t>
  </si>
  <si>
    <t>（施設処理に伴う資源化）</t>
  </si>
  <si>
    <t>（資源化）</t>
  </si>
  <si>
    <t>　　　「処理しなければならないごみの一人一日当たりの量」＝（「処理しなければならないごみの量」×1,000,000）／（「総人口」×365）</t>
  </si>
  <si>
    <t>資源化量</t>
  </si>
  <si>
    <t>（単位：ｔ／年）</t>
  </si>
  <si>
    <t>リサイ
クル率
(％)</t>
  </si>
  <si>
    <t>　</t>
  </si>
  <si>
    <t>　　イ　リサイクル率</t>
  </si>
  <si>
    <t>　　ア　経費（合計）</t>
  </si>
  <si>
    <t>　　イ　建設・改良費</t>
  </si>
  <si>
    <t>　　ウ　処理及び維持管理費</t>
  </si>
  <si>
    <t>　　エ　その他の経費</t>
  </si>
  <si>
    <t>　　ア　一人当たりの経費（合計）</t>
  </si>
  <si>
    <t>　　イ　一人当たりの建設・改良費</t>
  </si>
  <si>
    <t>　　ウ　一人当たりの処理及び維持管理費</t>
  </si>
  <si>
    <t>　　エ　一人当たりのその他の経費</t>
  </si>
  <si>
    <t>　　ア　ごみ減量処理率</t>
  </si>
  <si>
    <t>　ごみ減量処理率（％）</t>
  </si>
  <si>
    <t>＝</t>
  </si>
  <si>
    <t>×１００</t>
  </si>
  <si>
    <t>＝</t>
  </si>
  <si>
    <t>　リサイクル率（％）</t>
  </si>
  <si>
    <t>×１００</t>
  </si>
  <si>
    <t>　外国人人口</t>
  </si>
  <si>
    <t>外国人人口</t>
  </si>
  <si>
    <t>　　　　 「その他の経費」とは、第三セクターへの拠出金等、他の項目に属さない経費をいう。</t>
  </si>
  <si>
    <t>　 （注）「ごみ処理経費」については、起債償還額にかかるものは除く。</t>
  </si>
  <si>
    <t>総　計</t>
  </si>
  <si>
    <t>小　計</t>
  </si>
  <si>
    <t>収集ごみ量（可燃ごみ＋不燃ごみ＋資源ごみ＋その他＋粗大ごみ）</t>
  </si>
  <si>
    <t>直接搬入
ごみ量</t>
  </si>
  <si>
    <t>弥富市</t>
  </si>
  <si>
    <t>粗大
ごみ量</t>
  </si>
  <si>
    <t>資源
ごみ量</t>
  </si>
  <si>
    <t>不燃
ごみ量</t>
  </si>
  <si>
    <t>可燃
ごみ量</t>
  </si>
  <si>
    <t>総人口</t>
  </si>
  <si>
    <t>処理しなければならないごみの一人一日当たりの量
(g/人･日)</t>
  </si>
  <si>
    <t>その他
ごみ量</t>
  </si>
  <si>
    <t>直接焼却量＋直接焼却以外の中間処理量</t>
  </si>
  <si>
    <t xml:space="preserve"> 直接焼却率＋直接焼却以外の中間処理率</t>
  </si>
  <si>
    <t>・直接焼却以外の中間処理率</t>
  </si>
  <si>
    <t>処理しなければならないごみの一人一日当たりの量</t>
  </si>
  <si>
    <t>自区外処理［県外処理］</t>
  </si>
  <si>
    <t>収集ごみ量</t>
  </si>
  <si>
    <t>直接
搬入
ごみ量</t>
  </si>
  <si>
    <t>自　家
処理量</t>
  </si>
  <si>
    <t>集　団
回収量</t>
  </si>
  <si>
    <t>　 （注１）「ごみの総排出量」とは、「収集ごみ量」、「直接搬入ごみ量」、「自家処理量」、「集団回収量」の合計値をいう。</t>
  </si>
  <si>
    <t>　 （注２）「人口」の定義について、平成19年度から住民基本台帳人口に外国人登録人口を含めている。</t>
  </si>
  <si>
    <t>一人一日当たりのごみ排出量</t>
  </si>
  <si>
    <t>最終処分量</t>
  </si>
  <si>
    <t>総資源化</t>
  </si>
  <si>
    <t>　 　　　「資源化量」と「集団回収量」の合計値を、「総資源化量」という。</t>
  </si>
  <si>
    <t>ごみの総排出量と最終処分量の経年変化</t>
  </si>
  <si>
    <t>総資源化量とリサイクル率の経年変化</t>
  </si>
  <si>
    <t>総資源化量</t>
  </si>
  <si>
    <t>ごみ
堆肥化
施設</t>
  </si>
  <si>
    <t>ごみ
燃料化
施設</t>
  </si>
  <si>
    <t>粗大ごみ
処理施設</t>
  </si>
  <si>
    <t>その他
の施設</t>
  </si>
  <si>
    <t>その他の
資源化等
を行う
施設</t>
  </si>
  <si>
    <t>（注）「粗大ごみ処理施設」とは、粗大ごみを対象に破砕、圧縮等の処理及び有価物の選別を行う施設をいう。</t>
  </si>
  <si>
    <t>　　　「その他の施設」とは、資源化を目的とせず最終処分のための破砕、減容化等を行う施設をいう。</t>
  </si>
  <si>
    <t>　　　「ごみ堆肥化施設」とは、竪型多段式、横型箱式等原料の移送・攪拌が機械化され、ごみ堆肥化を行う施設をいう。</t>
  </si>
  <si>
    <t>　　　「ごみ燃料化施設」とは、固形化等により、ごみ燃料化を行う施設をいう。</t>
  </si>
  <si>
    <t>総計（総排出量）</t>
  </si>
  <si>
    <t>総排出量</t>
  </si>
  <si>
    <t>総排出量（収集ごみ量＋直接搬入ごみ量＋自家処理量＋集団回収量）</t>
  </si>
  <si>
    <t>　　　「リサイクル率」＝（（「資源化量」＋「集団回収量」）／（「収集ごみ量」＋「直接搬入ごみ量」＋「集団回収量」））×１００</t>
  </si>
  <si>
    <t>処理しなければならないごみの量
(ｔ／年)</t>
  </si>
  <si>
    <t>弥富市</t>
  </si>
  <si>
    <t>直接
資源化量</t>
  </si>
  <si>
    <t>集団
回収量</t>
  </si>
  <si>
    <t>ごみ堆肥化施設</t>
  </si>
  <si>
    <t>その他の資源化等を行う施設</t>
  </si>
  <si>
    <t>イ　ごみ排出の状況</t>
  </si>
  <si>
    <t>残余容量（m3）</t>
  </si>
  <si>
    <t>埋立容量（覆土を含む）（m3/年度）</t>
  </si>
  <si>
    <t>施設処理に伴う資源化量</t>
  </si>
  <si>
    <t>ごみの総排出量</t>
  </si>
  <si>
    <t>　　　　 「リサイクル率」＝（（「資源化量」＋「集団回収量」）／（「収集ごみ量」＋「直接搬入ごみ量」＋「集団回収量」））×１００</t>
  </si>
  <si>
    <t>可燃ごみ</t>
  </si>
  <si>
    <t>不燃ごみ</t>
  </si>
  <si>
    <t>資源ごみ</t>
  </si>
  <si>
    <t>その他</t>
  </si>
  <si>
    <t>粗大ごみ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</si>
  <si>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</si>
  <si>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</si>
  <si>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</si>
  <si>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</si>
  <si>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</si>
  <si>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</si>
  <si>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</si>
  <si>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</si>
  <si>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</si>
  <si>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</si>
  <si>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</si>
  <si>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</si>
  <si>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</si>
  <si>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</si>
  <si>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</si>
  <si>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</si>
  <si>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</si>
  <si>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</si>
  <si>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</si>
  <si>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</si>
  <si>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</si>
  <si>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</si>
  <si>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</si>
  <si>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</si>
  <si>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</si>
  <si>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</si>
  <si>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</si>
  <si>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</si>
  <si>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</si>
  <si>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</si>
  <si>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</si>
  <si>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</si>
  <si>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</si>
  <si>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</si>
  <si>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東郷町</t>
  </si>
  <si>
    <t>長久手町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</si>
  <si>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</si>
  <si>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</si>
  <si>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</si>
  <si>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</si>
  <si>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</si>
  <si>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</si>
  <si>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</si>
  <si>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</si>
  <si>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</si>
  <si>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</si>
  <si>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</si>
  <si>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</si>
  <si>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</si>
  <si>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</si>
  <si>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</si>
  <si>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設楽町</t>
  </si>
  <si>
    <t>東栄町</t>
  </si>
  <si>
    <t>豊根村</t>
  </si>
  <si>
    <t>その他の資源化等を行う施設</t>
  </si>
  <si>
    <t>その他の施設</t>
  </si>
  <si>
    <t>直接焼却量</t>
  </si>
  <si>
    <t>中間処理量（直接焼却量＋焼却以外の中間処理量）</t>
  </si>
  <si>
    <t>総　計</t>
  </si>
  <si>
    <t>　　　　　数値は四捨五入のため合計値が一致しないことがある。</t>
  </si>
  <si>
    <t>　 （注）「資源化量」とは、「施設処理に伴う資源化量」と「直接資源化量」の合計値をいう。</t>
  </si>
  <si>
    <t>焼却処理量（直接焼却量＋焼却以外の中間処理施設からの搬入量）</t>
  </si>
  <si>
    <t>（ア）中間処理１／２</t>
  </si>
  <si>
    <t>（ア）中間処理２／２</t>
  </si>
  <si>
    <t>焼却以外の中間処理量</t>
  </si>
  <si>
    <t>焼却以外の中間処理施設からの搬入量（処理残渣の焼却量）</t>
  </si>
  <si>
    <t>　ａ　合計１／２</t>
  </si>
  <si>
    <t>　ａ　合計２／２</t>
  </si>
  <si>
    <t>左記のごみの一人一日当たりの量
(g/人･日)</t>
  </si>
  <si>
    <t>（イ）最終処分１／２</t>
  </si>
  <si>
    <t>（イ）最終処分２／２</t>
  </si>
  <si>
    <t>総　計</t>
  </si>
  <si>
    <t>直接埋立</t>
  </si>
  <si>
    <t>焼却残渣の埋立</t>
  </si>
  <si>
    <t>焼却以外の中間処理残渣の埋立</t>
  </si>
  <si>
    <t>自区内処理</t>
  </si>
  <si>
    <t>自区外処理［県内処理］</t>
  </si>
  <si>
    <t>みよし市</t>
  </si>
  <si>
    <t>あま市</t>
  </si>
  <si>
    <t>大治町</t>
  </si>
  <si>
    <t>人口</t>
  </si>
  <si>
    <t>混合</t>
  </si>
  <si>
    <t>可燃</t>
  </si>
  <si>
    <t>不燃</t>
  </si>
  <si>
    <t>資源</t>
  </si>
  <si>
    <t>その他</t>
  </si>
  <si>
    <t>粗大</t>
  </si>
  <si>
    <t>生活系収集ごみ量（可燃ごみ＋不燃ごみ＋資源ごみ＋その他＋粗大ごみ）＋直接搬入ごみ量</t>
  </si>
  <si>
    <t>みよし市</t>
  </si>
  <si>
    <t>あま市</t>
  </si>
  <si>
    <t>事業系収集ごみ量（可燃ごみ＋不燃ごみ＋資源ごみ＋その他＋粗大ごみ）＋直接搬入ごみ量</t>
  </si>
  <si>
    <t>（イ）(生活系)収集形態別ごみ量</t>
  </si>
  <si>
    <t>（ウ）(事業系)収集形態別ごみ量</t>
  </si>
  <si>
    <t>ごみ
飼料化施設</t>
  </si>
  <si>
    <t>ごみ飼料化施設</t>
  </si>
  <si>
    <t>削減率</t>
  </si>
  <si>
    <t>（前年度　0.8％）</t>
  </si>
  <si>
    <t>ごみ飼料化施設</t>
  </si>
  <si>
    <t>計画収集
人口</t>
  </si>
  <si>
    <t>（ア）総括表</t>
  </si>
  <si>
    <t>（前年度　2,669千t/年）</t>
  </si>
  <si>
    <t>（前年度　980ｇ/人･日）</t>
  </si>
  <si>
    <t>（前年度　2,155千t/年）</t>
  </si>
  <si>
    <t>（前年度　792ｇ/人･日）</t>
  </si>
  <si>
    <t>（前年度　77.5％）</t>
  </si>
  <si>
    <t>（前年度　16.1％）</t>
  </si>
  <si>
    <t>（前年度　93.6％）</t>
  </si>
  <si>
    <t>（前年度　23.5％）</t>
  </si>
  <si>
    <t>（前年度　259千t/年）</t>
  </si>
  <si>
    <t>（前年度　2,766千m3）</t>
  </si>
  <si>
    <t>（前年度　18.6年）</t>
  </si>
  <si>
    <t>（前年度　   56億円）</t>
  </si>
  <si>
    <t>（前年度　　   750円）</t>
  </si>
  <si>
    <t>「面積」は、国土交通省国土地理院『平成23年全国都道府県市区町村別面積調』（平成23年10月1日現在）による参考値である。</t>
  </si>
  <si>
    <t>「人口」は、住民基本台帳人口（平成22年10月1日現在）と外国人登録人口（平成22年10月1日現在）による合計値である。</t>
  </si>
  <si>
    <t>（２）ごみ処理の現況（平成22年度実績）</t>
  </si>
  <si>
    <t>肥料</t>
  </si>
  <si>
    <t>飼料</t>
  </si>
  <si>
    <t>溶融スラグ</t>
  </si>
  <si>
    <t>固形燃料
（RDF,RPF）</t>
  </si>
  <si>
    <t>焼却灰・飛灰のセメント原料化</t>
  </si>
  <si>
    <t>セメント等への直接投入</t>
  </si>
  <si>
    <t>飛灰の山元還元</t>
  </si>
  <si>
    <t>直接資源化量合計</t>
  </si>
  <si>
    <t>紙パック</t>
  </si>
  <si>
    <t>紙製容器包装</t>
  </si>
  <si>
    <t>金属類</t>
  </si>
  <si>
    <t>ガラス類</t>
  </si>
  <si>
    <t>ペットボトル</t>
  </si>
  <si>
    <t>白色トレイ</t>
  </si>
  <si>
    <t>布類</t>
  </si>
  <si>
    <t>廃食用油（BDF)</t>
  </si>
  <si>
    <t>その他</t>
  </si>
  <si>
    <t>紙類(注1)</t>
  </si>
  <si>
    <t>容器包装プラスチック(注2)</t>
  </si>
  <si>
    <t>プラスチック類(注3)</t>
  </si>
  <si>
    <t>県合計</t>
  </si>
  <si>
    <t>（単位：ｔ／年）</t>
  </si>
  <si>
    <t>注１：紙類、紙製容器包装を除く</t>
  </si>
  <si>
    <t>注２：白色トレイを除く</t>
  </si>
  <si>
    <t>注３：白色トレイ、容器包装プラスチックを除く</t>
  </si>
  <si>
    <t>　ｃ　集団回収量内訳</t>
  </si>
  <si>
    <t>　b　直接資源化量内訳</t>
  </si>
  <si>
    <t>集団回収量合計</t>
  </si>
  <si>
    <t>施設処理に伴う資源化量合計</t>
  </si>
  <si>
    <t>　ｄ　施設処理に伴う資源化量内訳１／２</t>
  </si>
  <si>
    <t>　ｄ　施設処理に伴う資源化量内訳２／２</t>
  </si>
  <si>
    <t>燃料
（固形燃料を除く）</t>
  </si>
  <si>
    <t>（注）「処理しなければならないごみの量」＝「ごみの総排出量」－（「収集資源ごみ量＋直接搬入資源ごみ量）」＋「集団回収量」）</t>
  </si>
  <si>
    <t>収集資源ごみ</t>
  </si>
  <si>
    <t>直生活資源</t>
  </si>
  <si>
    <t>直事業資源</t>
  </si>
  <si>
    <t>（注）「ごみの総排出量」とは、「収集ごみ量」、「直接搬入ごみ量」、「自家処理量」、「集団回収量」の合計値をいう。</t>
  </si>
  <si>
    <t xml:space="preserve"> 　 　「人口」の定義について、平成19年度から住民基本台帳人口に外国人登録人口を含めている。</t>
  </si>
  <si>
    <r>
      <t>　　  「処理しなければならないごみの量」とは、「ごみの総排出量」から「資源ごみ量」</t>
    </r>
    <r>
      <rPr>
        <vertAlign val="superscript"/>
        <sz val="11"/>
        <rFont val="ＭＳ 明朝"/>
        <family val="1"/>
      </rPr>
      <t>＊</t>
    </r>
    <r>
      <rPr>
        <sz val="11"/>
        <rFont val="ＭＳ 明朝"/>
        <family val="1"/>
      </rPr>
      <t>及び「集団回収量」を除いた値をいう。</t>
    </r>
  </si>
  <si>
    <r>
      <t>　　  　</t>
    </r>
    <r>
      <rPr>
        <vertAlign val="superscript"/>
        <sz val="11"/>
        <rFont val="ＭＳ 明朝"/>
        <family val="1"/>
      </rPr>
      <t>＊</t>
    </r>
    <r>
      <rPr>
        <sz val="11"/>
        <rFont val="ＭＳ 明朝"/>
        <family val="1"/>
      </rPr>
      <t>「資源ごみ量」について、平成22年度から直接搬入された資源ごみを含めている。</t>
    </r>
  </si>
  <si>
    <t>（前年度　　856億円）</t>
  </si>
  <si>
    <t>（前年度　1,062億円）</t>
  </si>
  <si>
    <t>（前年度　　14,232円）</t>
  </si>
  <si>
    <t>（前年度　　11,483円）</t>
  </si>
  <si>
    <t>（前年度　　 2,000円）</t>
  </si>
  <si>
    <t>（前年度　  149億円）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</si>
</sst>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&quot;t/年&quot;"/>
    <numFmt numFmtId="178" formatCode="0.0_ "/>
    <numFmt numFmtId="179" formatCode="#,##0_);[Red]\(#,##0\)"/>
    <numFmt numFmtId="180" formatCode="0.0_);[Red]\(0.0\)"/>
    <numFmt numFmtId="181" formatCode="0_ "/>
    <numFmt numFmtId="182" formatCode="0.000_ "/>
    <numFmt numFmtId="183" formatCode="0.00_ "/>
    <numFmt numFmtId="184" formatCode="0.0000_ "/>
    <numFmt numFmtId="185" formatCode="\ ;_ * &quot;-&quot;_ ;_ @_ "/>
    <numFmt numFmtId="186" formatCode=";_ * &quot;-&quot;_ ;;_ @_ "/>
    <numFmt numFmtId="187" formatCode="&quot;-&quot;_ ;;_ @_ "/>
    <numFmt numFmtId="188" formatCode="0.0%"/>
    <numFmt numFmtId="189" formatCode="#,##0&quot;千立方メートル&quot;"/>
    <numFmt numFmtId="190" formatCode="#,##0&quot;千m3&quot;"/>
    <numFmt numFmtId="191" formatCode="#,##0&quot;年&quot;"/>
    <numFmt numFmtId="192" formatCode="#,##0.0&quot;年&quot;"/>
    <numFmt numFmtId="193" formatCode="#,##0.00&quot;年&quot;"/>
    <numFmt numFmtId="194" formatCode="#,##0.0&quot;億円&quot;"/>
    <numFmt numFmtId="195" formatCode="#,##0&quot;億円&quot;"/>
    <numFmt numFmtId="196" formatCode="#,##0&quot;円&quot;"/>
    <numFmt numFmtId="197" formatCode="#,##0.0&quot;％&quot;"/>
    <numFmt numFmtId="198" formatCode="#,##0&quot;グラム&quot;"/>
    <numFmt numFmtId="199" formatCode="#,##0&quot;千トン&quot;"/>
    <numFmt numFmtId="200" formatCode="#,##0&quot;g/人･日&quot;"/>
    <numFmt numFmtId="201" formatCode="#,##0&quot;千t/年&quot;"/>
    <numFmt numFmtId="202" formatCode="#,##0.0&quot;千m3&quot;"/>
    <numFmt numFmtId="203" formatCode="0;_搀"/>
    <numFmt numFmtId="204" formatCode="0;_吀"/>
    <numFmt numFmtId="205" formatCode="0.0;_吀"/>
    <numFmt numFmtId="206" formatCode="0.00;_吀"/>
    <numFmt numFmtId="207" formatCode="0.000;_吀"/>
    <numFmt numFmtId="208" formatCode="0;_蠀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\ \ #,###;[Red]&quot;Δ&quot;#,###;\-"/>
    <numFmt numFmtId="214" formatCode="#,##0;[Red]#,##0"/>
    <numFmt numFmtId="215" formatCode="0_);[Red]\(0\)"/>
    <numFmt numFmtId="216" formatCode="#,##0_ ;[Red]\-#,##0\ "/>
    <numFmt numFmtId="217" formatCode="0_ ;[Red]\-0\ "/>
  </numFmts>
  <fonts count="37">
    <font>
      <sz val="12"/>
      <name val="平成明朝"/>
      <family val="3"/>
    </font>
    <font>
      <b/>
      <sz val="12"/>
      <name val="平成明朝"/>
      <family val="3"/>
    </font>
    <font>
      <i/>
      <sz val="12"/>
      <name val="平成明朝"/>
      <family val="3"/>
    </font>
    <font>
      <b/>
      <i/>
      <sz val="12"/>
      <name val="平成明朝"/>
      <family val="3"/>
    </font>
    <font>
      <sz val="6"/>
      <name val="Osaka"/>
      <family val="3"/>
    </font>
    <font>
      <sz val="6"/>
      <name val="ＭＳ Ｐゴシック"/>
      <family val="3"/>
    </font>
    <font>
      <u val="single"/>
      <sz val="12"/>
      <color indexed="12"/>
      <name val="平成明朝"/>
      <family val="3"/>
    </font>
    <font>
      <u val="single"/>
      <sz val="12"/>
      <color indexed="36"/>
      <name val="平成明朝"/>
      <family val="3"/>
    </font>
    <font>
      <sz val="12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"/>
      <name val="ＭＳ ゴシック"/>
      <family val="3"/>
    </font>
    <font>
      <sz val="13"/>
      <name val="ＭＳ 明朝"/>
      <family val="1"/>
    </font>
    <font>
      <sz val="20"/>
      <name val="ＭＳ ゴシック"/>
      <family val="3"/>
    </font>
    <font>
      <sz val="15"/>
      <name val="ＭＳ 明朝"/>
      <family val="1"/>
    </font>
    <font>
      <sz val="9"/>
      <name val="ＭＳ 明朝"/>
      <family val="1"/>
    </font>
    <font>
      <sz val="2.25"/>
      <name val="ＭＳ ゴシック"/>
      <family val="3"/>
    </font>
    <font>
      <sz val="1.75"/>
      <name val="ＭＳ ゴシック"/>
      <family val="3"/>
    </font>
    <font>
      <sz val="2"/>
      <name val="ＭＳ ゴシック"/>
      <family val="3"/>
    </font>
    <font>
      <sz val="10.5"/>
      <name val="ＭＳ ゴシック"/>
      <family val="3"/>
    </font>
    <font>
      <sz val="15"/>
      <name val="ＭＳ ゴシック"/>
      <family val="3"/>
    </font>
    <font>
      <sz val="11"/>
      <name val="ＭＳ 明朝"/>
      <family val="1"/>
    </font>
    <font>
      <sz val="22"/>
      <name val="ＭＳ ゴシック"/>
      <family val="3"/>
    </font>
    <font>
      <sz val="14"/>
      <name val="平成明朝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9.75"/>
      <name val="ＭＳ ゴシック"/>
      <family val="3"/>
    </font>
    <font>
      <sz val="18"/>
      <name val="ＭＳ 明朝"/>
      <family val="1"/>
    </font>
    <font>
      <sz val="10"/>
      <name val="MS ゴシック"/>
      <family val="3"/>
    </font>
    <font>
      <sz val="6"/>
      <name val="平成明朝"/>
      <family val="3"/>
    </font>
    <font>
      <vertAlign val="superscript"/>
      <sz val="11"/>
      <name val="ＭＳ 明朝"/>
      <family val="1"/>
    </font>
  </fonts>
  <fills count="2">
    <fill>
      <patternFill/>
    </fill>
    <fill>
      <patternFill patternType="gray125"/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dashed"/>
      <top>
        <color indexed="63"/>
      </top>
      <bottom style="dashed"/>
    </border>
    <border>
      <left style="thin"/>
      <right style="medium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thin"/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 style="thin"/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dashed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0" borderId="0">
      <alignment vertical="center"/>
      <protection/>
    </xf>
    <xf numFmtId="0" fontId="29" fillId="0" borderId="0">
      <alignment/>
      <protection/>
    </xf>
    <xf numFmtId="0" fontId="7" fillId="0" borderId="0" applyNumberFormat="0" applyFill="0" applyBorder="0" applyAlignment="0" applyProtection="0"/>
  </cellStyleXfs>
  <cellXfs count="552">
    <xf numFmtId="0" fontId="0" fillId="0" borderId="0" xfId="0" applyAlignment="1">
      <alignment/>
    </xf>
    <xf numFmtId="0" fontId="9" fillId="0" borderId="0" xfId="0" applyFont="1" applyAlignment="1">
      <alignment/>
    </xf>
    <xf numFmtId="38" fontId="9" fillId="0" borderId="0" xfId="17" applyFont="1" applyFill="1" applyAlignment="1">
      <alignment/>
    </xf>
    <xf numFmtId="38" fontId="9" fillId="0" borderId="0" xfId="17" applyFont="1" applyFill="1" applyBorder="1" applyAlignment="1" applyProtection="1">
      <alignment vertical="center"/>
      <protection/>
    </xf>
    <xf numFmtId="38" fontId="8" fillId="0" borderId="0" xfId="17" applyFont="1" applyFill="1" applyAlignment="1">
      <alignment/>
    </xf>
    <xf numFmtId="38" fontId="8" fillId="0" borderId="0" xfId="17" applyFont="1" applyFill="1" applyBorder="1" applyAlignment="1" applyProtection="1">
      <alignment vertical="center"/>
      <protection locked="0"/>
    </xf>
    <xf numFmtId="38" fontId="8" fillId="0" borderId="0" xfId="17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Alignment="1">
      <alignment/>
    </xf>
    <xf numFmtId="38" fontId="9" fillId="0" borderId="0" xfId="17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38" fontId="8" fillId="0" borderId="0" xfId="17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38" fontId="9" fillId="0" borderId="0" xfId="0" applyNumberFormat="1" applyFont="1" applyFill="1" applyAlignment="1">
      <alignment/>
    </xf>
    <xf numFmtId="38" fontId="9" fillId="0" borderId="0" xfId="17" applyFont="1" applyFill="1" applyBorder="1" applyAlignment="1">
      <alignment/>
    </xf>
    <xf numFmtId="0" fontId="9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8" fontId="9" fillId="0" borderId="0" xfId="17" applyFont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17" fillId="0" borderId="0" xfId="0" applyFont="1" applyFill="1" applyAlignment="1">
      <alignment vertical="center"/>
    </xf>
    <xf numFmtId="0" fontId="19" fillId="0" borderId="0" xfId="0" applyFont="1" applyFill="1" applyAlignment="1">
      <alignment horizontal="right"/>
    </xf>
    <xf numFmtId="0" fontId="11" fillId="0" borderId="0" xfId="0" applyFont="1" applyAlignment="1">
      <alignment vertical="center"/>
    </xf>
    <xf numFmtId="0" fontId="18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177" fontId="17" fillId="0" borderId="0" xfId="0" applyNumberFormat="1" applyFont="1" applyAlignment="1">
      <alignment/>
    </xf>
    <xf numFmtId="0" fontId="17" fillId="0" borderId="3" xfId="0" applyFont="1" applyBorder="1" applyAlignment="1">
      <alignment/>
    </xf>
    <xf numFmtId="177" fontId="17" fillId="0" borderId="3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4" xfId="0" applyFont="1" applyBorder="1" applyAlignment="1">
      <alignment/>
    </xf>
    <xf numFmtId="0" fontId="17" fillId="0" borderId="5" xfId="0" applyFont="1" applyBorder="1" applyAlignment="1">
      <alignment/>
    </xf>
    <xf numFmtId="0" fontId="17" fillId="0" borderId="6" xfId="0" applyFont="1" applyBorder="1" applyAlignment="1">
      <alignment horizontal="center" vertical="center"/>
    </xf>
    <xf numFmtId="177" fontId="17" fillId="0" borderId="7" xfId="0" applyNumberFormat="1" applyFont="1" applyBorder="1" applyAlignment="1">
      <alignment/>
    </xf>
    <xf numFmtId="0" fontId="17" fillId="0" borderId="8" xfId="0" applyFont="1" applyBorder="1" applyAlignment="1">
      <alignment/>
    </xf>
    <xf numFmtId="0" fontId="17" fillId="0" borderId="9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177" fontId="17" fillId="0" borderId="13" xfId="0" applyNumberFormat="1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8" xfId="0" applyFont="1" applyBorder="1" applyAlignment="1">
      <alignment/>
    </xf>
    <xf numFmtId="177" fontId="17" fillId="0" borderId="12" xfId="0" applyNumberFormat="1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0" xfId="0" applyFont="1" applyAlignment="1">
      <alignment vertical="center"/>
    </xf>
    <xf numFmtId="177" fontId="17" fillId="0" borderId="0" xfId="0" applyNumberFormat="1" applyFont="1" applyAlignment="1">
      <alignment vertical="center"/>
    </xf>
    <xf numFmtId="0" fontId="17" fillId="0" borderId="3" xfId="0" applyFont="1" applyBorder="1" applyAlignment="1">
      <alignment vertical="center"/>
    </xf>
    <xf numFmtId="177" fontId="17" fillId="0" borderId="3" xfId="0" applyNumberFormat="1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27" fillId="0" borderId="0" xfId="0" applyFont="1" applyFill="1" applyAlignment="1">
      <alignment vertical="center"/>
    </xf>
    <xf numFmtId="38" fontId="25" fillId="0" borderId="17" xfId="17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Fill="1" applyAlignment="1">
      <alignment/>
    </xf>
    <xf numFmtId="38" fontId="12" fillId="0" borderId="20" xfId="0" applyNumberFormat="1" applyFont="1" applyFill="1" applyBorder="1" applyAlignment="1">
      <alignment vertical="center" shrinkToFit="1"/>
    </xf>
    <xf numFmtId="38" fontId="12" fillId="0" borderId="21" xfId="0" applyNumberFormat="1" applyFont="1" applyFill="1" applyBorder="1" applyAlignment="1">
      <alignment vertical="center" shrinkToFit="1"/>
    </xf>
    <xf numFmtId="38" fontId="12" fillId="0" borderId="22" xfId="17" applyFont="1" applyFill="1" applyBorder="1" applyAlignment="1">
      <alignment vertical="center" shrinkToFit="1"/>
    </xf>
    <xf numFmtId="176" fontId="12" fillId="0" borderId="23" xfId="17" applyNumberFormat="1" applyFont="1" applyFill="1" applyBorder="1" applyAlignment="1">
      <alignment vertical="center" shrinkToFit="1"/>
    </xf>
    <xf numFmtId="38" fontId="12" fillId="0" borderId="24" xfId="17" applyFont="1" applyFill="1" applyBorder="1" applyAlignment="1">
      <alignment vertical="center" shrinkToFit="1"/>
    </xf>
    <xf numFmtId="176" fontId="12" fillId="0" borderId="9" xfId="17" applyNumberFormat="1" applyFont="1" applyFill="1" applyBorder="1" applyAlignment="1">
      <alignment vertical="center" shrinkToFit="1"/>
    </xf>
    <xf numFmtId="38" fontId="12" fillId="0" borderId="25" xfId="17" applyFont="1" applyFill="1" applyBorder="1" applyAlignment="1">
      <alignment vertical="center" shrinkToFit="1"/>
    </xf>
    <xf numFmtId="38" fontId="12" fillId="0" borderId="26" xfId="17" applyFont="1" applyFill="1" applyBorder="1" applyAlignment="1">
      <alignment vertical="center" shrinkToFit="1"/>
    </xf>
    <xf numFmtId="176" fontId="12" fillId="0" borderId="14" xfId="17" applyNumberFormat="1" applyFont="1" applyFill="1" applyBorder="1" applyAlignment="1">
      <alignment vertical="center" shrinkToFit="1"/>
    </xf>
    <xf numFmtId="176" fontId="12" fillId="0" borderId="27" xfId="17" applyNumberFormat="1" applyFont="1" applyFill="1" applyBorder="1" applyAlignment="1">
      <alignment vertical="center" shrinkToFit="1"/>
    </xf>
    <xf numFmtId="38" fontId="12" fillId="0" borderId="21" xfId="17" applyFont="1" applyFill="1" applyBorder="1" applyAlignment="1">
      <alignment vertical="center" shrinkToFit="1"/>
    </xf>
    <xf numFmtId="176" fontId="12" fillId="0" borderId="28" xfId="17" applyNumberFormat="1" applyFont="1" applyFill="1" applyBorder="1" applyAlignment="1">
      <alignment vertical="center" shrinkToFit="1"/>
    </xf>
    <xf numFmtId="38" fontId="19" fillId="0" borderId="0" xfId="17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vertical="center"/>
    </xf>
    <xf numFmtId="0" fontId="19" fillId="0" borderId="30" xfId="0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horizontal="right"/>
    </xf>
    <xf numFmtId="38" fontId="12" fillId="0" borderId="31" xfId="17" applyFont="1" applyFill="1" applyBorder="1" applyAlignment="1">
      <alignment vertical="center" shrinkToFit="1"/>
    </xf>
    <xf numFmtId="0" fontId="12" fillId="0" borderId="32" xfId="0" applyFont="1" applyFill="1" applyBorder="1" applyAlignment="1">
      <alignment vertical="center"/>
    </xf>
    <xf numFmtId="38" fontId="12" fillId="0" borderId="33" xfId="0" applyNumberFormat="1" applyFont="1" applyFill="1" applyBorder="1" applyAlignment="1">
      <alignment vertical="center" shrinkToFit="1"/>
    </xf>
    <xf numFmtId="38" fontId="9" fillId="0" borderId="0" xfId="17" applyFont="1" applyFill="1" applyBorder="1" applyAlignment="1">
      <alignment/>
    </xf>
    <xf numFmtId="0" fontId="9" fillId="0" borderId="24" xfId="0" applyFont="1" applyFill="1" applyBorder="1" applyAlignment="1">
      <alignment vertical="center"/>
    </xf>
    <xf numFmtId="38" fontId="12" fillId="0" borderId="0" xfId="17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38" fontId="9" fillId="0" borderId="0" xfId="17" applyNumberFormat="1" applyFont="1" applyFill="1" applyBorder="1" applyAlignment="1">
      <alignment/>
    </xf>
    <xf numFmtId="38" fontId="9" fillId="0" borderId="34" xfId="17" applyFont="1" applyFill="1" applyBorder="1" applyAlignment="1">
      <alignment vertical="center"/>
    </xf>
    <xf numFmtId="0" fontId="9" fillId="0" borderId="0" xfId="22" applyFont="1" applyFill="1" applyBorder="1" applyAlignment="1">
      <alignment horizontal="left" vertical="center"/>
      <protection/>
    </xf>
    <xf numFmtId="0" fontId="19" fillId="0" borderId="2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/>
    </xf>
    <xf numFmtId="0" fontId="19" fillId="0" borderId="35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38" fontId="12" fillId="0" borderId="17" xfId="0" applyNumberFormat="1" applyFont="1" applyFill="1" applyBorder="1" applyAlignment="1">
      <alignment vertical="center" shrinkToFit="1"/>
    </xf>
    <xf numFmtId="38" fontId="17" fillId="0" borderId="33" xfId="17" applyFont="1" applyFill="1" applyBorder="1" applyAlignment="1" applyProtection="1">
      <alignment horizontal="center" vertical="center" wrapText="1"/>
      <protection locked="0"/>
    </xf>
    <xf numFmtId="38" fontId="17" fillId="0" borderId="37" xfId="17" applyFont="1" applyFill="1" applyBorder="1" applyAlignment="1" applyProtection="1">
      <alignment horizontal="center" vertical="center" wrapText="1"/>
      <protection locked="0"/>
    </xf>
    <xf numFmtId="0" fontId="17" fillId="0" borderId="37" xfId="0" applyFont="1" applyFill="1" applyBorder="1" applyAlignment="1">
      <alignment horizontal="center" vertical="center" wrapText="1"/>
    </xf>
    <xf numFmtId="38" fontId="12" fillId="0" borderId="0" xfId="0" applyNumberFormat="1" applyFont="1" applyFill="1" applyBorder="1" applyAlignment="1">
      <alignment vertical="center" shrinkToFit="1"/>
    </xf>
    <xf numFmtId="38" fontId="14" fillId="0" borderId="0" xfId="17" applyFont="1" applyFill="1" applyAlignment="1">
      <alignment vertical="center"/>
    </xf>
    <xf numFmtId="38" fontId="12" fillId="0" borderId="0" xfId="17" applyFont="1" applyFill="1" applyAlignment="1">
      <alignment vertical="center"/>
    </xf>
    <xf numFmtId="0" fontId="12" fillId="0" borderId="16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7" fillId="0" borderId="3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vertical="center"/>
    </xf>
    <xf numFmtId="3" fontId="9" fillId="0" borderId="29" xfId="0" applyNumberFormat="1" applyFont="1" applyFill="1" applyBorder="1" applyAlignment="1">
      <alignment vertical="center"/>
    </xf>
    <xf numFmtId="3" fontId="9" fillId="0" borderId="38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177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177" fontId="17" fillId="0" borderId="0" xfId="0" applyNumberFormat="1" applyFont="1" applyBorder="1" applyAlignment="1">
      <alignment vertical="center"/>
    </xf>
    <xf numFmtId="0" fontId="17" fillId="0" borderId="40" xfId="0" applyFont="1" applyBorder="1" applyAlignment="1">
      <alignment/>
    </xf>
    <xf numFmtId="0" fontId="17" fillId="0" borderId="41" xfId="0" applyFont="1" applyBorder="1" applyAlignment="1">
      <alignment/>
    </xf>
    <xf numFmtId="0" fontId="17" fillId="0" borderId="42" xfId="0" applyFont="1" applyBorder="1" applyAlignment="1">
      <alignment/>
    </xf>
    <xf numFmtId="0" fontId="17" fillId="0" borderId="43" xfId="0" applyFont="1" applyBorder="1" applyAlignment="1">
      <alignment/>
    </xf>
    <xf numFmtId="177" fontId="17" fillId="0" borderId="44" xfId="0" applyNumberFormat="1" applyFont="1" applyBorder="1" applyAlignment="1">
      <alignment/>
    </xf>
    <xf numFmtId="0" fontId="17" fillId="0" borderId="45" xfId="0" applyFont="1" applyBorder="1" applyAlignment="1">
      <alignment/>
    </xf>
    <xf numFmtId="0" fontId="17" fillId="0" borderId="7" xfId="0" applyFont="1" applyBorder="1" applyAlignment="1">
      <alignment/>
    </xf>
    <xf numFmtId="0" fontId="17" fillId="0" borderId="46" xfId="0" applyFont="1" applyBorder="1" applyAlignment="1">
      <alignment/>
    </xf>
    <xf numFmtId="0" fontId="17" fillId="0" borderId="47" xfId="0" applyFont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/>
    </xf>
    <xf numFmtId="177" fontId="17" fillId="0" borderId="19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 wrapText="1" shrinkToFit="1"/>
    </xf>
    <xf numFmtId="0" fontId="17" fillId="0" borderId="48" xfId="0" applyFont="1" applyBorder="1" applyAlignment="1">
      <alignment/>
    </xf>
    <xf numFmtId="0" fontId="17" fillId="0" borderId="49" xfId="0" applyFont="1" applyBorder="1" applyAlignment="1">
      <alignment/>
    </xf>
    <xf numFmtId="0" fontId="17" fillId="0" borderId="50" xfId="0" applyFont="1" applyBorder="1" applyAlignment="1">
      <alignment/>
    </xf>
    <xf numFmtId="0" fontId="17" fillId="0" borderId="51" xfId="0" applyFont="1" applyBorder="1" applyAlignment="1">
      <alignment/>
    </xf>
    <xf numFmtId="177" fontId="17" fillId="0" borderId="51" xfId="0" applyNumberFormat="1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38" xfId="0" applyFont="1" applyBorder="1" applyAlignment="1">
      <alignment/>
    </xf>
    <xf numFmtId="177" fontId="17" fillId="0" borderId="17" xfId="0" applyNumberFormat="1" applyFont="1" applyBorder="1" applyAlignment="1">
      <alignment/>
    </xf>
    <xf numFmtId="0" fontId="17" fillId="0" borderId="44" xfId="0" applyFont="1" applyBorder="1" applyAlignment="1">
      <alignment/>
    </xf>
    <xf numFmtId="0" fontId="12" fillId="0" borderId="31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41" fontId="9" fillId="0" borderId="29" xfId="17" applyNumberFormat="1" applyFont="1" applyFill="1" applyBorder="1" applyAlignment="1">
      <alignment vertical="center"/>
    </xf>
    <xf numFmtId="41" fontId="9" fillId="0" borderId="0" xfId="17" applyNumberFormat="1" applyFont="1" applyFill="1" applyBorder="1" applyAlignment="1">
      <alignment vertical="center"/>
    </xf>
    <xf numFmtId="41" fontId="9" fillId="0" borderId="3" xfId="17" applyNumberFormat="1" applyFont="1" applyFill="1" applyBorder="1" applyAlignment="1">
      <alignment vertical="center"/>
    </xf>
    <xf numFmtId="41" fontId="9" fillId="0" borderId="49" xfId="17" applyNumberFormat="1" applyFont="1" applyFill="1" applyBorder="1" applyAlignment="1">
      <alignment vertical="center"/>
    </xf>
    <xf numFmtId="41" fontId="9" fillId="0" borderId="17" xfId="17" applyNumberFormat="1" applyFont="1" applyFill="1" applyBorder="1" applyAlignment="1">
      <alignment vertical="center"/>
    </xf>
    <xf numFmtId="41" fontId="9" fillId="0" borderId="30" xfId="17" applyNumberFormat="1" applyFont="1" applyFill="1" applyBorder="1" applyAlignment="1">
      <alignment vertical="center"/>
    </xf>
    <xf numFmtId="41" fontId="9" fillId="0" borderId="5" xfId="17" applyNumberFormat="1" applyFont="1" applyFill="1" applyBorder="1" applyAlignment="1">
      <alignment vertical="center"/>
    </xf>
    <xf numFmtId="41" fontId="9" fillId="0" borderId="52" xfId="17" applyNumberFormat="1" applyFont="1" applyFill="1" applyBorder="1" applyAlignment="1">
      <alignment vertical="center"/>
    </xf>
    <xf numFmtId="41" fontId="9" fillId="0" borderId="53" xfId="17" applyNumberFormat="1" applyFont="1" applyFill="1" applyBorder="1" applyAlignment="1">
      <alignment vertical="center"/>
    </xf>
    <xf numFmtId="41" fontId="9" fillId="0" borderId="16" xfId="17" applyNumberFormat="1" applyFont="1" applyFill="1" applyBorder="1" applyAlignment="1">
      <alignment vertical="center"/>
    </xf>
    <xf numFmtId="41" fontId="9" fillId="0" borderId="54" xfId="17" applyNumberFormat="1" applyFont="1" applyFill="1" applyBorder="1" applyAlignment="1">
      <alignment vertical="center"/>
    </xf>
    <xf numFmtId="41" fontId="9" fillId="0" borderId="32" xfId="17" applyNumberFormat="1" applyFont="1" applyFill="1" applyBorder="1" applyAlignment="1">
      <alignment vertical="center"/>
    </xf>
    <xf numFmtId="41" fontId="9" fillId="0" borderId="25" xfId="17" applyNumberFormat="1" applyFont="1" applyFill="1" applyBorder="1" applyAlignment="1">
      <alignment vertical="center"/>
    </xf>
    <xf numFmtId="41" fontId="9" fillId="0" borderId="55" xfId="17" applyNumberFormat="1" applyFont="1" applyFill="1" applyBorder="1" applyAlignment="1">
      <alignment vertical="center"/>
    </xf>
    <xf numFmtId="41" fontId="9" fillId="0" borderId="8" xfId="17" applyNumberFormat="1" applyFont="1" applyFill="1" applyBorder="1" applyAlignment="1">
      <alignment vertical="center"/>
    </xf>
    <xf numFmtId="41" fontId="9" fillId="0" borderId="20" xfId="17" applyNumberFormat="1" applyFont="1" applyFill="1" applyBorder="1" applyAlignment="1">
      <alignment vertical="center"/>
    </xf>
    <xf numFmtId="38" fontId="9" fillId="0" borderId="0" xfId="17" applyFont="1" applyAlignment="1">
      <alignment/>
    </xf>
    <xf numFmtId="181" fontId="9" fillId="0" borderId="0" xfId="0" applyNumberFormat="1" applyFont="1" applyAlignment="1">
      <alignment/>
    </xf>
    <xf numFmtId="0" fontId="10" fillId="0" borderId="0" xfId="0" applyFont="1" applyAlignment="1">
      <alignment/>
    </xf>
    <xf numFmtId="41" fontId="12" fillId="0" borderId="22" xfId="17" applyNumberFormat="1" applyFont="1" applyFill="1" applyBorder="1" applyAlignment="1">
      <alignment vertical="center"/>
    </xf>
    <xf numFmtId="41" fontId="12" fillId="0" borderId="42" xfId="17" applyNumberFormat="1" applyFont="1" applyFill="1" applyBorder="1" applyAlignment="1">
      <alignment vertical="center"/>
    </xf>
    <xf numFmtId="41" fontId="12" fillId="0" borderId="24" xfId="17" applyNumberFormat="1" applyFont="1" applyFill="1" applyBorder="1" applyAlignment="1">
      <alignment vertical="center"/>
    </xf>
    <xf numFmtId="41" fontId="12" fillId="0" borderId="30" xfId="0" applyNumberFormat="1" applyFont="1" applyFill="1" applyBorder="1" applyAlignment="1">
      <alignment vertical="center"/>
    </xf>
    <xf numFmtId="41" fontId="12" fillId="0" borderId="56" xfId="17" applyNumberFormat="1" applyFont="1" applyFill="1" applyBorder="1" applyAlignment="1">
      <alignment vertical="center"/>
    </xf>
    <xf numFmtId="41" fontId="12" fillId="0" borderId="29" xfId="17" applyNumberFormat="1" applyFont="1" applyFill="1" applyBorder="1" applyAlignment="1">
      <alignment vertical="center"/>
    </xf>
    <xf numFmtId="41" fontId="12" fillId="0" borderId="57" xfId="17" applyNumberFormat="1" applyFont="1" applyFill="1" applyBorder="1" applyAlignment="1">
      <alignment vertical="center"/>
    </xf>
    <xf numFmtId="41" fontId="12" fillId="0" borderId="5" xfId="0" applyNumberFormat="1" applyFont="1" applyFill="1" applyBorder="1" applyAlignment="1">
      <alignment vertical="center"/>
    </xf>
    <xf numFmtId="41" fontId="12" fillId="0" borderId="41" xfId="17" applyNumberFormat="1" applyFont="1" applyFill="1" applyBorder="1" applyAlignment="1">
      <alignment vertical="center"/>
    </xf>
    <xf numFmtId="41" fontId="12" fillId="0" borderId="0" xfId="17" applyNumberFormat="1" applyFont="1" applyFill="1" applyBorder="1" applyAlignment="1">
      <alignment vertical="center"/>
    </xf>
    <xf numFmtId="41" fontId="12" fillId="0" borderId="4" xfId="17" applyNumberFormat="1" applyFont="1" applyFill="1" applyBorder="1" applyAlignment="1">
      <alignment vertical="center"/>
    </xf>
    <xf numFmtId="41" fontId="12" fillId="0" borderId="51" xfId="17" applyNumberFormat="1" applyFont="1" applyFill="1" applyBorder="1" applyAlignment="1">
      <alignment vertical="center"/>
    </xf>
    <xf numFmtId="41" fontId="12" fillId="0" borderId="3" xfId="17" applyNumberFormat="1" applyFont="1" applyFill="1" applyBorder="1" applyAlignment="1">
      <alignment vertical="center"/>
    </xf>
    <xf numFmtId="41" fontId="12" fillId="0" borderId="7" xfId="17" applyNumberFormat="1" applyFont="1" applyFill="1" applyBorder="1" applyAlignment="1">
      <alignment vertical="center"/>
    </xf>
    <xf numFmtId="41" fontId="12" fillId="0" borderId="53" xfId="0" applyNumberFormat="1" applyFont="1" applyFill="1" applyBorder="1" applyAlignment="1">
      <alignment vertical="center"/>
    </xf>
    <xf numFmtId="41" fontId="12" fillId="0" borderId="31" xfId="17" applyNumberFormat="1" applyFont="1" applyFill="1" applyBorder="1" applyAlignment="1">
      <alignment vertical="center"/>
    </xf>
    <xf numFmtId="41" fontId="12" fillId="0" borderId="50" xfId="17" applyNumberFormat="1" applyFont="1" applyFill="1" applyBorder="1" applyAlignment="1">
      <alignment vertical="center"/>
    </xf>
    <xf numFmtId="41" fontId="12" fillId="0" borderId="49" xfId="17" applyNumberFormat="1" applyFont="1" applyFill="1" applyBorder="1" applyAlignment="1">
      <alignment vertical="center"/>
    </xf>
    <xf numFmtId="41" fontId="12" fillId="0" borderId="58" xfId="17" applyNumberFormat="1" applyFont="1" applyFill="1" applyBorder="1" applyAlignment="1">
      <alignment vertical="center"/>
    </xf>
    <xf numFmtId="41" fontId="12" fillId="0" borderId="52" xfId="0" applyNumberFormat="1" applyFont="1" applyFill="1" applyBorder="1" applyAlignment="1">
      <alignment vertical="center"/>
    </xf>
    <xf numFmtId="41" fontId="12" fillId="0" borderId="26" xfId="17" applyNumberFormat="1" applyFont="1" applyFill="1" applyBorder="1" applyAlignment="1">
      <alignment vertical="center"/>
    </xf>
    <xf numFmtId="41" fontId="12" fillId="0" borderId="59" xfId="17" applyNumberFormat="1" applyFont="1" applyFill="1" applyBorder="1" applyAlignment="1">
      <alignment vertical="center"/>
    </xf>
    <xf numFmtId="41" fontId="12" fillId="0" borderId="60" xfId="17" applyNumberFormat="1" applyFont="1" applyFill="1" applyBorder="1" applyAlignment="1">
      <alignment vertical="center"/>
    </xf>
    <xf numFmtId="41" fontId="12" fillId="0" borderId="42" xfId="0" applyNumberFormat="1" applyFont="1" applyFill="1" applyBorder="1" applyAlignment="1">
      <alignment vertical="center"/>
    </xf>
    <xf numFmtId="41" fontId="12" fillId="0" borderId="33" xfId="0" applyNumberFormat="1" applyFont="1" applyFill="1" applyBorder="1" applyAlignment="1">
      <alignment vertical="center"/>
    </xf>
    <xf numFmtId="41" fontId="9" fillId="0" borderId="22" xfId="17" applyNumberFormat="1" applyFont="1" applyFill="1" applyBorder="1" applyAlignment="1">
      <alignment vertical="center"/>
    </xf>
    <xf numFmtId="41" fontId="9" fillId="0" borderId="61" xfId="17" applyNumberFormat="1" applyFont="1" applyFill="1" applyBorder="1" applyAlignment="1">
      <alignment vertical="center"/>
    </xf>
    <xf numFmtId="41" fontId="9" fillId="0" borderId="57" xfId="17" applyNumberFormat="1" applyFont="1" applyFill="1" applyBorder="1" applyAlignment="1">
      <alignment vertical="center"/>
    </xf>
    <xf numFmtId="41" fontId="9" fillId="0" borderId="24" xfId="17" applyNumberFormat="1" applyFont="1" applyFill="1" applyBorder="1" applyAlignment="1">
      <alignment vertical="center"/>
    </xf>
    <xf numFmtId="41" fontId="9" fillId="0" borderId="42" xfId="17" applyNumberFormat="1" applyFont="1" applyFill="1" applyBorder="1" applyAlignment="1">
      <alignment vertical="center"/>
    </xf>
    <xf numFmtId="41" fontId="9" fillId="0" borderId="4" xfId="17" applyNumberFormat="1" applyFont="1" applyFill="1" applyBorder="1" applyAlignment="1">
      <alignment vertical="center"/>
    </xf>
    <xf numFmtId="41" fontId="9" fillId="0" borderId="26" xfId="17" applyNumberFormat="1" applyFont="1" applyFill="1" applyBorder="1" applyAlignment="1">
      <alignment vertical="center"/>
    </xf>
    <xf numFmtId="41" fontId="9" fillId="0" borderId="59" xfId="17" applyNumberFormat="1" applyFont="1" applyFill="1" applyBorder="1" applyAlignment="1">
      <alignment vertical="center"/>
    </xf>
    <xf numFmtId="41" fontId="9" fillId="0" borderId="7" xfId="17" applyNumberFormat="1" applyFont="1" applyFill="1" applyBorder="1" applyAlignment="1">
      <alignment vertical="center"/>
    </xf>
    <xf numFmtId="41" fontId="9" fillId="0" borderId="31" xfId="17" applyNumberFormat="1" applyFont="1" applyFill="1" applyBorder="1" applyAlignment="1">
      <alignment vertical="center"/>
    </xf>
    <xf numFmtId="41" fontId="9" fillId="0" borderId="60" xfId="17" applyNumberFormat="1" applyFont="1" applyFill="1" applyBorder="1" applyAlignment="1">
      <alignment vertical="center"/>
    </xf>
    <xf numFmtId="41" fontId="9" fillId="0" borderId="58" xfId="17" applyNumberFormat="1" applyFont="1" applyFill="1" applyBorder="1" applyAlignment="1">
      <alignment vertical="center"/>
    </xf>
    <xf numFmtId="41" fontId="9" fillId="0" borderId="21" xfId="17" applyNumberFormat="1" applyFont="1" applyFill="1" applyBorder="1" applyAlignment="1">
      <alignment vertical="center"/>
    </xf>
    <xf numFmtId="41" fontId="9" fillId="0" borderId="33" xfId="17" applyNumberFormat="1" applyFont="1" applyFill="1" applyBorder="1" applyAlignment="1">
      <alignment vertical="center"/>
    </xf>
    <xf numFmtId="41" fontId="9" fillId="0" borderId="37" xfId="17" applyNumberFormat="1" applyFont="1" applyFill="1" applyBorder="1" applyAlignment="1">
      <alignment vertical="center"/>
    </xf>
    <xf numFmtId="197" fontId="17" fillId="0" borderId="0" xfId="15" applyNumberFormat="1" applyFont="1" applyFill="1" applyAlignment="1">
      <alignment vertical="center"/>
    </xf>
    <xf numFmtId="188" fontId="17" fillId="0" borderId="0" xfId="15" applyNumberFormat="1" applyFont="1" applyAlignment="1">
      <alignment vertical="center"/>
    </xf>
    <xf numFmtId="201" fontId="17" fillId="0" borderId="0" xfId="15" applyNumberFormat="1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200" fontId="17" fillId="0" borderId="0" xfId="15" applyNumberFormat="1" applyFont="1" applyFill="1" applyAlignment="1">
      <alignment horizontal="left" vertical="center"/>
    </xf>
    <xf numFmtId="0" fontId="26" fillId="0" borderId="0" xfId="0" applyFont="1" applyAlignment="1">
      <alignment/>
    </xf>
    <xf numFmtId="38" fontId="12" fillId="0" borderId="55" xfId="17" applyFont="1" applyFill="1" applyBorder="1" applyAlignment="1">
      <alignment vertical="center" shrinkToFit="1"/>
    </xf>
    <xf numFmtId="38" fontId="12" fillId="0" borderId="32" xfId="17" applyFont="1" applyFill="1" applyBorder="1" applyAlignment="1">
      <alignment vertical="center" shrinkToFit="1"/>
    </xf>
    <xf numFmtId="201" fontId="17" fillId="0" borderId="0" xfId="0" applyNumberFormat="1" applyFont="1" applyFill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41" fontId="12" fillId="0" borderId="61" xfId="17" applyNumberFormat="1" applyFont="1" applyFill="1" applyBorder="1" applyAlignment="1">
      <alignment vertical="center"/>
    </xf>
    <xf numFmtId="0" fontId="33" fillId="0" borderId="20" xfId="0" applyFont="1" applyFill="1" applyBorder="1" applyAlignment="1">
      <alignment horizontal="center" vertical="center"/>
    </xf>
    <xf numFmtId="41" fontId="9" fillId="0" borderId="30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41" fontId="9" fillId="0" borderId="5" xfId="0" applyNumberFormat="1" applyFont="1" applyFill="1" applyBorder="1" applyAlignment="1">
      <alignment vertical="center"/>
    </xf>
    <xf numFmtId="0" fontId="9" fillId="0" borderId="52" xfId="0" applyFont="1" applyFill="1" applyBorder="1" applyAlignment="1">
      <alignment vertical="center"/>
    </xf>
    <xf numFmtId="41" fontId="9" fillId="0" borderId="52" xfId="0" applyNumberFormat="1" applyFont="1" applyFill="1" applyBorder="1" applyAlignment="1">
      <alignment vertical="center"/>
    </xf>
    <xf numFmtId="0" fontId="9" fillId="0" borderId="53" xfId="0" applyFont="1" applyFill="1" applyBorder="1" applyAlignment="1">
      <alignment vertical="center"/>
    </xf>
    <xf numFmtId="41" fontId="9" fillId="0" borderId="53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41" fontId="9" fillId="0" borderId="16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41" fontId="9" fillId="0" borderId="32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41" fontId="9" fillId="0" borderId="25" xfId="0" applyNumberFormat="1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5" xfId="0" applyFont="1" applyFill="1" applyBorder="1" applyAlignment="1">
      <alignment vertical="center"/>
    </xf>
    <xf numFmtId="41" fontId="12" fillId="0" borderId="9" xfId="17" applyNumberFormat="1" applyFont="1" applyFill="1" applyBorder="1" applyAlignment="1">
      <alignment vertical="center"/>
    </xf>
    <xf numFmtId="0" fontId="33" fillId="0" borderId="16" xfId="0" applyFont="1" applyFill="1" applyBorder="1" applyAlignment="1">
      <alignment horizontal="center" vertical="center"/>
    </xf>
    <xf numFmtId="181" fontId="9" fillId="0" borderId="0" xfId="0" applyNumberFormat="1" applyFont="1" applyAlignment="1">
      <alignment horizontal="center"/>
    </xf>
    <xf numFmtId="178" fontId="9" fillId="0" borderId="0" xfId="0" applyNumberFormat="1" applyFont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left" vertical="center"/>
    </xf>
    <xf numFmtId="38" fontId="9" fillId="0" borderId="34" xfId="0" applyNumberFormat="1" applyFont="1" applyFill="1" applyBorder="1" applyAlignment="1">
      <alignment vertical="center"/>
    </xf>
    <xf numFmtId="0" fontId="9" fillId="0" borderId="62" xfId="0" applyFont="1" applyFill="1" applyBorder="1" applyAlignment="1">
      <alignment vertical="center"/>
    </xf>
    <xf numFmtId="38" fontId="9" fillId="0" borderId="62" xfId="0" applyNumberFormat="1" applyFont="1" applyFill="1" applyBorder="1" applyAlignment="1">
      <alignment vertical="center"/>
    </xf>
    <xf numFmtId="180" fontId="9" fillId="0" borderId="6" xfId="0" applyNumberFormat="1" applyFont="1" applyFill="1" applyBorder="1" applyAlignment="1">
      <alignment vertical="center"/>
    </xf>
    <xf numFmtId="0" fontId="9" fillId="0" borderId="42" xfId="0" applyFont="1" applyFill="1" applyBorder="1" applyAlignment="1">
      <alignment/>
    </xf>
    <xf numFmtId="180" fontId="9" fillId="0" borderId="6" xfId="17" applyNumberFormat="1" applyFont="1" applyFill="1" applyBorder="1" applyAlignment="1">
      <alignment vertical="center"/>
    </xf>
    <xf numFmtId="38" fontId="9" fillId="0" borderId="63" xfId="0" applyNumberFormat="1" applyFont="1" applyFill="1" applyBorder="1" applyAlignment="1">
      <alignment vertical="center"/>
    </xf>
    <xf numFmtId="38" fontId="9" fillId="0" borderId="64" xfId="0" applyNumberFormat="1" applyFont="1" applyFill="1" applyBorder="1" applyAlignment="1">
      <alignment vertical="center"/>
    </xf>
    <xf numFmtId="180" fontId="9" fillId="0" borderId="65" xfId="17" applyNumberFormat="1" applyFont="1" applyFill="1" applyBorder="1" applyAlignment="1">
      <alignment vertical="center"/>
    </xf>
    <xf numFmtId="0" fontId="9" fillId="0" borderId="51" xfId="0" applyFont="1" applyFill="1" applyBorder="1" applyAlignment="1">
      <alignment vertical="center"/>
    </xf>
    <xf numFmtId="178" fontId="9" fillId="0" borderId="59" xfId="0" applyNumberFormat="1" applyFont="1" applyFill="1" applyBorder="1" applyAlignment="1">
      <alignment vertical="center"/>
    </xf>
    <xf numFmtId="0" fontId="9" fillId="0" borderId="42" xfId="0" applyFont="1" applyFill="1" applyBorder="1" applyAlignment="1">
      <alignment vertical="center"/>
    </xf>
    <xf numFmtId="178" fontId="9" fillId="0" borderId="6" xfId="0" applyNumberFormat="1" applyFont="1" applyFill="1" applyBorder="1" applyAlignment="1">
      <alignment vertical="center"/>
    </xf>
    <xf numFmtId="0" fontId="9" fillId="0" borderId="59" xfId="0" applyFont="1" applyFill="1" applyBorder="1" applyAlignment="1">
      <alignment vertical="center"/>
    </xf>
    <xf numFmtId="38" fontId="12" fillId="0" borderId="29" xfId="17" applyFont="1" applyFill="1" applyBorder="1" applyAlignment="1">
      <alignment vertical="center" shrinkToFit="1"/>
    </xf>
    <xf numFmtId="38" fontId="12" fillId="0" borderId="3" xfId="17" applyFont="1" applyFill="1" applyBorder="1" applyAlignment="1">
      <alignment vertical="center" shrinkToFit="1"/>
    </xf>
    <xf numFmtId="38" fontId="12" fillId="0" borderId="49" xfId="17" applyFont="1" applyFill="1" applyBorder="1" applyAlignment="1">
      <alignment vertical="center" shrinkToFit="1"/>
    </xf>
    <xf numFmtId="38" fontId="12" fillId="0" borderId="17" xfId="17" applyFont="1" applyFill="1" applyBorder="1" applyAlignment="1">
      <alignment vertical="center" shrinkToFit="1"/>
    </xf>
    <xf numFmtId="200" fontId="17" fillId="0" borderId="0" xfId="15" applyNumberFormat="1" applyFont="1" applyFill="1" applyAlignment="1">
      <alignment vertical="center"/>
    </xf>
    <xf numFmtId="38" fontId="12" fillId="0" borderId="61" xfId="17" applyFont="1" applyFill="1" applyBorder="1" applyAlignment="1">
      <alignment vertical="center" shrinkToFit="1"/>
    </xf>
    <xf numFmtId="38" fontId="12" fillId="0" borderId="42" xfId="17" applyFont="1" applyFill="1" applyBorder="1" applyAlignment="1">
      <alignment vertical="center" shrinkToFit="1"/>
    </xf>
    <xf numFmtId="38" fontId="12" fillId="0" borderId="59" xfId="17" applyFont="1" applyFill="1" applyBorder="1" applyAlignment="1">
      <alignment vertical="center" shrinkToFit="1"/>
    </xf>
    <xf numFmtId="38" fontId="12" fillId="0" borderId="60" xfId="17" applyFont="1" applyFill="1" applyBorder="1" applyAlignment="1">
      <alignment vertical="center" shrinkToFit="1"/>
    </xf>
    <xf numFmtId="38" fontId="12" fillId="0" borderId="33" xfId="17" applyFont="1" applyFill="1" applyBorder="1" applyAlignment="1">
      <alignment vertical="center" shrinkToFit="1"/>
    </xf>
    <xf numFmtId="38" fontId="12" fillId="0" borderId="57" xfId="17" applyFont="1" applyFill="1" applyBorder="1" applyAlignment="1">
      <alignment vertical="center" shrinkToFit="1"/>
    </xf>
    <xf numFmtId="38" fontId="12" fillId="0" borderId="4" xfId="17" applyFont="1" applyFill="1" applyBorder="1" applyAlignment="1">
      <alignment vertical="center" shrinkToFit="1"/>
    </xf>
    <xf numFmtId="38" fontId="12" fillId="0" borderId="7" xfId="17" applyFont="1" applyFill="1" applyBorder="1" applyAlignment="1">
      <alignment vertical="center" shrinkToFit="1"/>
    </xf>
    <xf numFmtId="38" fontId="12" fillId="0" borderId="58" xfId="17" applyFont="1" applyFill="1" applyBorder="1" applyAlignment="1">
      <alignment vertical="center" shrinkToFit="1"/>
    </xf>
    <xf numFmtId="38" fontId="12" fillId="0" borderId="37" xfId="17" applyFont="1" applyFill="1" applyBorder="1" applyAlignment="1">
      <alignment vertical="center" shrinkToFit="1"/>
    </xf>
    <xf numFmtId="38" fontId="12" fillId="0" borderId="54" xfId="17" applyFont="1" applyFill="1" applyBorder="1" applyAlignment="1">
      <alignment vertical="center" shrinkToFit="1"/>
    </xf>
    <xf numFmtId="38" fontId="12" fillId="0" borderId="20" xfId="17" applyFont="1" applyFill="1" applyBorder="1" applyAlignment="1">
      <alignment vertical="center" shrinkToFit="1"/>
    </xf>
    <xf numFmtId="177" fontId="17" fillId="0" borderId="0" xfId="0" applyNumberFormat="1" applyFont="1" applyFill="1" applyAlignment="1">
      <alignment/>
    </xf>
    <xf numFmtId="177" fontId="17" fillId="0" borderId="3" xfId="0" applyNumberFormat="1" applyFont="1" applyFill="1" applyBorder="1" applyAlignment="1">
      <alignment/>
    </xf>
    <xf numFmtId="177" fontId="17" fillId="0" borderId="51" xfId="0" applyNumberFormat="1" applyFont="1" applyFill="1" applyBorder="1" applyAlignment="1">
      <alignment/>
    </xf>
    <xf numFmtId="188" fontId="17" fillId="0" borderId="0" xfId="15" applyNumberFormat="1" applyFont="1" applyFill="1" applyAlignment="1">
      <alignment vertical="center"/>
    </xf>
    <xf numFmtId="38" fontId="9" fillId="0" borderId="7" xfId="0" applyNumberFormat="1" applyFont="1" applyFill="1" applyBorder="1" applyAlignment="1">
      <alignment vertical="center"/>
    </xf>
    <xf numFmtId="176" fontId="9" fillId="0" borderId="0" xfId="0" applyNumberFormat="1" applyFont="1" applyAlignment="1">
      <alignment horizontal="center"/>
    </xf>
    <xf numFmtId="38" fontId="12" fillId="0" borderId="5" xfId="17" applyFont="1" applyFill="1" applyBorder="1" applyAlignment="1">
      <alignment vertical="center" shrinkToFit="1"/>
    </xf>
    <xf numFmtId="38" fontId="12" fillId="0" borderId="59" xfId="17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vertical="center"/>
    </xf>
    <xf numFmtId="38" fontId="9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1" fontId="12" fillId="0" borderId="21" xfId="0" applyNumberFormat="1" applyFont="1" applyFill="1" applyBorder="1" applyAlignment="1">
      <alignment vertical="center"/>
    </xf>
    <xf numFmtId="0" fontId="19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12" fillId="0" borderId="36" xfId="0" applyFont="1" applyFill="1" applyBorder="1" applyAlignment="1">
      <alignment/>
    </xf>
    <xf numFmtId="0" fontId="12" fillId="0" borderId="8" xfId="0" applyFont="1" applyFill="1" applyBorder="1" applyAlignment="1">
      <alignment/>
    </xf>
    <xf numFmtId="0" fontId="19" fillId="0" borderId="66" xfId="0" applyFont="1" applyFill="1" applyBorder="1" applyAlignment="1">
      <alignment horizontal="center" vertical="center"/>
    </xf>
    <xf numFmtId="0" fontId="19" fillId="0" borderId="67" xfId="0" applyFont="1" applyFill="1" applyBorder="1" applyAlignment="1">
      <alignment horizontal="center" vertical="center"/>
    </xf>
    <xf numFmtId="41" fontId="12" fillId="0" borderId="61" xfId="17" applyNumberFormat="1" applyFont="1" applyFill="1" applyBorder="1" applyAlignment="1">
      <alignment horizontal="center" vertical="center"/>
    </xf>
    <xf numFmtId="41" fontId="12" fillId="0" borderId="42" xfId="17" applyNumberFormat="1" applyFont="1" applyFill="1" applyBorder="1" applyAlignment="1">
      <alignment horizontal="center" vertical="center"/>
    </xf>
    <xf numFmtId="41" fontId="12" fillId="0" borderId="59" xfId="17" applyNumberFormat="1" applyFont="1" applyFill="1" applyBorder="1" applyAlignment="1">
      <alignment horizontal="center" vertical="center"/>
    </xf>
    <xf numFmtId="41" fontId="12" fillId="0" borderId="60" xfId="17" applyNumberFormat="1" applyFont="1" applyFill="1" applyBorder="1" applyAlignment="1">
      <alignment horizontal="center" vertical="center"/>
    </xf>
    <xf numFmtId="41" fontId="12" fillId="0" borderId="56" xfId="17" applyNumberFormat="1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/>
    </xf>
    <xf numFmtId="41" fontId="12" fillId="0" borderId="29" xfId="17" applyNumberFormat="1" applyFont="1" applyFill="1" applyBorder="1" applyAlignment="1">
      <alignment horizontal="center" vertical="center"/>
    </xf>
    <xf numFmtId="41" fontId="12" fillId="0" borderId="41" xfId="17" applyNumberFormat="1" applyFont="1" applyFill="1" applyBorder="1" applyAlignment="1">
      <alignment horizontal="center" vertical="center"/>
    </xf>
    <xf numFmtId="41" fontId="12" fillId="0" borderId="51" xfId="17" applyNumberFormat="1" applyFont="1" applyFill="1" applyBorder="1" applyAlignment="1">
      <alignment horizontal="center" vertical="center"/>
    </xf>
    <xf numFmtId="41" fontId="12" fillId="0" borderId="50" xfId="17" applyNumberFormat="1" applyFont="1" applyFill="1" applyBorder="1" applyAlignment="1">
      <alignment horizontal="center" vertical="center"/>
    </xf>
    <xf numFmtId="41" fontId="12" fillId="0" borderId="59" xfId="0" applyNumberFormat="1" applyFont="1" applyFill="1" applyBorder="1" applyAlignment="1">
      <alignment vertical="center"/>
    </xf>
    <xf numFmtId="41" fontId="12" fillId="0" borderId="9" xfId="0" applyNumberFormat="1" applyFont="1" applyFill="1" applyBorder="1" applyAlignment="1">
      <alignment vertical="center"/>
    </xf>
    <xf numFmtId="41" fontId="12" fillId="0" borderId="14" xfId="0" applyNumberFormat="1" applyFont="1" applyFill="1" applyBorder="1" applyAlignment="1">
      <alignment vertical="center"/>
    </xf>
    <xf numFmtId="41" fontId="12" fillId="0" borderId="28" xfId="0" applyNumberFormat="1" applyFont="1" applyFill="1" applyBorder="1" applyAlignment="1">
      <alignment vertical="center"/>
    </xf>
    <xf numFmtId="41" fontId="12" fillId="0" borderId="27" xfId="0" applyNumberFormat="1" applyFont="1" applyFill="1" applyBorder="1" applyAlignment="1">
      <alignment vertical="center"/>
    </xf>
    <xf numFmtId="214" fontId="12" fillId="0" borderId="33" xfId="0" applyNumberFormat="1" applyFont="1" applyFill="1" applyBorder="1" applyAlignment="1">
      <alignment vertical="center"/>
    </xf>
    <xf numFmtId="214" fontId="12" fillId="0" borderId="28" xfId="0" applyNumberFormat="1" applyFont="1" applyFill="1" applyBorder="1" applyAlignment="1">
      <alignment vertical="center"/>
    </xf>
    <xf numFmtId="41" fontId="12" fillId="0" borderId="14" xfId="17" applyNumberFormat="1" applyFont="1" applyFill="1" applyBorder="1" applyAlignment="1">
      <alignment vertical="center"/>
    </xf>
    <xf numFmtId="41" fontId="12" fillId="0" borderId="69" xfId="0" applyNumberFormat="1" applyFont="1" applyFill="1" applyBorder="1" applyAlignment="1">
      <alignment vertical="center"/>
    </xf>
    <xf numFmtId="41" fontId="12" fillId="0" borderId="23" xfId="17" applyNumberFormat="1" applyFont="1" applyFill="1" applyBorder="1" applyAlignment="1">
      <alignment horizontal="center" vertical="center"/>
    </xf>
    <xf numFmtId="41" fontId="12" fillId="0" borderId="27" xfId="17" applyNumberFormat="1" applyFont="1" applyFill="1" applyBorder="1" applyAlignment="1">
      <alignment vertical="center"/>
    </xf>
    <xf numFmtId="0" fontId="19" fillId="0" borderId="70" xfId="0" applyFont="1" applyFill="1" applyBorder="1" applyAlignment="1">
      <alignment horizontal="center" vertical="center"/>
    </xf>
    <xf numFmtId="216" fontId="9" fillId="0" borderId="0" xfId="17" applyNumberFormat="1" applyFont="1" applyAlignment="1">
      <alignment/>
    </xf>
    <xf numFmtId="41" fontId="9" fillId="0" borderId="0" xfId="0" applyNumberFormat="1" applyFont="1" applyFill="1" applyAlignment="1">
      <alignment/>
    </xf>
    <xf numFmtId="41" fontId="9" fillId="0" borderId="9" xfId="17" applyNumberFormat="1" applyFont="1" applyFill="1" applyBorder="1" applyAlignment="1">
      <alignment vertical="center"/>
    </xf>
    <xf numFmtId="41" fontId="9" fillId="0" borderId="14" xfId="17" applyNumberFormat="1" applyFont="1" applyFill="1" applyBorder="1" applyAlignment="1">
      <alignment vertical="center"/>
    </xf>
    <xf numFmtId="41" fontId="9" fillId="0" borderId="27" xfId="17" applyNumberFormat="1" applyFont="1" applyFill="1" applyBorder="1" applyAlignment="1">
      <alignment vertical="center"/>
    </xf>
    <xf numFmtId="41" fontId="9" fillId="0" borderId="28" xfId="17" applyNumberFormat="1" applyFont="1" applyFill="1" applyBorder="1" applyAlignment="1">
      <alignment vertical="center"/>
    </xf>
    <xf numFmtId="41" fontId="9" fillId="0" borderId="61" xfId="17" applyNumberFormat="1" applyFont="1" applyFill="1" applyBorder="1" applyAlignment="1">
      <alignment horizontal="right" vertical="center"/>
    </xf>
    <xf numFmtId="41" fontId="9" fillId="0" borderId="23" xfId="17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41" fontId="9" fillId="0" borderId="20" xfId="0" applyNumberFormat="1" applyFont="1" applyFill="1" applyBorder="1" applyAlignment="1">
      <alignment vertical="center"/>
    </xf>
    <xf numFmtId="0" fontId="17" fillId="0" borderId="71" xfId="0" applyFont="1" applyBorder="1" applyAlignment="1">
      <alignment/>
    </xf>
    <xf numFmtId="0" fontId="17" fillId="0" borderId="72" xfId="0" applyFont="1" applyBorder="1" applyAlignment="1">
      <alignment/>
    </xf>
    <xf numFmtId="0" fontId="17" fillId="0" borderId="58" xfId="0" applyFont="1" applyBorder="1" applyAlignment="1">
      <alignment/>
    </xf>
    <xf numFmtId="41" fontId="9" fillId="0" borderId="34" xfId="0" applyNumberFormat="1" applyFont="1" applyFill="1" applyBorder="1" applyAlignment="1">
      <alignment vertical="center"/>
    </xf>
    <xf numFmtId="195" fontId="17" fillId="0" borderId="0" xfId="0" applyNumberFormat="1" applyFont="1" applyFill="1" applyAlignment="1">
      <alignment vertical="center"/>
    </xf>
    <xf numFmtId="196" fontId="17" fillId="0" borderId="0" xfId="0" applyNumberFormat="1" applyFont="1" applyFill="1" applyAlignment="1">
      <alignment vertical="center"/>
    </xf>
    <xf numFmtId="38" fontId="14" fillId="0" borderId="0" xfId="17" applyFont="1" applyFill="1" applyBorder="1" applyAlignment="1">
      <alignment vertical="center"/>
    </xf>
    <xf numFmtId="38" fontId="12" fillId="0" borderId="0" xfId="17" applyFont="1" applyFill="1" applyBorder="1" applyAlignment="1">
      <alignment vertical="center"/>
    </xf>
    <xf numFmtId="38" fontId="12" fillId="0" borderId="8" xfId="17" applyFont="1" applyFill="1" applyBorder="1" applyAlignment="1">
      <alignment vertical="center"/>
    </xf>
    <xf numFmtId="38" fontId="12" fillId="0" borderId="28" xfId="0" applyNumberFormat="1" applyFont="1" applyFill="1" applyBorder="1" applyAlignment="1">
      <alignment vertical="center" shrinkToFit="1"/>
    </xf>
    <xf numFmtId="38" fontId="12" fillId="0" borderId="26" xfId="17" applyFont="1" applyFill="1" applyBorder="1" applyAlignment="1">
      <alignment horizontal="right" vertical="center"/>
    </xf>
    <xf numFmtId="38" fontId="12" fillId="0" borderId="14" xfId="17" applyFont="1" applyFill="1" applyBorder="1" applyAlignment="1">
      <alignment horizontal="right" vertical="center"/>
    </xf>
    <xf numFmtId="38" fontId="12" fillId="0" borderId="32" xfId="17" applyFont="1" applyFill="1" applyBorder="1" applyAlignment="1">
      <alignment vertical="center"/>
    </xf>
    <xf numFmtId="38" fontId="12" fillId="0" borderId="25" xfId="17" applyFont="1" applyFill="1" applyBorder="1" applyAlignment="1">
      <alignment vertical="center"/>
    </xf>
    <xf numFmtId="38" fontId="12" fillId="0" borderId="22" xfId="17" applyFont="1" applyFill="1" applyBorder="1" applyAlignment="1">
      <alignment horizontal="right" vertical="center"/>
    </xf>
    <xf numFmtId="38" fontId="12" fillId="0" borderId="61" xfId="17" applyFont="1" applyFill="1" applyBorder="1" applyAlignment="1">
      <alignment horizontal="right" vertical="center"/>
    </xf>
    <xf numFmtId="38" fontId="12" fillId="0" borderId="23" xfId="17" applyFont="1" applyFill="1" applyBorder="1" applyAlignment="1">
      <alignment horizontal="right" vertical="center"/>
    </xf>
    <xf numFmtId="38" fontId="12" fillId="0" borderId="24" xfId="17" applyFont="1" applyFill="1" applyBorder="1" applyAlignment="1">
      <alignment horizontal="right" vertical="center"/>
    </xf>
    <xf numFmtId="38" fontId="12" fillId="0" borderId="42" xfId="17" applyFont="1" applyFill="1" applyBorder="1" applyAlignment="1">
      <alignment horizontal="right" vertical="center"/>
    </xf>
    <xf numFmtId="38" fontId="12" fillId="0" borderId="9" xfId="17" applyFont="1" applyFill="1" applyBorder="1" applyAlignment="1">
      <alignment horizontal="right" vertical="center"/>
    </xf>
    <xf numFmtId="0" fontId="34" fillId="0" borderId="4" xfId="0" applyNumberFormat="1" applyFont="1" applyFill="1" applyBorder="1" applyAlignment="1">
      <alignment vertical="center"/>
    </xf>
    <xf numFmtId="0" fontId="34" fillId="0" borderId="4" xfId="0" applyNumberFormat="1" applyFont="1" applyBorder="1" applyAlignment="1">
      <alignment vertical="center"/>
    </xf>
    <xf numFmtId="38" fontId="12" fillId="0" borderId="31" xfId="17" applyFont="1" applyFill="1" applyBorder="1" applyAlignment="1">
      <alignment horizontal="right" vertical="center"/>
    </xf>
    <xf numFmtId="38" fontId="12" fillId="0" borderId="60" xfId="17" applyFont="1" applyFill="1" applyBorder="1" applyAlignment="1">
      <alignment horizontal="right" vertical="center"/>
    </xf>
    <xf numFmtId="38" fontId="12" fillId="0" borderId="27" xfId="17" applyFont="1" applyFill="1" applyBorder="1" applyAlignment="1">
      <alignment horizontal="right" vertical="center"/>
    </xf>
    <xf numFmtId="38" fontId="12" fillId="0" borderId="55" xfId="17" applyFont="1" applyFill="1" applyBorder="1" applyAlignment="1">
      <alignment vertical="center"/>
    </xf>
    <xf numFmtId="38" fontId="12" fillId="0" borderId="21" xfId="17" applyFont="1" applyFill="1" applyBorder="1" applyAlignment="1">
      <alignment horizontal="right" vertical="center"/>
    </xf>
    <xf numFmtId="38" fontId="12" fillId="0" borderId="33" xfId="17" applyFont="1" applyFill="1" applyBorder="1" applyAlignment="1">
      <alignment horizontal="right" vertical="center"/>
    </xf>
    <xf numFmtId="38" fontId="12" fillId="0" borderId="20" xfId="17" applyFont="1" applyFill="1" applyBorder="1" applyAlignment="1">
      <alignment vertical="center"/>
    </xf>
    <xf numFmtId="38" fontId="12" fillId="0" borderId="54" xfId="17" applyFont="1" applyFill="1" applyBorder="1" applyAlignment="1">
      <alignment vertical="center"/>
    </xf>
    <xf numFmtId="38" fontId="12" fillId="0" borderId="73" xfId="17" applyFont="1" applyFill="1" applyBorder="1" applyAlignment="1">
      <alignment vertical="center" shrinkToFit="1"/>
    </xf>
    <xf numFmtId="38" fontId="12" fillId="0" borderId="14" xfId="17" applyFont="1" applyFill="1" applyBorder="1" applyAlignment="1">
      <alignment vertical="center" shrinkToFit="1"/>
    </xf>
    <xf numFmtId="38" fontId="12" fillId="0" borderId="0" xfId="17" applyFont="1" applyFill="1" applyAlignment="1">
      <alignment horizontal="center" vertical="center" wrapText="1"/>
    </xf>
    <xf numFmtId="38" fontId="12" fillId="0" borderId="74" xfId="17" applyFont="1" applyFill="1" applyBorder="1" applyAlignment="1">
      <alignment horizontal="center" vertical="center" wrapText="1"/>
    </xf>
    <xf numFmtId="38" fontId="12" fillId="0" borderId="66" xfId="17" applyFont="1" applyFill="1" applyBorder="1" applyAlignment="1">
      <alignment horizontal="center" vertical="center" wrapText="1"/>
    </xf>
    <xf numFmtId="38" fontId="12" fillId="0" borderId="38" xfId="17" applyFont="1" applyFill="1" applyBorder="1" applyAlignment="1">
      <alignment horizontal="right" vertical="center"/>
    </xf>
    <xf numFmtId="38" fontId="12" fillId="0" borderId="8" xfId="17" applyFont="1" applyFill="1" applyBorder="1" applyAlignment="1">
      <alignment horizontal="right" vertical="center"/>
    </xf>
    <xf numFmtId="38" fontId="12" fillId="0" borderId="73" xfId="17" applyFont="1" applyFill="1" applyBorder="1" applyAlignment="1">
      <alignment horizontal="right" vertical="center"/>
    </xf>
    <xf numFmtId="38" fontId="12" fillId="0" borderId="75" xfId="17" applyFont="1" applyFill="1" applyBorder="1" applyAlignment="1">
      <alignment horizontal="right" vertical="center"/>
    </xf>
    <xf numFmtId="38" fontId="12" fillId="0" borderId="73" xfId="17" applyFont="1" applyFill="1" applyBorder="1" applyAlignment="1">
      <alignment vertical="center"/>
    </xf>
    <xf numFmtId="38" fontId="12" fillId="0" borderId="18" xfId="17" applyFont="1" applyFill="1" applyBorder="1" applyAlignment="1">
      <alignment vertical="center"/>
    </xf>
    <xf numFmtId="38" fontId="12" fillId="0" borderId="18" xfId="0" applyNumberFormat="1" applyFont="1" applyFill="1" applyBorder="1" applyAlignment="1">
      <alignment vertical="center" shrinkToFit="1"/>
    </xf>
    <xf numFmtId="38" fontId="12" fillId="0" borderId="28" xfId="17" applyFont="1" applyFill="1" applyBorder="1" applyAlignment="1">
      <alignment horizontal="right" vertical="center"/>
    </xf>
    <xf numFmtId="41" fontId="9" fillId="0" borderId="59" xfId="0" applyNumberFormat="1" applyFont="1" applyBorder="1" applyAlignment="1">
      <alignment horizontal="right" vertical="center"/>
    </xf>
    <xf numFmtId="3" fontId="9" fillId="0" borderId="38" xfId="0" applyNumberFormat="1" applyFont="1" applyFill="1" applyBorder="1" applyAlignment="1">
      <alignment horizontal="right"/>
    </xf>
    <xf numFmtId="0" fontId="9" fillId="0" borderId="29" xfId="0" applyFont="1" applyFill="1" applyBorder="1" applyAlignment="1">
      <alignment/>
    </xf>
    <xf numFmtId="0" fontId="9" fillId="0" borderId="54" xfId="0" applyFont="1" applyBorder="1" applyAlignment="1">
      <alignment/>
    </xf>
    <xf numFmtId="0" fontId="9" fillId="0" borderId="32" xfId="0" applyFont="1" applyBorder="1" applyAlignment="1">
      <alignment/>
    </xf>
    <xf numFmtId="0" fontId="12" fillId="0" borderId="54" xfId="0" applyFont="1" applyFill="1" applyBorder="1" applyAlignment="1">
      <alignment vertical="center"/>
    </xf>
    <xf numFmtId="0" fontId="12" fillId="0" borderId="55" xfId="0" applyFont="1" applyFill="1" applyBorder="1" applyAlignment="1">
      <alignment vertical="center"/>
    </xf>
    <xf numFmtId="41" fontId="9" fillId="0" borderId="22" xfId="21" applyNumberFormat="1" applyFont="1" applyFill="1" applyBorder="1" applyAlignment="1">
      <alignment vertical="center"/>
      <protection/>
    </xf>
    <xf numFmtId="41" fontId="9" fillId="0" borderId="16" xfId="21" applyNumberFormat="1" applyFont="1" applyFill="1" applyBorder="1" applyAlignment="1">
      <alignment vertical="center"/>
      <protection/>
    </xf>
    <xf numFmtId="41" fontId="10" fillId="0" borderId="76" xfId="21" applyNumberFormat="1" applyFont="1" applyFill="1" applyBorder="1" applyAlignment="1">
      <alignment vertical="center" wrapText="1"/>
      <protection/>
    </xf>
    <xf numFmtId="41" fontId="10" fillId="0" borderId="77" xfId="21" applyNumberFormat="1" applyFont="1" applyFill="1" applyBorder="1" applyAlignment="1">
      <alignment vertical="center" wrapText="1"/>
      <protection/>
    </xf>
    <xf numFmtId="41" fontId="10" fillId="0" borderId="78" xfId="21" applyNumberFormat="1" applyFont="1" applyFill="1" applyBorder="1" applyAlignment="1">
      <alignment vertical="center" wrapText="1"/>
      <protection/>
    </xf>
    <xf numFmtId="41" fontId="9" fillId="0" borderId="26" xfId="0" applyNumberFormat="1" applyFont="1" applyBorder="1" applyAlignment="1">
      <alignment horizontal="right" vertical="center"/>
    </xf>
    <xf numFmtId="41" fontId="9" fillId="0" borderId="14" xfId="0" applyNumberFormat="1" applyFont="1" applyBorder="1" applyAlignment="1">
      <alignment horizontal="right" vertical="center"/>
    </xf>
    <xf numFmtId="41" fontId="9" fillId="0" borderId="52" xfId="0" applyNumberFormat="1" applyFont="1" applyBorder="1" applyAlignment="1">
      <alignment horizontal="right" vertical="center"/>
    </xf>
    <xf numFmtId="41" fontId="9" fillId="0" borderId="5" xfId="17" applyNumberFormat="1" applyFont="1" applyFill="1" applyBorder="1" applyAlignment="1">
      <alignment horizontal="right" vertical="center"/>
    </xf>
    <xf numFmtId="41" fontId="9" fillId="0" borderId="24" xfId="17" applyNumberFormat="1" applyFont="1" applyFill="1" applyBorder="1" applyAlignment="1">
      <alignment horizontal="right" vertical="center"/>
    </xf>
    <xf numFmtId="41" fontId="9" fillId="0" borderId="42" xfId="17" applyNumberFormat="1" applyFont="1" applyFill="1" applyBorder="1" applyAlignment="1">
      <alignment horizontal="right" vertical="center"/>
    </xf>
    <xf numFmtId="41" fontId="9" fillId="0" borderId="53" xfId="0" applyNumberFormat="1" applyFont="1" applyBorder="1" applyAlignment="1">
      <alignment horizontal="right" vertical="center"/>
    </xf>
    <xf numFmtId="41" fontId="9" fillId="0" borderId="31" xfId="0" applyNumberFormat="1" applyFont="1" applyBorder="1" applyAlignment="1">
      <alignment horizontal="right" vertical="center"/>
    </xf>
    <xf numFmtId="41" fontId="9" fillId="0" borderId="60" xfId="0" applyNumberFormat="1" applyFont="1" applyBorder="1" applyAlignment="1">
      <alignment horizontal="right" vertical="center"/>
    </xf>
    <xf numFmtId="41" fontId="9" fillId="0" borderId="5" xfId="0" applyNumberFormat="1" applyFont="1" applyBorder="1" applyAlignment="1">
      <alignment horizontal="right" vertical="center"/>
    </xf>
    <xf numFmtId="41" fontId="9" fillId="0" borderId="24" xfId="0" applyNumberFormat="1" applyFont="1" applyBorder="1" applyAlignment="1">
      <alignment horizontal="right" vertical="center"/>
    </xf>
    <xf numFmtId="41" fontId="9" fillId="0" borderId="42" xfId="0" applyNumberFormat="1" applyFont="1" applyBorder="1" applyAlignment="1">
      <alignment horizontal="right" vertical="center"/>
    </xf>
    <xf numFmtId="41" fontId="9" fillId="0" borderId="9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41" fontId="9" fillId="0" borderId="16" xfId="0" applyNumberFormat="1" applyFont="1" applyBorder="1" applyAlignment="1">
      <alignment horizontal="right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33" xfId="0" applyNumberFormat="1" applyFont="1" applyBorder="1" applyAlignment="1">
      <alignment horizontal="right" vertical="center"/>
    </xf>
    <xf numFmtId="41" fontId="9" fillId="0" borderId="28" xfId="0" applyNumberFormat="1" applyFont="1" applyBorder="1" applyAlignment="1">
      <alignment horizontal="right" vertical="center"/>
    </xf>
    <xf numFmtId="41" fontId="9" fillId="0" borderId="16" xfId="17" applyNumberFormat="1" applyFont="1" applyFill="1" applyBorder="1" applyAlignment="1">
      <alignment horizontal="right" vertical="center"/>
    </xf>
    <xf numFmtId="41" fontId="9" fillId="0" borderId="21" xfId="17" applyNumberFormat="1" applyFont="1" applyFill="1" applyBorder="1" applyAlignment="1">
      <alignment horizontal="right" vertical="center"/>
    </xf>
    <xf numFmtId="41" fontId="9" fillId="0" borderId="33" xfId="17" applyNumberFormat="1" applyFont="1" applyFill="1" applyBorder="1" applyAlignment="1">
      <alignment horizontal="right" vertical="center"/>
    </xf>
    <xf numFmtId="41" fontId="9" fillId="0" borderId="28" xfId="17" applyNumberFormat="1" applyFont="1" applyFill="1" applyBorder="1" applyAlignment="1">
      <alignment horizontal="right" vertical="center"/>
    </xf>
    <xf numFmtId="41" fontId="9" fillId="0" borderId="52" xfId="0" applyNumberFormat="1" applyFont="1" applyFill="1" applyBorder="1" applyAlignment="1">
      <alignment horizontal="right" vertical="center"/>
    </xf>
    <xf numFmtId="41" fontId="9" fillId="0" borderId="26" xfId="0" applyNumberFormat="1" applyFont="1" applyFill="1" applyBorder="1" applyAlignment="1">
      <alignment horizontal="right" vertical="center"/>
    </xf>
    <xf numFmtId="41" fontId="9" fillId="0" borderId="59" xfId="0" applyNumberFormat="1" applyFont="1" applyFill="1" applyBorder="1" applyAlignment="1">
      <alignment horizontal="right" vertical="center"/>
    </xf>
    <xf numFmtId="41" fontId="9" fillId="0" borderId="9" xfId="17" applyNumberFormat="1" applyFont="1" applyFill="1" applyBorder="1" applyAlignment="1">
      <alignment horizontal="right" vertical="center"/>
    </xf>
    <xf numFmtId="41" fontId="9" fillId="0" borderId="14" xfId="0" applyNumberFormat="1" applyFont="1" applyFill="1" applyBorder="1" applyAlignment="1">
      <alignment horizontal="right" vertical="center"/>
    </xf>
    <xf numFmtId="41" fontId="10" fillId="0" borderId="77" xfId="21" applyNumberFormat="1" applyFont="1" applyFill="1" applyBorder="1" applyAlignment="1">
      <alignment horizontal="center" vertical="center" wrapText="1"/>
      <protection/>
    </xf>
    <xf numFmtId="41" fontId="12" fillId="0" borderId="16" xfId="0" applyNumberFormat="1" applyFont="1" applyFill="1" applyBorder="1" applyAlignment="1">
      <alignment vertical="center"/>
    </xf>
    <xf numFmtId="41" fontId="12" fillId="0" borderId="23" xfId="0" applyNumberFormat="1" applyFont="1" applyFill="1" applyBorder="1" applyAlignment="1">
      <alignment vertical="center"/>
    </xf>
    <xf numFmtId="190" fontId="17" fillId="0" borderId="0" xfId="0" applyNumberFormat="1" applyFont="1" applyFill="1" applyAlignment="1">
      <alignment vertical="center"/>
    </xf>
    <xf numFmtId="192" fontId="17" fillId="0" borderId="0" xfId="0" applyNumberFormat="1" applyFont="1" applyFill="1" applyAlignment="1">
      <alignment vertical="center"/>
    </xf>
    <xf numFmtId="0" fontId="12" fillId="0" borderId="8" xfId="0" applyFont="1" applyFill="1" applyBorder="1" applyAlignment="1">
      <alignment vertical="center" shrinkToFit="1"/>
    </xf>
    <xf numFmtId="0" fontId="12" fillId="0" borderId="8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5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0" xfId="0" applyFont="1" applyAlignment="1">
      <alignment vertical="center" shrinkToFit="1"/>
    </xf>
    <xf numFmtId="0" fontId="9" fillId="0" borderId="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vertical="center"/>
    </xf>
    <xf numFmtId="0" fontId="9" fillId="0" borderId="79" xfId="0" applyFont="1" applyFill="1" applyBorder="1" applyAlignment="1">
      <alignment vertical="center"/>
    </xf>
    <xf numFmtId="0" fontId="9" fillId="0" borderId="62" xfId="0" applyFont="1" applyFill="1" applyBorder="1" applyAlignment="1">
      <alignment vertical="center"/>
    </xf>
    <xf numFmtId="0" fontId="9" fillId="0" borderId="58" xfId="0" applyFont="1" applyFill="1" applyBorder="1" applyAlignment="1">
      <alignment vertical="center"/>
    </xf>
    <xf numFmtId="0" fontId="9" fillId="0" borderId="60" xfId="0" applyFont="1" applyFill="1" applyBorder="1" applyAlignment="1">
      <alignment vertical="center" textRotation="255" shrinkToFit="1"/>
    </xf>
    <xf numFmtId="0" fontId="9" fillId="0" borderId="42" xfId="0" applyFont="1" applyFill="1" applyBorder="1" applyAlignment="1">
      <alignment vertical="center" textRotation="255" shrinkToFit="1"/>
    </xf>
    <xf numFmtId="0" fontId="9" fillId="0" borderId="65" xfId="0" applyFont="1" applyFill="1" applyBorder="1" applyAlignment="1">
      <alignment vertical="center" textRotation="255" shrinkToFit="1"/>
    </xf>
    <xf numFmtId="0" fontId="9" fillId="0" borderId="63" xfId="0" applyFont="1" applyFill="1" applyBorder="1" applyAlignment="1">
      <alignment vertical="center"/>
    </xf>
    <xf numFmtId="0" fontId="9" fillId="0" borderId="80" xfId="0" applyFont="1" applyFill="1" applyBorder="1" applyAlignment="1">
      <alignment vertical="center"/>
    </xf>
    <xf numFmtId="0" fontId="9" fillId="0" borderId="64" xfId="0" applyFont="1" applyFill="1" applyBorder="1" applyAlignment="1">
      <alignment vertical="center"/>
    </xf>
    <xf numFmtId="0" fontId="9" fillId="0" borderId="42" xfId="0" applyFont="1" applyFill="1" applyBorder="1" applyAlignment="1">
      <alignment vertical="center" textRotation="255"/>
    </xf>
    <xf numFmtId="0" fontId="9" fillId="0" borderId="59" xfId="0" applyFont="1" applyFill="1" applyBorder="1" applyAlignment="1">
      <alignment vertical="center" textRotation="255"/>
    </xf>
    <xf numFmtId="0" fontId="9" fillId="0" borderId="34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vertical="center" shrinkToFit="1"/>
    </xf>
    <xf numFmtId="0" fontId="9" fillId="0" borderId="82" xfId="0" applyFont="1" applyFill="1" applyBorder="1" applyAlignment="1">
      <alignment vertical="center" shrinkToFit="1"/>
    </xf>
    <xf numFmtId="0" fontId="9" fillId="0" borderId="83" xfId="0" applyFont="1" applyFill="1" applyBorder="1" applyAlignment="1">
      <alignment vertical="center" shrinkToFit="1"/>
    </xf>
    <xf numFmtId="0" fontId="10" fillId="0" borderId="49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7" fillId="0" borderId="34" xfId="0" applyFont="1" applyBorder="1" applyAlignment="1">
      <alignment horizontal="center" vertical="center" shrinkToFit="1"/>
    </xf>
    <xf numFmtId="0" fontId="17" fillId="0" borderId="51" xfId="0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wrapText="1" shrinkToFit="1"/>
    </xf>
    <xf numFmtId="0" fontId="10" fillId="0" borderId="62" xfId="0" applyFont="1" applyBorder="1" applyAlignment="1">
      <alignment horizontal="center" vertical="center" wrapText="1" shrinkToFit="1"/>
    </xf>
    <xf numFmtId="0" fontId="17" fillId="0" borderId="58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38" fontId="12" fillId="0" borderId="84" xfId="17" applyFont="1" applyFill="1" applyBorder="1" applyAlignment="1">
      <alignment horizontal="center" vertical="center" wrapText="1"/>
    </xf>
    <xf numFmtId="38" fontId="12" fillId="0" borderId="85" xfId="17" applyFont="1" applyFill="1" applyBorder="1" applyAlignment="1">
      <alignment horizontal="center" vertical="center" wrapText="1"/>
    </xf>
    <xf numFmtId="38" fontId="12" fillId="0" borderId="86" xfId="17" applyFont="1" applyFill="1" applyBorder="1" applyAlignment="1">
      <alignment horizontal="center" vertical="center" wrapText="1"/>
    </xf>
    <xf numFmtId="38" fontId="12" fillId="0" borderId="23" xfId="17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>
      <alignment horizontal="center" vertical="center"/>
    </xf>
    <xf numFmtId="38" fontId="12" fillId="0" borderId="87" xfId="17" applyFont="1" applyFill="1" applyBorder="1" applyAlignment="1">
      <alignment horizontal="center" vertical="center" wrapText="1"/>
    </xf>
    <xf numFmtId="38" fontId="12" fillId="0" borderId="88" xfId="17" applyFont="1" applyFill="1" applyBorder="1" applyAlignment="1">
      <alignment horizontal="center" vertical="center" wrapText="1"/>
    </xf>
    <xf numFmtId="38" fontId="12" fillId="0" borderId="23" xfId="17" applyFont="1" applyFill="1" applyBorder="1" applyAlignment="1">
      <alignment horizontal="center" vertical="center" wrapText="1"/>
    </xf>
    <xf numFmtId="38" fontId="12" fillId="0" borderId="28" xfId="17" applyFont="1" applyFill="1" applyBorder="1" applyAlignment="1">
      <alignment horizontal="center" vertical="center" wrapText="1"/>
    </xf>
    <xf numFmtId="38" fontId="12" fillId="0" borderId="22" xfId="17" applyFont="1" applyFill="1" applyBorder="1" applyAlignment="1">
      <alignment horizontal="center" vertical="center" wrapText="1"/>
    </xf>
    <xf numFmtId="38" fontId="12" fillId="0" borderId="61" xfId="17" applyFont="1" applyFill="1" applyBorder="1" applyAlignment="1">
      <alignment horizontal="center" vertical="center" wrapText="1"/>
    </xf>
    <xf numFmtId="38" fontId="12" fillId="0" borderId="8" xfId="17" applyFont="1" applyFill="1" applyBorder="1" applyAlignment="1">
      <alignment horizontal="center" vertical="center" wrapText="1"/>
    </xf>
    <xf numFmtId="38" fontId="12" fillId="0" borderId="18" xfId="17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shrinkToFit="1"/>
    </xf>
    <xf numFmtId="0" fontId="19" fillId="0" borderId="21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37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17" xfId="0" applyFont="1" applyFill="1" applyBorder="1" applyAlignment="1">
      <alignment horizontal="center" vertical="center" shrinkToFit="1"/>
    </xf>
    <xf numFmtId="0" fontId="19" fillId="0" borderId="54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vertical="center" wrapText="1"/>
    </xf>
    <xf numFmtId="0" fontId="9" fillId="0" borderId="49" xfId="0" applyFont="1" applyFill="1" applyBorder="1" applyAlignment="1">
      <alignment vertical="center" wrapText="1"/>
    </xf>
    <xf numFmtId="0" fontId="9" fillId="0" borderId="7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6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9" fillId="0" borderId="8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3" fontId="10" fillId="0" borderId="60" xfId="0" applyNumberFormat="1" applyFont="1" applyFill="1" applyBorder="1" applyAlignment="1">
      <alignment horizontal="center" vertical="center"/>
    </xf>
    <xf numFmtId="3" fontId="10" fillId="0" borderId="33" xfId="0" applyNumberFormat="1" applyFont="1" applyFill="1" applyBorder="1" applyAlignment="1">
      <alignment horizontal="center" vertical="center"/>
    </xf>
    <xf numFmtId="3" fontId="10" fillId="0" borderId="60" xfId="0" applyNumberFormat="1" applyFont="1" applyFill="1" applyBorder="1" applyAlignment="1">
      <alignment horizontal="center" vertical="center" wrapText="1"/>
    </xf>
    <xf numFmtId="3" fontId="10" fillId="0" borderId="33" xfId="0" applyNumberFormat="1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3" fontId="10" fillId="0" borderId="54" xfId="0" applyNumberFormat="1" applyFont="1" applyFill="1" applyBorder="1" applyAlignment="1">
      <alignment horizontal="center" vertical="center" wrapText="1"/>
    </xf>
    <xf numFmtId="3" fontId="10" fillId="0" borderId="32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3" fontId="10" fillId="0" borderId="54" xfId="17" applyNumberFormat="1" applyFont="1" applyFill="1" applyBorder="1" applyAlignment="1">
      <alignment horizontal="center" vertical="center" wrapText="1"/>
    </xf>
    <xf numFmtId="3" fontId="10" fillId="0" borderId="32" xfId="17" applyNumberFormat="1" applyFont="1" applyFill="1" applyBorder="1" applyAlignment="1">
      <alignment horizontal="center" vertical="center"/>
    </xf>
    <xf numFmtId="3" fontId="10" fillId="0" borderId="20" xfId="17" applyNumberFormat="1" applyFont="1" applyFill="1" applyBorder="1" applyAlignment="1">
      <alignment horizontal="center" vertical="center"/>
    </xf>
    <xf numFmtId="3" fontId="31" fillId="0" borderId="27" xfId="0" applyNumberFormat="1" applyFont="1" applyFill="1" applyBorder="1" applyAlignment="1">
      <alignment horizontal="center" vertical="center" wrapText="1"/>
    </xf>
    <xf numFmtId="3" fontId="31" fillId="0" borderId="28" xfId="0" applyNumberFormat="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2" xfId="21"/>
    <cellStyle name="標準_12集団回収支援.xls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ごみ排出量と埋立処分量の推移</a:t>
            </a:r>
          </a:p>
        </c:rich>
      </c:tx>
      <c:layout/>
      <c:spPr>
        <a:noFill/>
        <a:ln w="127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</c:ser>
        <c:axId val="983519"/>
        <c:axId val="8851672"/>
      </c:barChart>
      <c:lineChart>
        <c:grouping val="standard"/>
        <c:varyColors val="0"/>
        <c:ser>
          <c:idx val="2"/>
          <c:order val="2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556185"/>
        <c:axId val="45896802"/>
      </c:lineChart>
      <c:catAx>
        <c:axId val="983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8851672"/>
        <c:crosses val="autoZero"/>
        <c:auto val="0"/>
        <c:lblOffset val="100"/>
        <c:noMultiLvlLbl val="0"/>
      </c:catAx>
      <c:valAx>
        <c:axId val="8851672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ごみ総排出量・埋立処分量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983519"/>
        <c:crossesAt val="1"/>
        <c:crossBetween val="between"/>
        <c:dispUnits/>
      </c:valAx>
      <c:catAx>
        <c:axId val="12556185"/>
        <c:scaling>
          <c:orientation val="minMax"/>
        </c:scaling>
        <c:axPos val="b"/>
        <c:delete val="1"/>
        <c:majorTickMark val="in"/>
        <c:minorTickMark val="none"/>
        <c:tickLblPos val="nextTo"/>
        <c:crossAx val="45896802"/>
        <c:crosses val="autoZero"/>
        <c:auto val="0"/>
        <c:lblOffset val="100"/>
        <c:noMultiLvlLbl val="0"/>
      </c:catAx>
      <c:valAx>
        <c:axId val="45896802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一人一日ごみ排出量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2556185"/>
        <c:crosses val="max"/>
        <c:crossBetween val="between"/>
        <c:dispUnits/>
        <c:majorUnit val="500"/>
      </c:valAx>
      <c:spPr>
        <a:noFill/>
        <a:ln w="12700">
          <a:solidFill/>
        </a:ln>
      </c:spPr>
    </c:plotArea>
    <c:legend>
      <c:legendPos val="b"/>
      <c:layout/>
      <c:overlay val="0"/>
      <c:spPr>
        <a:ln w="12700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ごみの処理及び維持管理費の推移</a:t>
            </a:r>
          </a:p>
        </c:rich>
      </c:tx>
      <c:layout/>
      <c:spPr>
        <a:noFill/>
        <a:ln w="127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'ア 処理現況４'!#REF!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'ア 処理現況４'!#REF!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処理現況４'!#REF!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処理現況４'!#REF!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778981"/>
        <c:axId val="11901966"/>
      </c:lineChart>
      <c:catAx>
        <c:axId val="8778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1901966"/>
        <c:crosses val="autoZero"/>
        <c:auto val="1"/>
        <c:lblOffset val="100"/>
        <c:noMultiLvlLbl val="0"/>
      </c:catAx>
      <c:valAx>
        <c:axId val="11901966"/>
        <c:scaling>
          <c:orientation val="minMax"/>
          <c:max val="4000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877898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2925"/>
          <c:w val="0.9555"/>
          <c:h val="0.84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'ア 処理現況４'!$R$42</c:f>
              <c:strCache>
                <c:ptCount val="1"/>
                <c:pt idx="0">
                  <c:v>資源化量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'ア 処理現況４'!$S$41:$AK$41</c:f>
              <c:numCache/>
            </c:numRef>
          </c:cat>
          <c:val>
            <c:numRef>
              <c:f>'ア 処理現況４'!$S$42:$AK$42</c:f>
              <c:numCache/>
            </c:numRef>
          </c:val>
        </c:ser>
        <c:ser>
          <c:idx val="1"/>
          <c:order val="1"/>
          <c:tx>
            <c:strRef>
              <c:f>'ア 処理現況４'!$R$43</c:f>
              <c:strCache>
                <c:ptCount val="1"/>
                <c:pt idx="0">
                  <c:v>集団回収量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'ア 処理現況４'!$S$41:$AK$41</c:f>
              <c:numCache/>
            </c:numRef>
          </c:cat>
          <c:val>
            <c:numRef>
              <c:f>'ア 処理現況４'!$S$43:$AK$43</c:f>
              <c:numCache/>
            </c:numRef>
          </c:val>
        </c:ser>
        <c:overlap val="100"/>
        <c:axId val="40008831"/>
        <c:axId val="24535160"/>
      </c:barChart>
      <c:lineChart>
        <c:grouping val="standard"/>
        <c:varyColors val="0"/>
        <c:ser>
          <c:idx val="2"/>
          <c:order val="2"/>
          <c:tx>
            <c:strRef>
              <c:f>'ア 処理現況４'!$R$45</c:f>
              <c:strCache>
                <c:ptCount val="1"/>
                <c:pt idx="0">
                  <c:v>リサイクル率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処理現況４'!$R$45</c:f>
              <c:strCache/>
            </c:strRef>
          </c:cat>
          <c:val>
            <c:numRef>
              <c:f>'ア 処理現況４'!$S$45:$AK$45</c:f>
              <c:numCache/>
            </c:numRef>
          </c:val>
          <c:smooth val="0"/>
        </c:ser>
        <c:axId val="19489849"/>
        <c:axId val="41190914"/>
      </c:lineChart>
      <c:lineChart>
        <c:grouping val="standard"/>
        <c:varyColors val="0"/>
        <c:ser>
          <c:idx val="3"/>
          <c:order val="3"/>
          <c:tx>
            <c:strRef>
              <c:f>'ア 処理現況４'!$R$44</c:f>
              <c:strCache>
                <c:ptCount val="1"/>
                <c:pt idx="0">
                  <c:v>総資源化量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'ア 処理現況４'!$S$41:$AK$41</c:f>
              <c:numCache/>
            </c:numRef>
          </c:cat>
          <c:val>
            <c:numRef>
              <c:f>'ア 処理現況４'!$S$44:$AK$44</c:f>
              <c:numCache/>
            </c:numRef>
          </c:val>
          <c:smooth val="0"/>
        </c:ser>
        <c:axId val="40008831"/>
        <c:axId val="24535160"/>
      </c:lineChart>
      <c:catAx>
        <c:axId val="40008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(年度)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4535160"/>
        <c:crosses val="autoZero"/>
        <c:auto val="1"/>
        <c:lblOffset val="100"/>
        <c:noMultiLvlLbl val="0"/>
      </c:catAx>
      <c:valAx>
        <c:axId val="24535160"/>
        <c:scaling>
          <c:orientation val="minMax"/>
          <c:max val="7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総資源化量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0008831"/>
        <c:crossesAt val="1"/>
        <c:crossBetween val="between"/>
        <c:dispUnits/>
        <c:majorUnit val="100"/>
        <c:minorUnit val="10"/>
      </c:valAx>
      <c:catAx>
        <c:axId val="19489849"/>
        <c:scaling>
          <c:orientation val="minMax"/>
        </c:scaling>
        <c:axPos val="b"/>
        <c:delete val="1"/>
        <c:majorTickMark val="in"/>
        <c:minorTickMark val="none"/>
        <c:tickLblPos val="nextTo"/>
        <c:crossAx val="41190914"/>
        <c:crosses val="autoZero"/>
        <c:auto val="0"/>
        <c:lblOffset val="100"/>
        <c:noMultiLvlLbl val="0"/>
      </c:catAx>
      <c:valAx>
        <c:axId val="41190914"/>
        <c:scaling>
          <c:orientation val="minMax"/>
          <c:max val="3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リサイクル率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9489849"/>
        <c:crosses val="max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304"/>
          <c:y val="0.91575"/>
          <c:w val="0.49775"/>
          <c:h val="0.0657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"/>
          <c:w val="0.98275"/>
          <c:h val="0.85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'ア 処理現況４'!$R$7</c:f>
              <c:strCache>
                <c:ptCount val="1"/>
                <c:pt idx="0">
                  <c:v>ごみの総排出量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'ア 処理現況４'!$X$6:$AP$6</c:f>
              <c:numCache/>
            </c:numRef>
          </c:cat>
          <c:val>
            <c:numRef>
              <c:f>'ア 処理現況４'!$X$7:$AP$7</c:f>
              <c:numCache/>
            </c:numRef>
          </c:val>
        </c:ser>
        <c:ser>
          <c:idx val="0"/>
          <c:order val="1"/>
          <c:tx>
            <c:strRef>
              <c:f>'ア 処理現況４'!$R$8</c:f>
              <c:strCache>
                <c:ptCount val="1"/>
                <c:pt idx="0">
                  <c:v>最終処分量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'ア 処理現況４'!$X$6:$AP$6</c:f>
              <c:numCache/>
            </c:numRef>
          </c:cat>
          <c:val>
            <c:numRef>
              <c:f>'ア 処理現況４'!$X$8:$AP$8</c:f>
              <c:numCache/>
            </c:numRef>
          </c:val>
        </c:ser>
        <c:axId val="35173907"/>
        <c:axId val="48129708"/>
      </c:barChart>
      <c:lineChart>
        <c:grouping val="standard"/>
        <c:varyColors val="0"/>
        <c:ser>
          <c:idx val="2"/>
          <c:order val="2"/>
          <c:tx>
            <c:strRef>
              <c:f>'ア 処理現況４'!$R$9</c:f>
              <c:strCache>
                <c:ptCount val="1"/>
                <c:pt idx="0">
                  <c:v>一人一日当たりのごみ排出量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'ア 処理現況４'!$X$6:$AP$6</c:f>
              <c:numCache/>
            </c:numRef>
          </c:cat>
          <c:val>
            <c:numRef>
              <c:f>'ア 処理現況４'!$X$9:$AP$9</c:f>
              <c:numCache/>
            </c:numRef>
          </c:val>
          <c:smooth val="0"/>
        </c:ser>
        <c:ser>
          <c:idx val="3"/>
          <c:order val="3"/>
          <c:tx>
            <c:strRef>
              <c:f>'ア 処理現況４'!$R$10</c:f>
              <c:strCache>
                <c:ptCount val="1"/>
                <c:pt idx="0">
                  <c:v>処理しなければならないごみの一人一日当たりの量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'ア 処理現況４'!$X$6:$AP$6</c:f>
              <c:numCache/>
            </c:numRef>
          </c:cat>
          <c:val>
            <c:numRef>
              <c:f>'ア 処理現況４'!$X$10:$AP$10</c:f>
              <c:numCache/>
            </c:numRef>
          </c:val>
          <c:smooth val="0"/>
        </c:ser>
        <c:axId val="30514189"/>
        <c:axId val="6192246"/>
      </c:lineChart>
      <c:catAx>
        <c:axId val="35173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(年度)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8129708"/>
        <c:crosses val="autoZero"/>
        <c:auto val="0"/>
        <c:lblOffset val="100"/>
        <c:noMultiLvlLbl val="0"/>
      </c:catAx>
      <c:valAx>
        <c:axId val="48129708"/>
        <c:scaling>
          <c:orientation val="minMax"/>
          <c:max val="3500"/>
        </c:scaling>
        <c:axPos val="l"/>
        <c:delete val="0"/>
        <c:numFmt formatCode="0_ ;[Red]\-0\ " sourceLinked="0"/>
        <c:majorTickMark val="in"/>
        <c:minorTickMark val="none"/>
        <c:tickLblPos val="nextTo"/>
        <c:spPr>
          <a:ln w="12700">
            <a:solidFill/>
          </a:ln>
        </c:spPr>
        <c:crossAx val="35173907"/>
        <c:crossesAt val="1"/>
        <c:crossBetween val="between"/>
        <c:dispUnits/>
        <c:majorUnit val="500"/>
      </c:valAx>
      <c:catAx>
        <c:axId val="30514189"/>
        <c:scaling>
          <c:orientation val="minMax"/>
        </c:scaling>
        <c:axPos val="b"/>
        <c:delete val="1"/>
        <c:majorTickMark val="in"/>
        <c:minorTickMark val="none"/>
        <c:tickLblPos val="nextTo"/>
        <c:crossAx val="6192246"/>
        <c:crosses val="autoZero"/>
        <c:auto val="0"/>
        <c:lblOffset val="100"/>
        <c:noMultiLvlLbl val="0"/>
      </c:catAx>
      <c:valAx>
        <c:axId val="6192246"/>
        <c:scaling>
          <c:orientation val="minMax"/>
          <c:max val="1400"/>
          <c:min val="600"/>
        </c:scaling>
        <c:axPos val="l"/>
        <c:delete val="0"/>
        <c:numFmt formatCode="0_ ;[Red]\-0\ " sourceLinked="0"/>
        <c:majorTickMark val="in"/>
        <c:minorTickMark val="none"/>
        <c:tickLblPos val="nextTo"/>
        <c:spPr>
          <a:ln w="12700">
            <a:solidFill/>
          </a:ln>
        </c:spPr>
        <c:crossAx val="30514189"/>
        <c:crosses val="max"/>
        <c:crossBetween val="between"/>
        <c:dispUnits/>
        <c:majorUnit val="2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09225"/>
          <c:y val="0.88825"/>
          <c:w val="0.828"/>
          <c:h val="0.104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ごみの処理及び維持管理費の推移</a:t>
            </a:r>
          </a:p>
        </c:rich>
      </c:tx>
      <c:layout/>
      <c:spPr>
        <a:noFill/>
        <a:ln w="127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418035"/>
        <c:axId val="26653452"/>
      </c:lineChart>
      <c:catAx>
        <c:axId val="10418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6653452"/>
        <c:crosses val="autoZero"/>
        <c:auto val="1"/>
        <c:lblOffset val="100"/>
        <c:noMultiLvlLbl val="0"/>
      </c:catAx>
      <c:valAx>
        <c:axId val="26653452"/>
        <c:scaling>
          <c:orientation val="minMax"/>
          <c:max val="4000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041803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資源回収量とリサイクル率の推移</a:t>
            </a:r>
          </a:p>
        </c:rich>
      </c:tx>
      <c:layout/>
      <c:spPr>
        <a:ln w="127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8554477"/>
        <c:axId val="11445974"/>
      </c:barChart>
      <c:lineChart>
        <c:grouping val="standard"/>
        <c:varyColors val="0"/>
        <c:ser>
          <c:idx val="2"/>
          <c:order val="2"/>
          <c:tx>
            <c:strRef>
              <c:f>'ア 処理現況１'!#REF!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処理現況１'!#REF!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処理現況１'!#REF!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904903"/>
        <c:axId val="54708672"/>
      </c:lineChart>
      <c:catAx>
        <c:axId val="38554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1445974"/>
        <c:crosses val="autoZero"/>
        <c:auto val="1"/>
        <c:lblOffset val="100"/>
        <c:noMultiLvlLbl val="0"/>
      </c:catAx>
      <c:valAx>
        <c:axId val="11445974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資源回収量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8554477"/>
        <c:crossesAt val="1"/>
        <c:crossBetween val="between"/>
        <c:dispUnits/>
        <c:majorUnit val="100"/>
        <c:minorUnit val="10"/>
      </c:valAx>
      <c:catAx>
        <c:axId val="35904903"/>
        <c:scaling>
          <c:orientation val="minMax"/>
        </c:scaling>
        <c:axPos val="b"/>
        <c:delete val="1"/>
        <c:majorTickMark val="in"/>
        <c:minorTickMark val="none"/>
        <c:tickLblPos val="nextTo"/>
        <c:crossAx val="54708672"/>
        <c:crosses val="autoZero"/>
        <c:auto val="0"/>
        <c:lblOffset val="100"/>
        <c:noMultiLvlLbl val="0"/>
      </c:catAx>
      <c:valAx>
        <c:axId val="54708672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リサイクル率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5904903"/>
        <c:crosses val="max"/>
        <c:crossBetween val="between"/>
        <c:dispUnits/>
        <c:majorUnit val="5"/>
        <c:minorUnit val="1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ごみ排出量と埋立処分量の推移</a:t>
            </a:r>
          </a:p>
        </c:rich>
      </c:tx>
      <c:layout/>
      <c:spPr>
        <a:noFill/>
        <a:ln w="127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</c:ser>
        <c:axId val="22616001"/>
        <c:axId val="2217418"/>
      </c:barChart>
      <c:lineChart>
        <c:grouping val="standard"/>
        <c:varyColors val="0"/>
        <c:ser>
          <c:idx val="2"/>
          <c:order val="2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956763"/>
        <c:axId val="45393140"/>
      </c:lineChart>
      <c:catAx>
        <c:axId val="22616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217418"/>
        <c:crosses val="autoZero"/>
        <c:auto val="0"/>
        <c:lblOffset val="100"/>
        <c:noMultiLvlLbl val="0"/>
      </c:catAx>
      <c:valAx>
        <c:axId val="2217418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ごみ総排出量・埋立処分量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2616001"/>
        <c:crossesAt val="1"/>
        <c:crossBetween val="between"/>
        <c:dispUnits/>
      </c:valAx>
      <c:catAx>
        <c:axId val="19956763"/>
        <c:scaling>
          <c:orientation val="minMax"/>
        </c:scaling>
        <c:axPos val="b"/>
        <c:delete val="1"/>
        <c:majorTickMark val="in"/>
        <c:minorTickMark val="none"/>
        <c:tickLblPos val="nextTo"/>
        <c:crossAx val="45393140"/>
        <c:crosses val="autoZero"/>
        <c:auto val="0"/>
        <c:lblOffset val="100"/>
        <c:noMultiLvlLbl val="0"/>
      </c:catAx>
      <c:valAx>
        <c:axId val="45393140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一人一日ごみ排出量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9956763"/>
        <c:crosses val="max"/>
        <c:crossBetween val="between"/>
        <c:dispUnits/>
        <c:majorUnit val="500"/>
      </c:valAx>
      <c:spPr>
        <a:noFill/>
        <a:ln w="12700">
          <a:solidFill/>
        </a:ln>
      </c:spPr>
    </c:plotArea>
    <c:legend>
      <c:legendPos val="b"/>
      <c:layout/>
      <c:overlay val="0"/>
      <c:spPr>
        <a:ln w="12700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ごみの処理及び維持管理費の推移</a:t>
            </a:r>
          </a:p>
        </c:rich>
      </c:tx>
      <c:layout/>
      <c:spPr>
        <a:noFill/>
        <a:ln w="127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85077"/>
        <c:axId val="52965694"/>
      </c:lineChart>
      <c:catAx>
        <c:axId val="5885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2965694"/>
        <c:crosses val="autoZero"/>
        <c:auto val="1"/>
        <c:lblOffset val="100"/>
        <c:noMultiLvlLbl val="0"/>
      </c:catAx>
      <c:valAx>
        <c:axId val="52965694"/>
        <c:scaling>
          <c:orientation val="minMax"/>
          <c:max val="4000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588507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/>
              <a:t>資源回収量とリサイクル率の推移</a:t>
            </a:r>
          </a:p>
        </c:rich>
      </c:tx>
      <c:layout/>
      <c:spPr>
        <a:ln w="127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929199"/>
        <c:axId val="62362792"/>
      </c:barChart>
      <c:lineChart>
        <c:grouping val="standard"/>
        <c:varyColors val="0"/>
        <c:ser>
          <c:idx val="2"/>
          <c:order val="2"/>
          <c:tx>
            <c:strRef>
              <c:f>'ア 処理現況２'!#REF!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処理現況２'!#REF!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処理現況２'!#REF!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394217"/>
        <c:axId val="18221362"/>
      </c:lineChart>
      <c:catAx>
        <c:axId val="6929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62362792"/>
        <c:crosses val="autoZero"/>
        <c:auto val="1"/>
        <c:lblOffset val="100"/>
        <c:noMultiLvlLbl val="0"/>
      </c:catAx>
      <c:valAx>
        <c:axId val="62362792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資源回収量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6929199"/>
        <c:crossesAt val="1"/>
        <c:crossBetween val="between"/>
        <c:dispUnits/>
        <c:majorUnit val="100"/>
        <c:minorUnit val="10"/>
      </c:valAx>
      <c:catAx>
        <c:axId val="24394217"/>
        <c:scaling>
          <c:orientation val="minMax"/>
        </c:scaling>
        <c:axPos val="b"/>
        <c:delete val="1"/>
        <c:majorTickMark val="in"/>
        <c:minorTickMark val="none"/>
        <c:tickLblPos val="nextTo"/>
        <c:crossAx val="18221362"/>
        <c:crosses val="autoZero"/>
        <c:auto val="0"/>
        <c:lblOffset val="100"/>
        <c:noMultiLvlLbl val="0"/>
      </c:catAx>
      <c:valAx>
        <c:axId val="18221362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リサイクル率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4394217"/>
        <c:crosses val="max"/>
        <c:crossBetween val="between"/>
        <c:dispUnits/>
        <c:majorUnit val="5"/>
        <c:minorUnit val="1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ごみ排出量と埋立処分量の推移</a:t>
            </a:r>
          </a:p>
        </c:rich>
      </c:tx>
      <c:layout/>
      <c:spPr>
        <a:noFill/>
        <a:ln w="127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</c:ser>
        <c:axId val="29774531"/>
        <c:axId val="66644188"/>
      </c:barChart>
      <c:lineChart>
        <c:grouping val="standard"/>
        <c:varyColors val="0"/>
        <c:ser>
          <c:idx val="2"/>
          <c:order val="2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926781"/>
        <c:axId val="29470118"/>
      </c:lineChart>
      <c:catAx>
        <c:axId val="2977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66644188"/>
        <c:crosses val="autoZero"/>
        <c:auto val="0"/>
        <c:lblOffset val="100"/>
        <c:noMultiLvlLbl val="0"/>
      </c:catAx>
      <c:valAx>
        <c:axId val="66644188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ごみ総排出量・埋立処分量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29774531"/>
        <c:crossesAt val="1"/>
        <c:crossBetween val="between"/>
        <c:dispUnits/>
      </c:valAx>
      <c:catAx>
        <c:axId val="62926781"/>
        <c:scaling>
          <c:orientation val="minMax"/>
        </c:scaling>
        <c:axPos val="b"/>
        <c:delete val="1"/>
        <c:majorTickMark val="in"/>
        <c:minorTickMark val="none"/>
        <c:tickLblPos val="nextTo"/>
        <c:crossAx val="29470118"/>
        <c:crosses val="autoZero"/>
        <c:auto val="0"/>
        <c:lblOffset val="100"/>
        <c:noMultiLvlLbl val="0"/>
      </c:catAx>
      <c:valAx>
        <c:axId val="29470118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一人一日ごみ排出量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62926781"/>
        <c:crosses val="max"/>
        <c:crossBetween val="between"/>
        <c:dispUnits/>
        <c:majorUnit val="500"/>
      </c:valAx>
      <c:spPr>
        <a:noFill/>
        <a:ln w="12700">
          <a:solidFill/>
        </a:ln>
      </c:spPr>
    </c:plotArea>
    <c:legend>
      <c:legendPos val="b"/>
      <c:layout/>
      <c:overlay val="0"/>
      <c:spPr>
        <a:ln w="12700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ごみの処理及び維持管理費の推移</a:t>
            </a:r>
          </a:p>
        </c:rich>
      </c:tx>
      <c:layout/>
      <c:spPr>
        <a:noFill/>
        <a:ln w="12700">
          <a:solidFill>
            <a:srgbClr val="000000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904471"/>
        <c:axId val="38269328"/>
      </c:lineChart>
      <c:catAx>
        <c:axId val="63904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38269328"/>
        <c:crosses val="autoZero"/>
        <c:auto val="1"/>
        <c:lblOffset val="100"/>
        <c:noMultiLvlLbl val="0"/>
      </c:catAx>
      <c:valAx>
        <c:axId val="38269328"/>
        <c:scaling>
          <c:orientation val="minMax"/>
          <c:max val="4000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6390447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資源回収量とリサイクル率の推移</a:t>
            </a:r>
          </a:p>
        </c:rich>
      </c:tx>
      <c:layout/>
      <c:spPr>
        <a:ln w="127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'ア 処理現況３'!#REF!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8879633"/>
        <c:axId val="12807834"/>
      </c:barChart>
      <c:lineChart>
        <c:grouping val="standard"/>
        <c:varyColors val="0"/>
        <c:ser>
          <c:idx val="2"/>
          <c:order val="2"/>
          <c:tx>
            <c:strRef>
              <c:f>'ア 処理現況３'!#REF!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'ア 処理現況３'!#REF!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'ア 処理現況３'!#REF!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161643"/>
        <c:axId val="30801604"/>
      </c:lineChart>
      <c:catAx>
        <c:axId val="8879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(年度)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2807834"/>
        <c:crosses val="autoZero"/>
        <c:auto val="1"/>
        <c:lblOffset val="100"/>
        <c:noMultiLvlLbl val="0"/>
      </c:catAx>
      <c:valAx>
        <c:axId val="12807834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資源回収量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8879633"/>
        <c:crossesAt val="1"/>
        <c:crossBetween val="between"/>
        <c:dispUnits/>
        <c:majorUnit val="100"/>
        <c:minorUnit val="10"/>
      </c:valAx>
      <c:catAx>
        <c:axId val="48161643"/>
        <c:scaling>
          <c:orientation val="minMax"/>
        </c:scaling>
        <c:axPos val="b"/>
        <c:delete val="1"/>
        <c:majorTickMark val="in"/>
        <c:minorTickMark val="none"/>
        <c:tickLblPos val="nextTo"/>
        <c:crossAx val="30801604"/>
        <c:crosses val="autoZero"/>
        <c:auto val="0"/>
        <c:lblOffset val="100"/>
        <c:noMultiLvlLbl val="0"/>
      </c:catAx>
      <c:valAx>
        <c:axId val="30801604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リサイクル率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48161643"/>
        <c:crosses val="max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3" name="Line 3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5" name="Line 5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0" name="Line 10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3" name="Line 13"/>
        <xdr:cNvSpPr>
          <a:spLocks/>
        </xdr:cNvSpPr>
      </xdr:nvSpPr>
      <xdr:spPr>
        <a:xfrm>
          <a:off x="8382000" y="876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4019550" y="8763000"/>
          <a:ext cx="3314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2</xdr:col>
      <xdr:colOff>285750</xdr:colOff>
      <xdr:row>23</xdr:row>
      <xdr:rowOff>0</xdr:rowOff>
    </xdr:from>
    <xdr:to>
      <xdr:col>10</xdr:col>
      <xdr:colOff>838200</xdr:colOff>
      <xdr:row>23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123950" y="8763000"/>
          <a:ext cx="70485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graphicFrame>
      <xdr:nvGraphicFramePr>
        <xdr:cNvPr id="16" name="Chart 16"/>
        <xdr:cNvGraphicFramePr/>
      </xdr:nvGraphicFramePr>
      <xdr:xfrm>
        <a:off x="8382000" y="87630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8382000" y="876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8382000" y="876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(グラム／人・日)</a:t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graphicFrame>
      <xdr:nvGraphicFramePr>
        <xdr:cNvPr id="19" name="Chart 19"/>
        <xdr:cNvGraphicFramePr/>
      </xdr:nvGraphicFramePr>
      <xdr:xfrm>
        <a:off x="8382000" y="87630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8382000" y="876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(円)</a:t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graphicFrame>
      <xdr:nvGraphicFramePr>
        <xdr:cNvPr id="21" name="Chart 21"/>
        <xdr:cNvGraphicFramePr/>
      </xdr:nvGraphicFramePr>
      <xdr:xfrm>
        <a:off x="8382000" y="87630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8382000" y="876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8382000" y="8763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(％)(%
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6543675" y="7972425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9</xdr:col>
      <xdr:colOff>0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>
          <a:off x="6553200" y="1205865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7</xdr:col>
      <xdr:colOff>2047875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6534150" y="4200525"/>
          <a:ext cx="266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4" name="Line 4"/>
        <xdr:cNvSpPr>
          <a:spLocks/>
        </xdr:cNvSpPr>
      </xdr:nvSpPr>
      <xdr:spPr>
        <a:xfrm>
          <a:off x="6543675" y="8601075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7</xdr:col>
      <xdr:colOff>2047875</xdr:colOff>
      <xdr:row>31</xdr:row>
      <xdr:rowOff>0</xdr:rowOff>
    </xdr:from>
    <xdr:to>
      <xdr:col>8</xdr:col>
      <xdr:colOff>247650</xdr:colOff>
      <xdr:row>31</xdr:row>
      <xdr:rowOff>0</xdr:rowOff>
    </xdr:to>
    <xdr:sp>
      <xdr:nvSpPr>
        <xdr:cNvPr id="5" name="Line 7"/>
        <xdr:cNvSpPr>
          <a:spLocks/>
        </xdr:cNvSpPr>
      </xdr:nvSpPr>
      <xdr:spPr>
        <a:xfrm>
          <a:off x="6534150" y="10487025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13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7058025" y="4514850"/>
          <a:ext cx="0" cy="3143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9525</xdr:rowOff>
    </xdr:from>
    <xdr:to>
      <xdr:col>12</xdr:col>
      <xdr:colOff>0</xdr:colOff>
      <xdr:row>17</xdr:row>
      <xdr:rowOff>0</xdr:rowOff>
    </xdr:to>
    <xdr:sp>
      <xdr:nvSpPr>
        <xdr:cNvPr id="7" name="Line 9"/>
        <xdr:cNvSpPr>
          <a:spLocks/>
        </xdr:cNvSpPr>
      </xdr:nvSpPr>
      <xdr:spPr>
        <a:xfrm flipV="1">
          <a:off x="8620125" y="5781675"/>
          <a:ext cx="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15</xdr:col>
      <xdr:colOff>9525</xdr:colOff>
      <xdr:row>6</xdr:row>
      <xdr:rowOff>0</xdr:rowOff>
    </xdr:to>
    <xdr:sp>
      <xdr:nvSpPr>
        <xdr:cNvPr id="8" name="Line 10"/>
        <xdr:cNvSpPr>
          <a:spLocks/>
        </xdr:cNvSpPr>
      </xdr:nvSpPr>
      <xdr:spPr>
        <a:xfrm>
          <a:off x="10220325" y="26289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304800</xdr:rowOff>
    </xdr:from>
    <xdr:to>
      <xdr:col>16</xdr:col>
      <xdr:colOff>0</xdr:colOff>
      <xdr:row>7</xdr:row>
      <xdr:rowOff>9525</xdr:rowOff>
    </xdr:to>
    <xdr:sp>
      <xdr:nvSpPr>
        <xdr:cNvPr id="9" name="Line 11"/>
        <xdr:cNvSpPr>
          <a:spLocks/>
        </xdr:cNvSpPr>
      </xdr:nvSpPr>
      <xdr:spPr>
        <a:xfrm flipH="1" flipV="1">
          <a:off x="10734675" y="2619375"/>
          <a:ext cx="0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9525</xdr:rowOff>
    </xdr:from>
    <xdr:to>
      <xdr:col>17</xdr:col>
      <xdr:colOff>0</xdr:colOff>
      <xdr:row>7</xdr:row>
      <xdr:rowOff>0</xdr:rowOff>
    </xdr:to>
    <xdr:sp>
      <xdr:nvSpPr>
        <xdr:cNvPr id="10" name="Line 12"/>
        <xdr:cNvSpPr>
          <a:spLocks/>
        </xdr:cNvSpPr>
      </xdr:nvSpPr>
      <xdr:spPr>
        <a:xfrm flipV="1">
          <a:off x="12315825" y="2638425"/>
          <a:ext cx="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15</xdr:col>
      <xdr:colOff>9525</xdr:colOff>
      <xdr:row>40</xdr:row>
      <xdr:rowOff>0</xdr:rowOff>
    </xdr:from>
    <xdr:to>
      <xdr:col>16</xdr:col>
      <xdr:colOff>9525</xdr:colOff>
      <xdr:row>40</xdr:row>
      <xdr:rowOff>0</xdr:rowOff>
    </xdr:to>
    <xdr:sp>
      <xdr:nvSpPr>
        <xdr:cNvPr id="11" name="Line 13"/>
        <xdr:cNvSpPr>
          <a:spLocks/>
        </xdr:cNvSpPr>
      </xdr:nvSpPr>
      <xdr:spPr>
        <a:xfrm flipV="1">
          <a:off x="10487025" y="13315950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2" name="Line 14"/>
        <xdr:cNvSpPr>
          <a:spLocks/>
        </xdr:cNvSpPr>
      </xdr:nvSpPr>
      <xdr:spPr>
        <a:xfrm>
          <a:off x="342900" y="142589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342900" y="142589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0</xdr:rowOff>
    </xdr:from>
    <xdr:to>
      <xdr:col>17</xdr:col>
      <xdr:colOff>0</xdr:colOff>
      <xdr:row>43</xdr:row>
      <xdr:rowOff>0</xdr:rowOff>
    </xdr:to>
    <xdr:graphicFrame>
      <xdr:nvGraphicFramePr>
        <xdr:cNvPr id="14" name="Chart 16"/>
        <xdr:cNvGraphicFramePr/>
      </xdr:nvGraphicFramePr>
      <xdr:xfrm>
        <a:off x="2009775" y="14258925"/>
        <a:ext cx="1030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628650</xdr:colOff>
      <xdr:row>43</xdr:row>
      <xdr:rowOff>0</xdr:rowOff>
    </xdr:from>
    <xdr:to>
      <xdr:col>3</xdr:col>
      <xdr:colOff>1400175</xdr:colOff>
      <xdr:row>43</xdr:row>
      <xdr:rowOff>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2628900" y="14258925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14</xdr:col>
      <xdr:colOff>95250</xdr:colOff>
      <xdr:row>43</xdr:row>
      <xdr:rowOff>0</xdr:rowOff>
    </xdr:from>
    <xdr:to>
      <xdr:col>16</xdr:col>
      <xdr:colOff>971550</xdr:colOff>
      <xdr:row>43</xdr:row>
      <xdr:rowOff>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10315575" y="14258925"/>
          <a:ext cx="139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(グラム／人・日)</a:t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16</xdr:col>
      <xdr:colOff>1057275</xdr:colOff>
      <xdr:row>43</xdr:row>
      <xdr:rowOff>0</xdr:rowOff>
    </xdr:to>
    <xdr:graphicFrame>
      <xdr:nvGraphicFramePr>
        <xdr:cNvPr id="17" name="Chart 19"/>
        <xdr:cNvGraphicFramePr/>
      </xdr:nvGraphicFramePr>
      <xdr:xfrm>
        <a:off x="2000250" y="14258925"/>
        <a:ext cx="9791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542925</xdr:colOff>
      <xdr:row>43</xdr:row>
      <xdr:rowOff>0</xdr:rowOff>
    </xdr:from>
    <xdr:to>
      <xdr:col>3</xdr:col>
      <xdr:colOff>1019175</xdr:colOff>
      <xdr:row>43</xdr:row>
      <xdr:rowOff>0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2543175" y="14258925"/>
          <a:ext cx="47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(円)</a:t>
          </a:r>
        </a:p>
      </xdr:txBody>
    </xdr:sp>
    <xdr:clientData/>
  </xdr:twoCellAnchor>
  <xdr:twoCellAnchor>
    <xdr:from>
      <xdr:col>3</xdr:col>
      <xdr:colOff>9525</xdr:colOff>
      <xdr:row>43</xdr:row>
      <xdr:rowOff>0</xdr:rowOff>
    </xdr:from>
    <xdr:to>
      <xdr:col>16</xdr:col>
      <xdr:colOff>1057275</xdr:colOff>
      <xdr:row>43</xdr:row>
      <xdr:rowOff>0</xdr:rowOff>
    </xdr:to>
    <xdr:graphicFrame>
      <xdr:nvGraphicFramePr>
        <xdr:cNvPr id="19" name="Chart 21"/>
        <xdr:cNvGraphicFramePr/>
      </xdr:nvGraphicFramePr>
      <xdr:xfrm>
        <a:off x="2009775" y="14258925"/>
        <a:ext cx="9782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523875</xdr:colOff>
      <xdr:row>43</xdr:row>
      <xdr:rowOff>0</xdr:rowOff>
    </xdr:from>
    <xdr:to>
      <xdr:col>3</xdr:col>
      <xdr:colOff>1276350</xdr:colOff>
      <xdr:row>43</xdr:row>
      <xdr:rowOff>0</xdr:rowOff>
    </xdr:to>
    <xdr:sp>
      <xdr:nvSpPr>
        <xdr:cNvPr id="20" name="TextBox 22"/>
        <xdr:cNvSpPr txBox="1">
          <a:spLocks noChangeArrowheads="1"/>
        </xdr:cNvSpPr>
      </xdr:nvSpPr>
      <xdr:spPr>
        <a:xfrm>
          <a:off x="2524125" y="1425892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16</xdr:col>
      <xdr:colOff>228600</xdr:colOff>
      <xdr:row>43</xdr:row>
      <xdr:rowOff>0</xdr:rowOff>
    </xdr:from>
    <xdr:to>
      <xdr:col>16</xdr:col>
      <xdr:colOff>676275</xdr:colOff>
      <xdr:row>43</xdr:row>
      <xdr:rowOff>0</xdr:rowOff>
    </xdr:to>
    <xdr:sp>
      <xdr:nvSpPr>
        <xdr:cNvPr id="21" name="TextBox 23"/>
        <xdr:cNvSpPr txBox="1">
          <a:spLocks noChangeArrowheads="1"/>
        </xdr:cNvSpPr>
      </xdr:nvSpPr>
      <xdr:spPr>
        <a:xfrm>
          <a:off x="10963275" y="14258925"/>
          <a:ext cx="447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(％)(%
)</a:t>
          </a:r>
        </a:p>
      </xdr:txBody>
    </xdr:sp>
    <xdr:clientData/>
  </xdr:twoCellAnchor>
  <xdr:twoCellAnchor>
    <xdr:from>
      <xdr:col>16</xdr:col>
      <xdr:colOff>0</xdr:colOff>
      <xdr:row>38</xdr:row>
      <xdr:rowOff>0</xdr:rowOff>
    </xdr:from>
    <xdr:to>
      <xdr:col>16</xdr:col>
      <xdr:colOff>0</xdr:colOff>
      <xdr:row>39</xdr:row>
      <xdr:rowOff>0</xdr:rowOff>
    </xdr:to>
    <xdr:sp>
      <xdr:nvSpPr>
        <xdr:cNvPr id="22" name="Line 24"/>
        <xdr:cNvSpPr>
          <a:spLocks/>
        </xdr:cNvSpPr>
      </xdr:nvSpPr>
      <xdr:spPr>
        <a:xfrm flipH="1">
          <a:off x="10734675" y="12687300"/>
          <a:ext cx="0" cy="31432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22</xdr:col>
      <xdr:colOff>542925</xdr:colOff>
      <xdr:row>88</xdr:row>
      <xdr:rowOff>47625</xdr:rowOff>
    </xdr:from>
    <xdr:to>
      <xdr:col>26</xdr:col>
      <xdr:colOff>9525</xdr:colOff>
      <xdr:row>88</xdr:row>
      <xdr:rowOff>47625</xdr:rowOff>
    </xdr:to>
    <xdr:sp>
      <xdr:nvSpPr>
        <xdr:cNvPr id="23" name="Line 27"/>
        <xdr:cNvSpPr>
          <a:spLocks/>
        </xdr:cNvSpPr>
      </xdr:nvSpPr>
      <xdr:spPr>
        <a:xfrm>
          <a:off x="16316325" y="2286000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24" name="Line 28"/>
        <xdr:cNvSpPr>
          <a:spLocks/>
        </xdr:cNvSpPr>
      </xdr:nvSpPr>
      <xdr:spPr>
        <a:xfrm>
          <a:off x="6543675" y="9229725"/>
          <a:ext cx="25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7</xdr:col>
      <xdr:colOff>0</xdr:colOff>
      <xdr:row>28</xdr:row>
      <xdr:rowOff>304800</xdr:rowOff>
    </xdr:from>
    <xdr:to>
      <xdr:col>9</xdr:col>
      <xdr:colOff>0</xdr:colOff>
      <xdr:row>28</xdr:row>
      <xdr:rowOff>304800</xdr:rowOff>
    </xdr:to>
    <xdr:sp>
      <xdr:nvSpPr>
        <xdr:cNvPr id="25" name="Line 30"/>
        <xdr:cNvSpPr>
          <a:spLocks/>
        </xdr:cNvSpPr>
      </xdr:nvSpPr>
      <xdr:spPr>
        <a:xfrm>
          <a:off x="4486275" y="9848850"/>
          <a:ext cx="2314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9</xdr:col>
      <xdr:colOff>0</xdr:colOff>
      <xdr:row>29</xdr:row>
      <xdr:rowOff>0</xdr:rowOff>
    </xdr:to>
    <xdr:sp>
      <xdr:nvSpPr>
        <xdr:cNvPr id="26" name="Line 31"/>
        <xdr:cNvSpPr>
          <a:spLocks/>
        </xdr:cNvSpPr>
      </xdr:nvSpPr>
      <xdr:spPr>
        <a:xfrm>
          <a:off x="6553200" y="9858375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31</xdr:col>
      <xdr:colOff>171450</xdr:colOff>
      <xdr:row>120</xdr:row>
      <xdr:rowOff>19050</xdr:rowOff>
    </xdr:from>
    <xdr:to>
      <xdr:col>31</xdr:col>
      <xdr:colOff>438150</xdr:colOff>
      <xdr:row>120</xdr:row>
      <xdr:rowOff>19050</xdr:rowOff>
    </xdr:to>
    <xdr:sp>
      <xdr:nvSpPr>
        <xdr:cNvPr id="27" name="Line 37"/>
        <xdr:cNvSpPr>
          <a:spLocks/>
        </xdr:cNvSpPr>
      </xdr:nvSpPr>
      <xdr:spPr>
        <a:xfrm>
          <a:off x="22374225" y="289274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14</xdr:col>
      <xdr:colOff>0</xdr:colOff>
      <xdr:row>35</xdr:row>
      <xdr:rowOff>9525</xdr:rowOff>
    </xdr:from>
    <xdr:to>
      <xdr:col>14</xdr:col>
      <xdr:colOff>0</xdr:colOff>
      <xdr:row>35</xdr:row>
      <xdr:rowOff>304800</xdr:rowOff>
    </xdr:to>
    <xdr:sp>
      <xdr:nvSpPr>
        <xdr:cNvPr id="28" name="Line 39"/>
        <xdr:cNvSpPr>
          <a:spLocks/>
        </xdr:cNvSpPr>
      </xdr:nvSpPr>
      <xdr:spPr>
        <a:xfrm flipH="1">
          <a:off x="10220325" y="11753850"/>
          <a:ext cx="0" cy="2952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15062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115062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115062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115062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115062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115062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115062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115062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115062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0" name="Line 10"/>
        <xdr:cNvSpPr>
          <a:spLocks/>
        </xdr:cNvSpPr>
      </xdr:nvSpPr>
      <xdr:spPr>
        <a:xfrm>
          <a:off x="115062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15062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15062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3" name="Line 13"/>
        <xdr:cNvSpPr>
          <a:spLocks/>
        </xdr:cNvSpPr>
      </xdr:nvSpPr>
      <xdr:spPr>
        <a:xfrm>
          <a:off x="1150620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12</xdr:col>
      <xdr:colOff>1266825</xdr:colOff>
      <xdr:row>1</xdr:row>
      <xdr:rowOff>0</xdr:rowOff>
    </xdr:from>
    <xdr:to>
      <xdr:col>13</xdr:col>
      <xdr:colOff>0</xdr:colOff>
      <xdr:row>1</xdr:row>
      <xdr:rowOff>0</xdr:rowOff>
    </xdr:to>
    <xdr:graphicFrame>
      <xdr:nvGraphicFramePr>
        <xdr:cNvPr id="14" name="Chart 14"/>
        <xdr:cNvGraphicFramePr/>
      </xdr:nvGraphicFramePr>
      <xdr:xfrm>
        <a:off x="11182350" y="142875"/>
        <a:ext cx="323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1506200" y="14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11506200" y="14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(ｇ／人・日)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graphicFrame>
      <xdr:nvGraphicFramePr>
        <xdr:cNvPr id="17" name="Chart 17"/>
        <xdr:cNvGraphicFramePr/>
      </xdr:nvGraphicFramePr>
      <xdr:xfrm>
        <a:off x="11506200" y="1428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1506200" y="14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(円)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graphicFrame>
      <xdr:nvGraphicFramePr>
        <xdr:cNvPr id="19" name="Chart 19"/>
        <xdr:cNvGraphicFramePr/>
      </xdr:nvGraphicFramePr>
      <xdr:xfrm>
        <a:off x="11506200" y="1428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1506200" y="14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1506200" y="14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(％)(%
)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10</xdr:col>
      <xdr:colOff>0</xdr:colOff>
      <xdr:row>17</xdr:row>
      <xdr:rowOff>0</xdr:rowOff>
    </xdr:to>
    <xdr:sp>
      <xdr:nvSpPr>
        <xdr:cNvPr id="22" name="Line 22"/>
        <xdr:cNvSpPr>
          <a:spLocks/>
        </xdr:cNvSpPr>
      </xdr:nvSpPr>
      <xdr:spPr>
        <a:xfrm>
          <a:off x="4591050" y="4333875"/>
          <a:ext cx="40195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3</xdr:col>
      <xdr:colOff>104775</xdr:colOff>
      <xdr:row>16</xdr:row>
      <xdr:rowOff>28575</xdr:rowOff>
    </xdr:from>
    <xdr:to>
      <xdr:col>11</xdr:col>
      <xdr:colOff>190500</xdr:colOff>
      <xdr:row>20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181100" y="4133850"/>
          <a:ext cx="8667750" cy="781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3</xdr:col>
      <xdr:colOff>133350</xdr:colOff>
      <xdr:row>25</xdr:row>
      <xdr:rowOff>38100</xdr:rowOff>
    </xdr:from>
    <xdr:to>
      <xdr:col>12</xdr:col>
      <xdr:colOff>714375</xdr:colOff>
      <xdr:row>26</xdr:row>
      <xdr:rowOff>200025</xdr:rowOff>
    </xdr:to>
    <xdr:sp>
      <xdr:nvSpPr>
        <xdr:cNvPr id="24" name="AutoShape 24"/>
        <xdr:cNvSpPr>
          <a:spLocks/>
        </xdr:cNvSpPr>
      </xdr:nvSpPr>
      <xdr:spPr>
        <a:xfrm>
          <a:off x="1209675" y="6248400"/>
          <a:ext cx="942022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3</xdr:col>
      <xdr:colOff>133350</xdr:colOff>
      <xdr:row>35</xdr:row>
      <xdr:rowOff>47625</xdr:rowOff>
    </xdr:from>
    <xdr:to>
      <xdr:col>12</xdr:col>
      <xdr:colOff>714375</xdr:colOff>
      <xdr:row>36</xdr:row>
      <xdr:rowOff>219075</xdr:rowOff>
    </xdr:to>
    <xdr:sp>
      <xdr:nvSpPr>
        <xdr:cNvPr id="25" name="AutoShape 25"/>
        <xdr:cNvSpPr>
          <a:spLocks/>
        </xdr:cNvSpPr>
      </xdr:nvSpPr>
      <xdr:spPr>
        <a:xfrm>
          <a:off x="1209675" y="8705850"/>
          <a:ext cx="94202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3</xdr:col>
      <xdr:colOff>133350</xdr:colOff>
      <xdr:row>40</xdr:row>
      <xdr:rowOff>47625</xdr:rowOff>
    </xdr:from>
    <xdr:to>
      <xdr:col>11</xdr:col>
      <xdr:colOff>133350</xdr:colOff>
      <xdr:row>41</xdr:row>
      <xdr:rowOff>219075</xdr:rowOff>
    </xdr:to>
    <xdr:sp>
      <xdr:nvSpPr>
        <xdr:cNvPr id="26" name="AutoShape 26"/>
        <xdr:cNvSpPr>
          <a:spLocks/>
        </xdr:cNvSpPr>
      </xdr:nvSpPr>
      <xdr:spPr>
        <a:xfrm>
          <a:off x="1209675" y="9934575"/>
          <a:ext cx="858202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114675" y="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400300" y="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400300" y="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14675" y="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114675" y="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114675" y="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114675" y="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525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6686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115300" y="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9544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015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12</xdr:col>
      <xdr:colOff>238125</xdr:colOff>
      <xdr:row>0</xdr:row>
      <xdr:rowOff>0</xdr:rowOff>
    </xdr:from>
    <xdr:to>
      <xdr:col>13</xdr:col>
      <xdr:colOff>247650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8353425" y="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1</xdr:col>
      <xdr:colOff>723900</xdr:colOff>
      <xdr:row>2</xdr:row>
      <xdr:rowOff>0</xdr:rowOff>
    </xdr:from>
    <xdr:to>
      <xdr:col>1</xdr:col>
      <xdr:colOff>723900</xdr:colOff>
      <xdr:row>2</xdr:row>
      <xdr:rowOff>190500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1009650" y="38100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(千トン)</a:t>
          </a:r>
        </a:p>
      </xdr:txBody>
    </xdr:sp>
    <xdr:clientData/>
  </xdr:twoCellAnchor>
  <xdr:twoCellAnchor>
    <xdr:from>
      <xdr:col>1</xdr:col>
      <xdr:colOff>0</xdr:colOff>
      <xdr:row>41</xdr:row>
      <xdr:rowOff>38100</xdr:rowOff>
    </xdr:from>
    <xdr:to>
      <xdr:col>16</xdr:col>
      <xdr:colOff>85725</xdr:colOff>
      <xdr:row>70</xdr:row>
      <xdr:rowOff>0</xdr:rowOff>
    </xdr:to>
    <xdr:grpSp>
      <xdr:nvGrpSpPr>
        <xdr:cNvPr id="15" name="Group 77"/>
        <xdr:cNvGrpSpPr>
          <a:grpSpLocks/>
        </xdr:cNvGrpSpPr>
      </xdr:nvGrpSpPr>
      <xdr:grpSpPr>
        <a:xfrm>
          <a:off x="285750" y="7858125"/>
          <a:ext cx="10572750" cy="5486400"/>
          <a:chOff x="24" y="789"/>
          <a:chExt cx="888" cy="547"/>
        </a:xfrm>
        <a:solidFill>
          <a:srgbClr val="FFFFFF"/>
        </a:solidFill>
      </xdr:grpSpPr>
      <xdr:graphicFrame>
        <xdr:nvGraphicFramePr>
          <xdr:cNvPr id="16" name="Chart 17"/>
          <xdr:cNvGraphicFramePr/>
        </xdr:nvGraphicFramePr>
        <xdr:xfrm>
          <a:off x="24" y="899"/>
          <a:ext cx="844" cy="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17" name="TextBox 18"/>
          <xdr:cNvSpPr txBox="1">
            <a:spLocks noChangeArrowheads="1"/>
          </xdr:cNvSpPr>
        </xdr:nvSpPr>
        <xdr:spPr>
          <a:xfrm>
            <a:off x="79" y="899"/>
            <a:ext cx="6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(円)</a:t>
            </a:r>
          </a:p>
        </xdr:txBody>
      </xdr:sp>
      <xdr:sp>
        <xdr:nvSpPr>
          <xdr:cNvPr id="18" name="Line 22"/>
          <xdr:cNvSpPr>
            <a:spLocks/>
          </xdr:cNvSpPr>
        </xdr:nvSpPr>
        <xdr:spPr>
          <a:xfrm>
            <a:off x="24" y="899"/>
            <a:ext cx="0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平成明朝"/>
                <a:ea typeface="平成明朝"/>
                <a:cs typeface="平成明朝"/>
              </a:rPr>
              <a:t/>
            </a:r>
          </a:p>
        </xdr:txBody>
      </xdr:sp>
      <xdr:sp>
        <xdr:nvSpPr>
          <xdr:cNvPr id="19" name="AutoShape 23"/>
          <xdr:cNvSpPr>
            <a:spLocks/>
          </xdr:cNvSpPr>
        </xdr:nvSpPr>
        <xdr:spPr>
          <a:xfrm>
            <a:off x="24" y="899"/>
            <a:ext cx="0" cy="0"/>
          </a:xfrm>
          <a:prstGeom prst="bracketPair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平成明朝"/>
                <a:ea typeface="平成明朝"/>
                <a:cs typeface="平成明朝"/>
              </a:rPr>
              <a:t/>
            </a:r>
          </a:p>
        </xdr:txBody>
      </xdr:sp>
      <xdr:graphicFrame>
        <xdr:nvGraphicFramePr>
          <xdr:cNvPr id="20" name="Chart 19"/>
          <xdr:cNvGraphicFramePr/>
        </xdr:nvGraphicFramePr>
        <xdr:xfrm>
          <a:off x="43" y="811"/>
          <a:ext cx="869" cy="52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21" name="TextBox 24"/>
          <xdr:cNvSpPr txBox="1">
            <a:spLocks noChangeArrowheads="1"/>
          </xdr:cNvSpPr>
        </xdr:nvSpPr>
        <xdr:spPr>
          <a:xfrm>
            <a:off x="857" y="815"/>
            <a:ext cx="37" cy="1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(％)</a:t>
            </a:r>
          </a:p>
        </xdr:txBody>
      </xdr:sp>
      <xdr:sp>
        <xdr:nvSpPr>
          <xdr:cNvPr id="22" name="TextBox 25"/>
          <xdr:cNvSpPr txBox="1">
            <a:spLocks noChangeArrowheads="1"/>
          </xdr:cNvSpPr>
        </xdr:nvSpPr>
        <xdr:spPr>
          <a:xfrm>
            <a:off x="65" y="807"/>
            <a:ext cx="66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(千トン)</a:t>
            </a:r>
          </a:p>
        </xdr:txBody>
      </xdr:sp>
      <xdr:sp>
        <xdr:nvSpPr>
          <xdr:cNvPr id="23" name="Rectangle 37"/>
          <xdr:cNvSpPr>
            <a:spLocks/>
          </xdr:cNvSpPr>
        </xdr:nvSpPr>
        <xdr:spPr>
          <a:xfrm>
            <a:off x="237" y="789"/>
            <a:ext cx="440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latin typeface="平成明朝"/>
                <a:ea typeface="平成明朝"/>
                <a:cs typeface="平成明朝"/>
              </a:rPr>
              <a:t>総資源化量とリサイクル率の経年変化</a:t>
            </a:r>
          </a:p>
        </xdr:txBody>
      </xdr:sp>
    </xdr:grpSp>
    <xdr:clientData/>
  </xdr:twoCellAnchor>
  <xdr:twoCellAnchor>
    <xdr:from>
      <xdr:col>1</xdr:col>
      <xdr:colOff>47625</xdr:colOff>
      <xdr:row>4</xdr:row>
      <xdr:rowOff>66675</xdr:rowOff>
    </xdr:from>
    <xdr:to>
      <xdr:col>16</xdr:col>
      <xdr:colOff>466725</xdr:colOff>
      <xdr:row>34</xdr:row>
      <xdr:rowOff>161925</xdr:rowOff>
    </xdr:to>
    <xdr:grpSp>
      <xdr:nvGrpSpPr>
        <xdr:cNvPr id="24" name="Group 79"/>
        <xdr:cNvGrpSpPr>
          <a:grpSpLocks/>
        </xdr:cNvGrpSpPr>
      </xdr:nvGrpSpPr>
      <xdr:grpSpPr>
        <a:xfrm>
          <a:off x="333375" y="876300"/>
          <a:ext cx="10906125" cy="5810250"/>
          <a:chOff x="28" y="89"/>
          <a:chExt cx="916" cy="579"/>
        </a:xfrm>
        <a:solidFill>
          <a:srgbClr val="FFFFFF"/>
        </a:solidFill>
      </xdr:grpSpPr>
      <xdr:sp>
        <xdr:nvSpPr>
          <xdr:cNvPr id="25" name="TextBox 20"/>
          <xdr:cNvSpPr txBox="1">
            <a:spLocks noChangeArrowheads="1"/>
          </xdr:cNvSpPr>
        </xdr:nvSpPr>
        <xdr:spPr>
          <a:xfrm>
            <a:off x="80" y="519"/>
            <a:ext cx="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(千トン)</a:t>
            </a:r>
          </a:p>
        </xdr:txBody>
      </xdr:sp>
      <xdr:sp>
        <xdr:nvSpPr>
          <xdr:cNvPr id="26" name="Rectangle 32"/>
          <xdr:cNvSpPr>
            <a:spLocks/>
          </xdr:cNvSpPr>
        </xdr:nvSpPr>
        <xdr:spPr>
          <a:xfrm>
            <a:off x="239" y="89"/>
            <a:ext cx="440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0" i="0" u="none" baseline="0">
                <a:latin typeface="平成明朝"/>
                <a:ea typeface="平成明朝"/>
                <a:cs typeface="平成明朝"/>
              </a:rPr>
              <a:t>ごみの総排出量と最終処分量の経年変化</a:t>
            </a:r>
          </a:p>
        </xdr:txBody>
      </xdr:sp>
      <xdr:graphicFrame>
        <xdr:nvGraphicFramePr>
          <xdr:cNvPr id="27" name="Chart 14"/>
          <xdr:cNvGraphicFramePr/>
        </xdr:nvGraphicFramePr>
        <xdr:xfrm>
          <a:off x="43" y="136"/>
          <a:ext cx="877" cy="532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28" name="TextBox 29"/>
          <xdr:cNvSpPr txBox="1">
            <a:spLocks noChangeArrowheads="1"/>
          </xdr:cNvSpPr>
        </xdr:nvSpPr>
        <xdr:spPr>
          <a:xfrm>
            <a:off x="897" y="161"/>
            <a:ext cx="47" cy="44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wordArtVertRtl"/>
          <a:p>
            <a:pPr algn="r">
              <a:defRPr/>
            </a:pPr>
            <a:r>
              <a:rPr lang="en-US" cap="none" sz="975" b="0" i="0" u="none" baseline="0"/>
              <a:t>一人一日当たりのごみ排出量
処理しなければならないごみの一人一日当たりの量</a:t>
            </a:r>
          </a:p>
        </xdr:txBody>
      </xdr:sp>
      <xdr:sp>
        <xdr:nvSpPr>
          <xdr:cNvPr id="29" name="TextBox 26"/>
          <xdr:cNvSpPr txBox="1">
            <a:spLocks noChangeArrowheads="1"/>
          </xdr:cNvSpPr>
        </xdr:nvSpPr>
        <xdr:spPr>
          <a:xfrm>
            <a:off x="43" y="117"/>
            <a:ext cx="6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(千トン)</a:t>
            </a:r>
          </a:p>
        </xdr:txBody>
      </xdr:sp>
      <xdr:sp>
        <xdr:nvSpPr>
          <xdr:cNvPr id="30" name="TextBox 16"/>
          <xdr:cNvSpPr txBox="1">
            <a:spLocks noChangeArrowheads="1"/>
          </xdr:cNvSpPr>
        </xdr:nvSpPr>
        <xdr:spPr>
          <a:xfrm>
            <a:off x="826" y="117"/>
            <a:ext cx="93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(ｇ／人・日)</a:t>
            </a:r>
          </a:p>
        </xdr:txBody>
      </xdr:sp>
      <xdr:sp>
        <xdr:nvSpPr>
          <xdr:cNvPr id="31" name="TextBox 74"/>
          <xdr:cNvSpPr txBox="1">
            <a:spLocks noChangeArrowheads="1"/>
          </xdr:cNvSpPr>
        </xdr:nvSpPr>
        <xdr:spPr>
          <a:xfrm>
            <a:off x="28" y="237"/>
            <a:ext cx="32" cy="2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1000" b="0" i="0" u="none" baseline="0"/>
              <a:t>ごみの総排出量・最終処分量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0</xdr:rowOff>
    </xdr:from>
    <xdr:to>
      <xdr:col>15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545050" y="1838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28575</xdr:rowOff>
    </xdr:from>
    <xdr:to>
      <xdr:col>0</xdr:col>
      <xdr:colOff>0</xdr:colOff>
      <xdr:row>5</xdr:row>
      <xdr:rowOff>28575</xdr:rowOff>
    </xdr:to>
    <xdr:sp>
      <xdr:nvSpPr>
        <xdr:cNvPr id="1" name="Line 1"/>
        <xdr:cNvSpPr>
          <a:spLocks/>
        </xdr:cNvSpPr>
      </xdr:nvSpPr>
      <xdr:spPr>
        <a:xfrm>
          <a:off x="0" y="16764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28575</xdr:rowOff>
    </xdr:from>
    <xdr:to>
      <xdr:col>0</xdr:col>
      <xdr:colOff>0</xdr:colOff>
      <xdr:row>5</xdr:row>
      <xdr:rowOff>28575</xdr:rowOff>
    </xdr:to>
    <xdr:sp>
      <xdr:nvSpPr>
        <xdr:cNvPr id="1" name="Line 1"/>
        <xdr:cNvSpPr>
          <a:spLocks/>
        </xdr:cNvSpPr>
      </xdr:nvSpPr>
      <xdr:spPr>
        <a:xfrm>
          <a:off x="0" y="12763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2" name="Line 94"/>
        <xdr:cNvSpPr>
          <a:spLocks/>
        </xdr:cNvSpPr>
      </xdr:nvSpPr>
      <xdr:spPr>
        <a:xfrm>
          <a:off x="0" y="159162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平成明朝"/>
              <a:ea typeface="平成明朝"/>
              <a:cs typeface="平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tabColor indexed="40"/>
  </sheetPr>
  <dimension ref="A1:T23"/>
  <sheetViews>
    <sheetView view="pageBreakPreview" zoomScaleNormal="75" zoomScaleSheetLayoutView="100" workbookViewId="0" topLeftCell="A1">
      <selection activeCell="H20" sqref="H20"/>
    </sheetView>
  </sheetViews>
  <sheetFormatPr defaultColWidth="8.796875" defaultRowHeight="15"/>
  <cols>
    <col min="1" max="1" width="3.59765625" style="9" customWidth="1"/>
    <col min="2" max="2" width="5.19921875" style="9" customWidth="1"/>
    <col min="3" max="4" width="3.09765625" style="9" customWidth="1"/>
    <col min="5" max="5" width="5" style="9" customWidth="1"/>
    <col min="6" max="6" width="14.59765625" style="9" customWidth="1"/>
    <col min="7" max="7" width="7.59765625" style="9" customWidth="1"/>
    <col min="8" max="8" width="14.59765625" style="9" customWidth="1"/>
    <col min="9" max="9" width="5.59765625" style="9" customWidth="1"/>
    <col min="10" max="10" width="14.59765625" style="9" customWidth="1"/>
    <col min="11" max="11" width="11" style="9" customWidth="1"/>
    <col min="12" max="12" width="16.19921875" style="9" customWidth="1"/>
    <col min="13" max="13" width="16.59765625" style="9" customWidth="1"/>
    <col min="14" max="28" width="7.5" style="9" customWidth="1"/>
    <col min="29" max="16384" width="11" style="9" customWidth="1"/>
  </cols>
  <sheetData>
    <row r="1" spans="1:10" ht="30" customHeight="1">
      <c r="A1" s="29" t="s">
        <v>59</v>
      </c>
      <c r="C1" s="13"/>
      <c r="D1" s="13"/>
      <c r="E1" s="13"/>
      <c r="F1" s="13"/>
      <c r="G1" s="13"/>
      <c r="H1" s="13"/>
      <c r="I1" s="13"/>
      <c r="J1" s="13"/>
    </row>
    <row r="2" spans="1:10" ht="30" customHeight="1">
      <c r="A2" s="27" t="s">
        <v>302</v>
      </c>
      <c r="C2" s="13"/>
      <c r="D2" s="13"/>
      <c r="E2" s="13"/>
      <c r="F2" s="13"/>
      <c r="G2" s="13"/>
      <c r="H2" s="13"/>
      <c r="I2" s="13"/>
      <c r="J2" s="13"/>
    </row>
    <row r="3" spans="2:10" ht="30" customHeight="1">
      <c r="B3" s="27" t="s">
        <v>57</v>
      </c>
      <c r="C3" s="13"/>
      <c r="D3" s="13"/>
      <c r="E3" s="13"/>
      <c r="F3" s="13"/>
      <c r="G3" s="13"/>
      <c r="H3" s="13"/>
      <c r="I3" s="13"/>
      <c r="J3" s="13"/>
    </row>
    <row r="4" spans="2:10" ht="30" customHeight="1">
      <c r="B4" s="27" t="s">
        <v>58</v>
      </c>
      <c r="C4" s="13"/>
      <c r="D4" s="13"/>
      <c r="E4" s="13"/>
      <c r="F4" s="13"/>
      <c r="G4" s="13"/>
      <c r="H4" s="13"/>
      <c r="I4" s="13"/>
      <c r="J4" s="13"/>
    </row>
    <row r="5" spans="2:10" ht="30" customHeight="1">
      <c r="B5" s="13"/>
      <c r="C5" s="431" t="s">
        <v>60</v>
      </c>
      <c r="D5" s="431"/>
      <c r="E5" s="431"/>
      <c r="F5" s="90">
        <f>H11</f>
        <v>5164.57</v>
      </c>
      <c r="G5" s="249" t="s">
        <v>98</v>
      </c>
      <c r="H5" s="13"/>
      <c r="I5" s="13"/>
      <c r="J5" s="13"/>
    </row>
    <row r="6" spans="2:10" ht="30" customHeight="1">
      <c r="B6" s="13"/>
      <c r="C6" s="431" t="s">
        <v>61</v>
      </c>
      <c r="D6" s="431"/>
      <c r="E6" s="431"/>
      <c r="F6" s="250">
        <f>H12</f>
        <v>7484228</v>
      </c>
      <c r="G6" s="251" t="s">
        <v>62</v>
      </c>
      <c r="H6" s="13"/>
      <c r="I6" s="13"/>
      <c r="J6" s="13"/>
    </row>
    <row r="7" spans="2:10" ht="30" customHeight="1">
      <c r="B7" s="13"/>
      <c r="C7" s="450" t="s">
        <v>32</v>
      </c>
      <c r="D7" s="450"/>
      <c r="E7" s="452" t="s">
        <v>300</v>
      </c>
      <c r="F7" s="452"/>
      <c r="G7" s="452"/>
      <c r="H7" s="452"/>
      <c r="I7" s="452"/>
      <c r="J7" s="452"/>
    </row>
    <row r="8" spans="2:10" ht="30" customHeight="1">
      <c r="B8" s="13"/>
      <c r="C8" s="451" t="s">
        <v>33</v>
      </c>
      <c r="D8" s="451"/>
      <c r="E8" s="452" t="s">
        <v>301</v>
      </c>
      <c r="F8" s="452"/>
      <c r="G8" s="452"/>
      <c r="H8" s="452"/>
      <c r="I8" s="452"/>
      <c r="J8" s="452"/>
    </row>
    <row r="9" spans="2:20" ht="30" customHeight="1">
      <c r="B9" s="13"/>
      <c r="C9" s="13"/>
      <c r="D9" s="13"/>
      <c r="E9" s="13"/>
      <c r="F9" s="13"/>
      <c r="G9" s="13"/>
      <c r="H9" s="13"/>
      <c r="I9" s="13"/>
      <c r="J9" s="13"/>
      <c r="T9" s="9" t="s">
        <v>106</v>
      </c>
    </row>
    <row r="10" spans="2:10" ht="30" customHeight="1">
      <c r="B10" s="27" t="s">
        <v>13</v>
      </c>
      <c r="C10" s="13"/>
      <c r="D10" s="13"/>
      <c r="E10" s="13"/>
      <c r="F10" s="13"/>
      <c r="G10" s="13"/>
      <c r="H10" s="13"/>
      <c r="I10" s="13"/>
      <c r="J10" s="13"/>
    </row>
    <row r="11" spans="2:10" ht="30" customHeight="1">
      <c r="B11" s="13"/>
      <c r="C11" s="436" t="s">
        <v>63</v>
      </c>
      <c r="D11" s="432" t="s">
        <v>64</v>
      </c>
      <c r="E11" s="433"/>
      <c r="F11" s="433"/>
      <c r="G11" s="434"/>
      <c r="H11" s="90">
        <v>5164.57</v>
      </c>
      <c r="I11" s="251" t="s">
        <v>99</v>
      </c>
      <c r="J11" s="248" t="s">
        <v>65</v>
      </c>
    </row>
    <row r="12" spans="2:10" ht="30" customHeight="1">
      <c r="B12" s="13"/>
      <c r="C12" s="437"/>
      <c r="D12" s="435" t="s">
        <v>66</v>
      </c>
      <c r="E12" s="433"/>
      <c r="F12" s="433"/>
      <c r="G12" s="434"/>
      <c r="H12" s="250">
        <f>SUM(H13:H15)</f>
        <v>7484228</v>
      </c>
      <c r="I12" s="252" t="s">
        <v>62</v>
      </c>
      <c r="J12" s="253">
        <v>100</v>
      </c>
    </row>
    <row r="13" spans="2:10" ht="30" customHeight="1">
      <c r="B13" s="13"/>
      <c r="C13" s="437"/>
      <c r="D13" s="254"/>
      <c r="E13" s="432" t="s">
        <v>67</v>
      </c>
      <c r="F13" s="433"/>
      <c r="G13" s="434"/>
      <c r="H13" s="250">
        <f>'イ 排出 総括表'!R63</f>
        <v>7277114</v>
      </c>
      <c r="I13" s="252" t="s">
        <v>62</v>
      </c>
      <c r="J13" s="255">
        <f>ROUND(H13/H12*100,1)</f>
        <v>97.2</v>
      </c>
    </row>
    <row r="14" spans="2:10" ht="30" customHeight="1">
      <c r="B14" s="13"/>
      <c r="C14" s="437"/>
      <c r="E14" s="432" t="s">
        <v>68</v>
      </c>
      <c r="F14" s="433"/>
      <c r="G14" s="434"/>
      <c r="H14" s="250">
        <f>'イ 排出 総括表'!S63</f>
        <v>714</v>
      </c>
      <c r="I14" s="252" t="s">
        <v>62</v>
      </c>
      <c r="J14" s="255">
        <f>ROUND(H14/H12*100,2)</f>
        <v>0.01</v>
      </c>
    </row>
    <row r="15" spans="2:10" ht="30" customHeight="1" thickBot="1">
      <c r="B15" s="13"/>
      <c r="C15" s="438"/>
      <c r="E15" s="439" t="s">
        <v>123</v>
      </c>
      <c r="F15" s="440"/>
      <c r="G15" s="441"/>
      <c r="H15" s="256">
        <f>'イ 排出 総括表'!T63</f>
        <v>206400</v>
      </c>
      <c r="I15" s="257" t="s">
        <v>62</v>
      </c>
      <c r="J15" s="258">
        <f>ROUND(H15/H12*100,2)</f>
        <v>2.76</v>
      </c>
    </row>
    <row r="16" spans="2:10" ht="30" customHeight="1" thickTop="1">
      <c r="B16" s="13"/>
      <c r="C16" s="442" t="s">
        <v>11</v>
      </c>
      <c r="D16" s="447" t="s">
        <v>23</v>
      </c>
      <c r="E16" s="448"/>
      <c r="F16" s="448"/>
      <c r="G16" s="449"/>
      <c r="H16" s="285">
        <f>H17+H18+H19</f>
        <v>2199392</v>
      </c>
      <c r="I16" s="259" t="s">
        <v>69</v>
      </c>
      <c r="J16" s="260">
        <f>ROUND(H16/H23*100,1)</f>
        <v>84.4</v>
      </c>
    </row>
    <row r="17" spans="2:10" ht="30" customHeight="1">
      <c r="B17" s="13"/>
      <c r="C17" s="442"/>
      <c r="D17" s="261"/>
      <c r="E17" s="432" t="s">
        <v>24</v>
      </c>
      <c r="F17" s="433"/>
      <c r="G17" s="434"/>
      <c r="H17" s="336">
        <f>SUM('イ 生活　排出収集形態別'!F64,'イ 生活　排出収集形態別'!J64,'イ 生活　排出収集形態別'!N64,'イ 生活　排出収集形態別'!R64,'イ 生活　排出収集形態別'!V64)+SUM('イ 事業　排出収集形態別'!F64,'イ 事業　排出収集形態別'!J64,'イ 事業　排出収集形態別'!N64,'イ 事業　排出収集形態別'!R64,'イ 事業　排出収集形態別'!V64)</f>
        <v>822973</v>
      </c>
      <c r="I17" s="251" t="s">
        <v>69</v>
      </c>
      <c r="J17" s="262">
        <f>ROUND(H17/$H$23*100,1)</f>
        <v>31.6</v>
      </c>
    </row>
    <row r="18" spans="2:10" ht="30" customHeight="1">
      <c r="B18" s="13"/>
      <c r="C18" s="442"/>
      <c r="D18" s="261"/>
      <c r="E18" s="432" t="s">
        <v>25</v>
      </c>
      <c r="F18" s="433"/>
      <c r="G18" s="434"/>
      <c r="H18" s="336">
        <f>SUM('イ 生活　排出収集形態別'!G64,'イ 生活　排出収集形態別'!K64,'イ 生活　排出収集形態別'!O64,'イ 生活　排出収集形態別'!S64,'イ 生活　排出収集形態別'!W64)+SUM('イ 事業　排出収集形態別'!G64,'イ 事業　排出収集形態別'!K64,'イ 事業　排出収集形態別'!O64,'イ 事業　排出収集形態別'!S64,'イ 事業　排出収集形態別'!W64)</f>
        <v>875448</v>
      </c>
      <c r="I18" s="251" t="s">
        <v>69</v>
      </c>
      <c r="J18" s="262">
        <f>ROUND(H18/$H$23*100,1)</f>
        <v>33.6</v>
      </c>
    </row>
    <row r="19" spans="2:10" ht="30" customHeight="1">
      <c r="B19" s="13"/>
      <c r="C19" s="442"/>
      <c r="D19" s="263"/>
      <c r="E19" s="432" t="s">
        <v>26</v>
      </c>
      <c r="F19" s="433"/>
      <c r="G19" s="434"/>
      <c r="H19" s="336">
        <f>SUM('イ 生活　排出収集形態別'!H64,'イ 生活　排出収集形態別'!L64,'イ 生活　排出収集形態別'!P64,'イ 生活　排出収集形態別'!T64,'イ 生活　排出収集形態別'!X64)+SUM('イ 事業　排出収集形態別'!H64,'イ 事業　排出収集形態別'!L64,'イ 事業　排出収集形態別'!P64,'イ 事業　排出収集形態別'!T64,'イ 事業　排出収集形態別'!X64)</f>
        <v>500971</v>
      </c>
      <c r="I19" s="251" t="s">
        <v>69</v>
      </c>
      <c r="J19" s="262">
        <f>ROUND(H19/$H$23*100,1)</f>
        <v>19.2</v>
      </c>
    </row>
    <row r="20" spans="2:10" ht="30" customHeight="1">
      <c r="B20" s="13"/>
      <c r="C20" s="442"/>
      <c r="D20" s="432" t="s">
        <v>12</v>
      </c>
      <c r="E20" s="433"/>
      <c r="F20" s="433"/>
      <c r="G20" s="434"/>
      <c r="H20" s="250">
        <f>'イ 排出 総括表'!J63</f>
        <v>198601</v>
      </c>
      <c r="I20" s="251" t="s">
        <v>69</v>
      </c>
      <c r="J20" s="262">
        <f>ROUND(H20/H23*100,1)</f>
        <v>7.6</v>
      </c>
    </row>
    <row r="21" spans="2:10" ht="30" customHeight="1">
      <c r="B21" s="13"/>
      <c r="C21" s="442"/>
      <c r="D21" s="432" t="s">
        <v>15</v>
      </c>
      <c r="E21" s="433"/>
      <c r="F21" s="433"/>
      <c r="G21" s="434"/>
      <c r="H21" s="250">
        <f>'イ 排出 総括表'!K63</f>
        <v>12</v>
      </c>
      <c r="I21" s="251" t="s">
        <v>69</v>
      </c>
      <c r="J21" s="262">
        <f>ROUND(H21/H23*100,1)</f>
        <v>0</v>
      </c>
    </row>
    <row r="22" spans="2:10" ht="30" customHeight="1">
      <c r="B22" s="13"/>
      <c r="C22" s="442"/>
      <c r="D22" s="432" t="s">
        <v>22</v>
      </c>
      <c r="E22" s="433"/>
      <c r="F22" s="433"/>
      <c r="G22" s="434"/>
      <c r="H22" s="250">
        <f>'イ 排出 総括表'!L63</f>
        <v>209249</v>
      </c>
      <c r="I22" s="251" t="s">
        <v>69</v>
      </c>
      <c r="J22" s="262">
        <f>ROUND(H22/H23*100,1)</f>
        <v>8</v>
      </c>
    </row>
    <row r="23" spans="2:10" ht="30" customHeight="1">
      <c r="B23" s="13"/>
      <c r="C23" s="443"/>
      <c r="D23" s="444" t="s">
        <v>166</v>
      </c>
      <c r="E23" s="445"/>
      <c r="F23" s="445"/>
      <c r="G23" s="446"/>
      <c r="H23" s="250">
        <f>H16+H20+H21+H22</f>
        <v>2607254</v>
      </c>
      <c r="I23" s="251" t="s">
        <v>69</v>
      </c>
      <c r="J23" s="262">
        <f>ROUND(H23/$H$23*100,1)</f>
        <v>100</v>
      </c>
    </row>
  </sheetData>
  <mergeCells count="21">
    <mergeCell ref="E8:J8"/>
    <mergeCell ref="E7:J7"/>
    <mergeCell ref="D22:G22"/>
    <mergeCell ref="C16:C23"/>
    <mergeCell ref="D23:G23"/>
    <mergeCell ref="E18:G18"/>
    <mergeCell ref="D20:G20"/>
    <mergeCell ref="D16:G16"/>
    <mergeCell ref="D21:G21"/>
    <mergeCell ref="E19:G19"/>
    <mergeCell ref="E17:G17"/>
    <mergeCell ref="C5:E5"/>
    <mergeCell ref="C6:E6"/>
    <mergeCell ref="D11:G11"/>
    <mergeCell ref="D12:G12"/>
    <mergeCell ref="C11:C15"/>
    <mergeCell ref="E15:G15"/>
    <mergeCell ref="E13:G13"/>
    <mergeCell ref="E14:G14"/>
    <mergeCell ref="C7:D7"/>
    <mergeCell ref="C8:D8"/>
  </mergeCells>
  <printOptions horizontalCentered="1"/>
  <pageMargins left="0.7874015748031497" right="0.7874015748031497" top="0.7874015748031497" bottom="0.7874015748031497" header="0.5905511811023623" footer="0.5905511811023623"/>
  <pageSetup firstPageNumber="15" useFirstPageNumber="1" horizontalDpi="600" verticalDpi="600" orientation="portrait" pageOrder="overThenDown" paperSize="9" r:id="rId2"/>
  <headerFooter alignWithMargins="0"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indexed="15"/>
  </sheetPr>
  <dimension ref="A1:K72"/>
  <sheetViews>
    <sheetView view="pageBreakPreview" zoomScale="75" zoomScaleSheetLayoutView="75" workbookViewId="0" topLeftCell="A1">
      <pane xSplit="1" ySplit="7" topLeftCell="B8" activePane="bottomRight" state="frozen"/>
      <selection pane="topLeft" activeCell="I50" sqref="I50:I75"/>
      <selection pane="topRight" activeCell="I50" sqref="I50:I75"/>
      <selection pane="bottomLeft" activeCell="I50" sqref="I50:I75"/>
      <selection pane="bottomRight" activeCell="L77" sqref="L77"/>
    </sheetView>
  </sheetViews>
  <sheetFormatPr defaultColWidth="8.796875" defaultRowHeight="15"/>
  <cols>
    <col min="1" max="1" width="10.59765625" style="9" customWidth="1"/>
    <col min="2" max="2" width="9.69921875" style="9" customWidth="1"/>
    <col min="3" max="4" width="9.69921875" style="20" customWidth="1"/>
    <col min="5" max="6" width="8.69921875" style="20" customWidth="1"/>
    <col min="7" max="7" width="7.69921875" style="20" customWidth="1"/>
    <col min="8" max="9" width="6.8984375" style="20" customWidth="1"/>
    <col min="10" max="10" width="10.09765625" style="20" customWidth="1"/>
    <col min="11" max="11" width="9.69921875" style="20" customWidth="1"/>
    <col min="12" max="16384" width="11" style="9" customWidth="1"/>
  </cols>
  <sheetData>
    <row r="1" spans="1:2" ht="24" customHeight="1">
      <c r="A1" s="29" t="s">
        <v>52</v>
      </c>
      <c r="B1" s="29"/>
    </row>
    <row r="2" spans="1:2" ht="24" customHeight="1">
      <c r="A2" s="29" t="s">
        <v>56</v>
      </c>
      <c r="B2" s="29"/>
    </row>
    <row r="3" spans="1:11" ht="24" customHeight="1" thickBot="1">
      <c r="A3" s="28" t="s">
        <v>253</v>
      </c>
      <c r="B3" s="28"/>
      <c r="C3" s="79"/>
      <c r="D3" s="79"/>
      <c r="E3" s="79"/>
      <c r="F3" s="79"/>
      <c r="G3" s="79"/>
      <c r="H3" s="79"/>
      <c r="I3" s="79"/>
      <c r="J3" s="80"/>
      <c r="K3" s="81" t="s">
        <v>104</v>
      </c>
    </row>
    <row r="4" spans="1:11" ht="20.25" customHeight="1" thickBot="1">
      <c r="A4" s="520" t="s">
        <v>28</v>
      </c>
      <c r="B4" s="520"/>
      <c r="C4" s="540"/>
      <c r="D4" s="540"/>
      <c r="E4" s="540"/>
      <c r="F4" s="540"/>
      <c r="G4" s="540"/>
      <c r="H4" s="540"/>
      <c r="I4" s="540"/>
      <c r="J4" s="540"/>
      <c r="K4" s="541"/>
    </row>
    <row r="5" spans="1:11" ht="16.5" customHeight="1">
      <c r="A5" s="521"/>
      <c r="B5" s="545" t="s">
        <v>258</v>
      </c>
      <c r="C5" s="542" t="s">
        <v>172</v>
      </c>
      <c r="D5" s="115" t="s">
        <v>179</v>
      </c>
      <c r="E5" s="116"/>
      <c r="F5" s="116"/>
      <c r="G5" s="116"/>
      <c r="H5" s="116"/>
      <c r="I5" s="116"/>
      <c r="J5" s="117"/>
      <c r="K5" s="547" t="s">
        <v>173</v>
      </c>
    </row>
    <row r="6" spans="1:11" ht="25.5" customHeight="1">
      <c r="A6" s="521"/>
      <c r="B6" s="545"/>
      <c r="C6" s="543"/>
      <c r="D6" s="534" t="s">
        <v>54</v>
      </c>
      <c r="E6" s="536" t="s">
        <v>55</v>
      </c>
      <c r="F6" s="538" t="s">
        <v>79</v>
      </c>
      <c r="G6" s="538" t="s">
        <v>174</v>
      </c>
      <c r="H6" s="538" t="s">
        <v>281</v>
      </c>
      <c r="I6" s="538" t="s">
        <v>80</v>
      </c>
      <c r="J6" s="550" t="s">
        <v>175</v>
      </c>
      <c r="K6" s="548"/>
    </row>
    <row r="7" spans="1:11" ht="25.5" customHeight="1" thickBot="1">
      <c r="A7" s="522"/>
      <c r="B7" s="546"/>
      <c r="C7" s="544"/>
      <c r="D7" s="535"/>
      <c r="E7" s="537"/>
      <c r="F7" s="539"/>
      <c r="G7" s="539"/>
      <c r="H7" s="539"/>
      <c r="I7" s="539"/>
      <c r="J7" s="551"/>
      <c r="K7" s="549"/>
    </row>
    <row r="8" spans="1:11" ht="23.25" customHeight="1">
      <c r="A8" s="108" t="s">
        <v>187</v>
      </c>
      <c r="B8" s="227">
        <f>SUM(C8,D8,K8)</f>
        <v>224606</v>
      </c>
      <c r="C8" s="166">
        <f>'ウ直接資源化・集団回収内訳'!B6</f>
        <v>467</v>
      </c>
      <c r="D8" s="156">
        <f>SUM(E8:J8)</f>
        <v>112324</v>
      </c>
      <c r="E8" s="201">
        <v>38507</v>
      </c>
      <c r="F8" s="201">
        <v>2966</v>
      </c>
      <c r="G8" s="201">
        <v>0</v>
      </c>
      <c r="H8" s="201">
        <v>0</v>
      </c>
      <c r="I8" s="201">
        <v>0</v>
      </c>
      <c r="J8" s="330">
        <v>70851</v>
      </c>
      <c r="K8" s="166">
        <f>'ウ直接資源化・集団回収内訳'!Q6</f>
        <v>111815</v>
      </c>
    </row>
    <row r="9" spans="1:11" ht="23.25" customHeight="1">
      <c r="A9" s="228" t="s">
        <v>188</v>
      </c>
      <c r="B9" s="229">
        <f aca="true" t="shared" si="0" ref="B9:B37">SUM(C9,D9,K9)</f>
        <v>26618</v>
      </c>
      <c r="C9" s="167">
        <f>'ウ直接資源化・集団回収内訳'!B7</f>
        <v>2590</v>
      </c>
      <c r="D9" s="157">
        <f aca="true" t="shared" si="1" ref="D9:D37">SUM(E9:J9)</f>
        <v>14515</v>
      </c>
      <c r="E9" s="204">
        <v>4768</v>
      </c>
      <c r="F9" s="204">
        <v>1619</v>
      </c>
      <c r="G9" s="204">
        <v>0</v>
      </c>
      <c r="H9" s="204">
        <v>0</v>
      </c>
      <c r="I9" s="204">
        <v>0</v>
      </c>
      <c r="J9" s="325">
        <v>8128</v>
      </c>
      <c r="K9" s="167">
        <f>'ウ直接資源化・集団回収内訳'!Q7</f>
        <v>9513</v>
      </c>
    </row>
    <row r="10" spans="1:11" ht="23.25" customHeight="1">
      <c r="A10" s="228" t="s">
        <v>189</v>
      </c>
      <c r="B10" s="229">
        <f t="shared" si="0"/>
        <v>26517</v>
      </c>
      <c r="C10" s="167">
        <f>'ウ直接資源化・集団回収内訳'!B8</f>
        <v>167</v>
      </c>
      <c r="D10" s="157">
        <f t="shared" si="1"/>
        <v>15069</v>
      </c>
      <c r="E10" s="204">
        <v>1199</v>
      </c>
      <c r="F10" s="204">
        <v>0</v>
      </c>
      <c r="G10" s="204">
        <v>0</v>
      </c>
      <c r="H10" s="204">
        <v>0</v>
      </c>
      <c r="I10" s="204">
        <v>0</v>
      </c>
      <c r="J10" s="325">
        <v>13870</v>
      </c>
      <c r="K10" s="167">
        <f>'ウ直接資源化・集団回収内訳'!Q8</f>
        <v>11281</v>
      </c>
    </row>
    <row r="11" spans="1:11" ht="23.25" customHeight="1">
      <c r="A11" s="228" t="s">
        <v>190</v>
      </c>
      <c r="B11" s="229">
        <f t="shared" si="0"/>
        <v>26189</v>
      </c>
      <c r="C11" s="167">
        <f>'ウ直接資源化・集団回収内訳'!B9</f>
        <v>17789</v>
      </c>
      <c r="D11" s="157">
        <f t="shared" si="1"/>
        <v>6757</v>
      </c>
      <c r="E11" s="204">
        <v>1047</v>
      </c>
      <c r="F11" s="204">
        <v>735</v>
      </c>
      <c r="G11" s="204">
        <v>73</v>
      </c>
      <c r="H11" s="204">
        <v>0</v>
      </c>
      <c r="I11" s="204">
        <v>0</v>
      </c>
      <c r="J11" s="325">
        <v>4902</v>
      </c>
      <c r="K11" s="167">
        <f>'ウ直接資源化・集団回収内訳'!Q9</f>
        <v>1643</v>
      </c>
    </row>
    <row r="12" spans="1:11" ht="23.25" customHeight="1">
      <c r="A12" s="230" t="s">
        <v>191</v>
      </c>
      <c r="B12" s="231">
        <f t="shared" si="0"/>
        <v>8373</v>
      </c>
      <c r="C12" s="168">
        <f>'ウ直接資源化・集団回収内訳'!B10</f>
        <v>5792</v>
      </c>
      <c r="D12" s="158">
        <f t="shared" si="1"/>
        <v>869</v>
      </c>
      <c r="E12" s="207">
        <v>132</v>
      </c>
      <c r="F12" s="207">
        <v>737</v>
      </c>
      <c r="G12" s="207">
        <v>0</v>
      </c>
      <c r="H12" s="207">
        <v>0</v>
      </c>
      <c r="I12" s="207">
        <v>0</v>
      </c>
      <c r="J12" s="326">
        <v>0</v>
      </c>
      <c r="K12" s="168">
        <f>'ウ直接資源化・集団回収内訳'!Q10</f>
        <v>1712</v>
      </c>
    </row>
    <row r="13" spans="1:11" ht="23.25" customHeight="1">
      <c r="A13" s="232" t="s">
        <v>192</v>
      </c>
      <c r="B13" s="233">
        <f t="shared" si="0"/>
        <v>8482</v>
      </c>
      <c r="C13" s="169">
        <f>'ウ直接資源化・集団回収内訳'!B11</f>
        <v>0</v>
      </c>
      <c r="D13" s="159">
        <f t="shared" si="1"/>
        <v>2574</v>
      </c>
      <c r="E13" s="210">
        <v>0</v>
      </c>
      <c r="F13" s="210">
        <v>278</v>
      </c>
      <c r="G13" s="210">
        <v>0</v>
      </c>
      <c r="H13" s="210">
        <v>0</v>
      </c>
      <c r="I13" s="210">
        <v>0</v>
      </c>
      <c r="J13" s="327">
        <v>2296</v>
      </c>
      <c r="K13" s="169">
        <f>'ウ直接資源化・集団回収内訳'!Q11</f>
        <v>5908</v>
      </c>
    </row>
    <row r="14" spans="1:11" ht="23.25" customHeight="1">
      <c r="A14" s="228" t="s">
        <v>193</v>
      </c>
      <c r="B14" s="229">
        <f t="shared" si="0"/>
        <v>22850</v>
      </c>
      <c r="C14" s="167">
        <f>'ウ直接資源化・集団回収内訳'!B12</f>
        <v>9324</v>
      </c>
      <c r="D14" s="157">
        <f t="shared" si="1"/>
        <v>9479</v>
      </c>
      <c r="E14" s="204">
        <v>5485</v>
      </c>
      <c r="F14" s="204">
        <v>2133</v>
      </c>
      <c r="G14" s="204">
        <v>0</v>
      </c>
      <c r="H14" s="204">
        <v>0</v>
      </c>
      <c r="I14" s="204">
        <v>0</v>
      </c>
      <c r="J14" s="325">
        <v>1861</v>
      </c>
      <c r="K14" s="167">
        <f>'ウ直接資源化・集団回収内訳'!Q12</f>
        <v>4047</v>
      </c>
    </row>
    <row r="15" spans="1:11" ht="23.25" customHeight="1">
      <c r="A15" s="228" t="s">
        <v>194</v>
      </c>
      <c r="B15" s="229">
        <f t="shared" si="0"/>
        <v>20163</v>
      </c>
      <c r="C15" s="167">
        <f>'ウ直接資源化・集団回収内訳'!B13</f>
        <v>9555</v>
      </c>
      <c r="D15" s="157">
        <f t="shared" si="1"/>
        <v>8396</v>
      </c>
      <c r="E15" s="204">
        <v>4661</v>
      </c>
      <c r="F15" s="204">
        <v>915</v>
      </c>
      <c r="G15" s="204">
        <v>0</v>
      </c>
      <c r="H15" s="204">
        <v>0</v>
      </c>
      <c r="I15" s="204">
        <v>0</v>
      </c>
      <c r="J15" s="325">
        <v>2820</v>
      </c>
      <c r="K15" s="167">
        <f>'ウ直接資源化・集団回収内訳'!Q13</f>
        <v>2212</v>
      </c>
    </row>
    <row r="16" spans="1:11" ht="23.25" customHeight="1">
      <c r="A16" s="228" t="s">
        <v>195</v>
      </c>
      <c r="B16" s="229">
        <f t="shared" si="0"/>
        <v>4055</v>
      </c>
      <c r="C16" s="167">
        <f>'ウ直接資源化・集団回収内訳'!B14</f>
        <v>1316</v>
      </c>
      <c r="D16" s="157">
        <f t="shared" si="1"/>
        <v>1434</v>
      </c>
      <c r="E16" s="204">
        <v>49</v>
      </c>
      <c r="F16" s="204">
        <v>182</v>
      </c>
      <c r="G16" s="204">
        <v>7</v>
      </c>
      <c r="H16" s="204">
        <v>0</v>
      </c>
      <c r="I16" s="204">
        <v>0</v>
      </c>
      <c r="J16" s="325">
        <v>1196</v>
      </c>
      <c r="K16" s="167">
        <f>'ウ直接資源化・集団回収内訳'!Q14</f>
        <v>1305</v>
      </c>
    </row>
    <row r="17" spans="1:11" ht="23.25" customHeight="1">
      <c r="A17" s="230" t="s">
        <v>196</v>
      </c>
      <c r="B17" s="231">
        <f t="shared" si="0"/>
        <v>5472</v>
      </c>
      <c r="C17" s="168">
        <f>'ウ直接資源化・集団回収内訳'!B15</f>
        <v>2642</v>
      </c>
      <c r="D17" s="158">
        <f t="shared" si="1"/>
        <v>2306</v>
      </c>
      <c r="E17" s="207">
        <v>645</v>
      </c>
      <c r="F17" s="207">
        <v>499</v>
      </c>
      <c r="G17" s="207">
        <v>0</v>
      </c>
      <c r="H17" s="207">
        <v>0</v>
      </c>
      <c r="I17" s="207">
        <v>0</v>
      </c>
      <c r="J17" s="326">
        <v>1162</v>
      </c>
      <c r="K17" s="168">
        <f>'ウ直接資源化・集団回収内訳'!Q15</f>
        <v>524</v>
      </c>
    </row>
    <row r="18" spans="1:11" ht="23.25" customHeight="1">
      <c r="A18" s="232" t="s">
        <v>197</v>
      </c>
      <c r="B18" s="233">
        <f t="shared" si="0"/>
        <v>10305</v>
      </c>
      <c r="C18" s="169">
        <f>'ウ直接資源化・集団回収内訳'!B16</f>
        <v>2088</v>
      </c>
      <c r="D18" s="159">
        <f t="shared" si="1"/>
        <v>4766</v>
      </c>
      <c r="E18" s="210">
        <v>641</v>
      </c>
      <c r="F18" s="210">
        <v>641</v>
      </c>
      <c r="G18" s="210">
        <v>568</v>
      </c>
      <c r="H18" s="210">
        <v>0</v>
      </c>
      <c r="I18" s="210">
        <v>0</v>
      </c>
      <c r="J18" s="327">
        <v>2916</v>
      </c>
      <c r="K18" s="169">
        <f>'ウ直接資源化・集団回収内訳'!Q16</f>
        <v>3451</v>
      </c>
    </row>
    <row r="19" spans="1:11" ht="23.25" customHeight="1">
      <c r="A19" s="228" t="s">
        <v>198</v>
      </c>
      <c r="B19" s="229">
        <f t="shared" si="0"/>
        <v>30343</v>
      </c>
      <c r="C19" s="167">
        <f>'ウ直接資源化・集団回収内訳'!B17</f>
        <v>0</v>
      </c>
      <c r="D19" s="157">
        <f t="shared" si="1"/>
        <v>21926</v>
      </c>
      <c r="E19" s="204">
        <v>4569</v>
      </c>
      <c r="F19" s="204">
        <v>0</v>
      </c>
      <c r="G19" s="204">
        <v>896</v>
      </c>
      <c r="H19" s="204">
        <v>0</v>
      </c>
      <c r="I19" s="204">
        <v>0</v>
      </c>
      <c r="J19" s="325">
        <v>16461</v>
      </c>
      <c r="K19" s="167">
        <f>'ウ直接資源化・集団回収内訳'!Q17</f>
        <v>8417</v>
      </c>
    </row>
    <row r="20" spans="1:11" ht="23.25" customHeight="1">
      <c r="A20" s="228" t="s">
        <v>199</v>
      </c>
      <c r="B20" s="229">
        <f t="shared" si="0"/>
        <v>17098</v>
      </c>
      <c r="C20" s="167">
        <f>'ウ直接資源化・集団回収内訳'!B18</f>
        <v>6210</v>
      </c>
      <c r="D20" s="157">
        <f t="shared" si="1"/>
        <v>6237</v>
      </c>
      <c r="E20" s="204">
        <v>1473</v>
      </c>
      <c r="F20" s="204">
        <v>0</v>
      </c>
      <c r="G20" s="204">
        <v>1116</v>
      </c>
      <c r="H20" s="204">
        <v>0</v>
      </c>
      <c r="I20" s="204">
        <v>0</v>
      </c>
      <c r="J20" s="325">
        <v>3648</v>
      </c>
      <c r="K20" s="167">
        <f>'ウ直接資源化・集団回収内訳'!Q18</f>
        <v>4651</v>
      </c>
    </row>
    <row r="21" spans="1:11" ht="23.25" customHeight="1">
      <c r="A21" s="228" t="s">
        <v>200</v>
      </c>
      <c r="B21" s="229">
        <f t="shared" si="0"/>
        <v>7188</v>
      </c>
      <c r="C21" s="167">
        <f>'ウ直接資源化・集団回収内訳'!B19</f>
        <v>1514</v>
      </c>
      <c r="D21" s="157">
        <f t="shared" si="1"/>
        <v>2682</v>
      </c>
      <c r="E21" s="204">
        <v>217</v>
      </c>
      <c r="F21" s="204">
        <v>0</v>
      </c>
      <c r="G21" s="204">
        <v>0</v>
      </c>
      <c r="H21" s="204">
        <v>0</v>
      </c>
      <c r="I21" s="204">
        <v>0</v>
      </c>
      <c r="J21" s="325">
        <v>2465</v>
      </c>
      <c r="K21" s="167">
        <f>'ウ直接資源化・集団回収内訳'!Q19</f>
        <v>2992</v>
      </c>
    </row>
    <row r="22" spans="1:11" ht="23.25" customHeight="1">
      <c r="A22" s="230" t="s">
        <v>201</v>
      </c>
      <c r="B22" s="231">
        <f t="shared" si="0"/>
        <v>7592</v>
      </c>
      <c r="C22" s="168">
        <f>'ウ直接資源化・集団回収内訳'!B20</f>
        <v>0</v>
      </c>
      <c r="D22" s="158">
        <f t="shared" si="1"/>
        <v>5707</v>
      </c>
      <c r="E22" s="207">
        <v>69</v>
      </c>
      <c r="F22" s="207">
        <v>0</v>
      </c>
      <c r="G22" s="207">
        <v>0</v>
      </c>
      <c r="H22" s="207">
        <v>0</v>
      </c>
      <c r="I22" s="207">
        <v>0</v>
      </c>
      <c r="J22" s="326">
        <v>5638</v>
      </c>
      <c r="K22" s="168">
        <f>'ウ直接資源化・集団回収内訳'!Q20</f>
        <v>1885</v>
      </c>
    </row>
    <row r="23" spans="1:11" ht="23.25" customHeight="1">
      <c r="A23" s="232" t="s">
        <v>202</v>
      </c>
      <c r="B23" s="233">
        <f t="shared" si="0"/>
        <v>6186</v>
      </c>
      <c r="C23" s="169">
        <f>'ウ直接資源化・集団回収内訳'!B21</f>
        <v>4148</v>
      </c>
      <c r="D23" s="159">
        <f t="shared" si="1"/>
        <v>355</v>
      </c>
      <c r="E23" s="210">
        <v>47</v>
      </c>
      <c r="F23" s="210">
        <v>263</v>
      </c>
      <c r="G23" s="210">
        <v>0</v>
      </c>
      <c r="H23" s="210">
        <v>0</v>
      </c>
      <c r="I23" s="210">
        <v>0</v>
      </c>
      <c r="J23" s="327">
        <v>45</v>
      </c>
      <c r="K23" s="169">
        <f>'ウ直接資源化・集団回収内訳'!Q21</f>
        <v>1683</v>
      </c>
    </row>
    <row r="24" spans="1:11" ht="23.25" customHeight="1">
      <c r="A24" s="228" t="s">
        <v>203</v>
      </c>
      <c r="B24" s="229">
        <f t="shared" si="0"/>
        <v>3657</v>
      </c>
      <c r="C24" s="167">
        <f>'ウ直接資源化・集団回収内訳'!B22</f>
        <v>1702</v>
      </c>
      <c r="D24" s="157">
        <f t="shared" si="1"/>
        <v>947</v>
      </c>
      <c r="E24" s="204">
        <v>0</v>
      </c>
      <c r="F24" s="204">
        <v>0</v>
      </c>
      <c r="G24" s="204">
        <v>0</v>
      </c>
      <c r="H24" s="204">
        <v>0</v>
      </c>
      <c r="I24" s="204">
        <v>0</v>
      </c>
      <c r="J24" s="325">
        <v>947</v>
      </c>
      <c r="K24" s="167">
        <f>'ウ直接資源化・集団回収内訳'!Q22</f>
        <v>1008</v>
      </c>
    </row>
    <row r="25" spans="1:11" ht="23.25" customHeight="1">
      <c r="A25" s="228" t="s">
        <v>204</v>
      </c>
      <c r="B25" s="229">
        <f t="shared" si="0"/>
        <v>9321</v>
      </c>
      <c r="C25" s="167">
        <f>'ウ直接資源化・集団回収内訳'!B23</f>
        <v>25</v>
      </c>
      <c r="D25" s="157">
        <f t="shared" si="1"/>
        <v>6579</v>
      </c>
      <c r="E25" s="204">
        <v>680</v>
      </c>
      <c r="F25" s="204">
        <v>833</v>
      </c>
      <c r="G25" s="204">
        <v>0</v>
      </c>
      <c r="H25" s="204">
        <v>0</v>
      </c>
      <c r="I25" s="204">
        <v>338</v>
      </c>
      <c r="J25" s="325">
        <v>4728</v>
      </c>
      <c r="K25" s="167">
        <f>'ウ直接資源化・集団回収内訳'!Q23</f>
        <v>2717</v>
      </c>
    </row>
    <row r="26" spans="1:11" ht="23.25" customHeight="1">
      <c r="A26" s="228" t="s">
        <v>205</v>
      </c>
      <c r="B26" s="229">
        <f t="shared" si="0"/>
        <v>13892</v>
      </c>
      <c r="C26" s="167">
        <f>'ウ直接資源化・集団回収内訳'!B24</f>
        <v>5534</v>
      </c>
      <c r="D26" s="157">
        <f t="shared" si="1"/>
        <v>5964</v>
      </c>
      <c r="E26" s="204">
        <v>189</v>
      </c>
      <c r="F26" s="204">
        <v>2228</v>
      </c>
      <c r="G26" s="204">
        <v>0</v>
      </c>
      <c r="H26" s="204">
        <v>0</v>
      </c>
      <c r="I26" s="204">
        <v>0</v>
      </c>
      <c r="J26" s="325">
        <v>3547</v>
      </c>
      <c r="K26" s="167">
        <f>'ウ直接資源化・集団回収内訳'!Q24</f>
        <v>2394</v>
      </c>
    </row>
    <row r="27" spans="1:11" ht="23.25" customHeight="1">
      <c r="A27" s="230" t="s">
        <v>206</v>
      </c>
      <c r="B27" s="231">
        <f t="shared" si="0"/>
        <v>11228</v>
      </c>
      <c r="C27" s="168">
        <f>'ウ直接資源化・集団回収内訳'!B25</f>
        <v>6006</v>
      </c>
      <c r="D27" s="158">
        <f t="shared" si="1"/>
        <v>2784</v>
      </c>
      <c r="E27" s="207">
        <v>289</v>
      </c>
      <c r="F27" s="207">
        <v>582</v>
      </c>
      <c r="G27" s="207">
        <v>0</v>
      </c>
      <c r="H27" s="207">
        <v>0</v>
      </c>
      <c r="I27" s="207">
        <v>0</v>
      </c>
      <c r="J27" s="326">
        <v>1913</v>
      </c>
      <c r="K27" s="168">
        <f>'ウ直接資源化・集団回収内訳'!Q25</f>
        <v>2438</v>
      </c>
    </row>
    <row r="28" spans="1:11" ht="23.25" customHeight="1">
      <c r="A28" s="232" t="s">
        <v>207</v>
      </c>
      <c r="B28" s="233">
        <f t="shared" si="0"/>
        <v>3381</v>
      </c>
      <c r="C28" s="169">
        <f>'ウ直接資源化・集団回収内訳'!B26</f>
        <v>3325</v>
      </c>
      <c r="D28" s="159">
        <f t="shared" si="1"/>
        <v>32</v>
      </c>
      <c r="E28" s="210">
        <v>0</v>
      </c>
      <c r="F28" s="210">
        <v>0</v>
      </c>
      <c r="G28" s="210">
        <v>0</v>
      </c>
      <c r="H28" s="210">
        <v>0</v>
      </c>
      <c r="I28" s="210">
        <v>0</v>
      </c>
      <c r="J28" s="327">
        <v>32</v>
      </c>
      <c r="K28" s="169">
        <f>'ウ直接資源化・集団回収内訳'!Q26</f>
        <v>24</v>
      </c>
    </row>
    <row r="29" spans="1:11" ht="23.25" customHeight="1">
      <c r="A29" s="228" t="s">
        <v>208</v>
      </c>
      <c r="B29" s="229">
        <f t="shared" si="0"/>
        <v>11534</v>
      </c>
      <c r="C29" s="167">
        <f>'ウ直接資源化・集団回収内訳'!B27</f>
        <v>2066</v>
      </c>
      <c r="D29" s="157">
        <f t="shared" si="1"/>
        <v>5604</v>
      </c>
      <c r="E29" s="204">
        <v>4306</v>
      </c>
      <c r="F29" s="204">
        <v>909</v>
      </c>
      <c r="G29" s="204">
        <v>0</v>
      </c>
      <c r="H29" s="204">
        <v>0</v>
      </c>
      <c r="I29" s="204">
        <v>0</v>
      </c>
      <c r="J29" s="325">
        <v>389</v>
      </c>
      <c r="K29" s="167">
        <f>'ウ直接資源化・集団回収内訳'!Q27</f>
        <v>3864</v>
      </c>
    </row>
    <row r="30" spans="1:11" ht="23.25" customHeight="1">
      <c r="A30" s="228" t="s">
        <v>209</v>
      </c>
      <c r="B30" s="229">
        <f t="shared" si="0"/>
        <v>7143</v>
      </c>
      <c r="C30" s="167">
        <f>'ウ直接資源化・集団回収内訳'!B28</f>
        <v>6775</v>
      </c>
      <c r="D30" s="157">
        <f t="shared" si="1"/>
        <v>368</v>
      </c>
      <c r="E30" s="204">
        <v>0</v>
      </c>
      <c r="F30" s="204">
        <v>353</v>
      </c>
      <c r="G30" s="204">
        <v>0</v>
      </c>
      <c r="H30" s="204">
        <v>0</v>
      </c>
      <c r="I30" s="204">
        <v>0</v>
      </c>
      <c r="J30" s="325">
        <v>15</v>
      </c>
      <c r="K30" s="170">
        <f>'ウ直接資源化・集団回収内訳'!Q28</f>
        <v>0</v>
      </c>
    </row>
    <row r="31" spans="1:11" ht="23.25" customHeight="1">
      <c r="A31" s="228" t="s">
        <v>210</v>
      </c>
      <c r="B31" s="229">
        <f t="shared" si="0"/>
        <v>4989</v>
      </c>
      <c r="C31" s="167">
        <f>'ウ直接資源化・集団回収内訳'!B29</f>
        <v>0</v>
      </c>
      <c r="D31" s="157">
        <f t="shared" si="1"/>
        <v>4091</v>
      </c>
      <c r="E31" s="204">
        <v>119</v>
      </c>
      <c r="F31" s="204">
        <v>589</v>
      </c>
      <c r="G31" s="204">
        <v>0</v>
      </c>
      <c r="H31" s="204">
        <v>0</v>
      </c>
      <c r="I31" s="204">
        <v>0</v>
      </c>
      <c r="J31" s="325">
        <v>3383</v>
      </c>
      <c r="K31" s="167">
        <f>'ウ直接資源化・集団回収内訳'!Q29</f>
        <v>898</v>
      </c>
    </row>
    <row r="32" spans="1:11" ht="23.25" customHeight="1">
      <c r="A32" s="230" t="s">
        <v>211</v>
      </c>
      <c r="B32" s="231">
        <f t="shared" si="0"/>
        <v>5197</v>
      </c>
      <c r="C32" s="168">
        <f>'ウ直接資源化・集団回収内訳'!B30</f>
        <v>1624</v>
      </c>
      <c r="D32" s="158">
        <f t="shared" si="1"/>
        <v>3145</v>
      </c>
      <c r="E32" s="207">
        <v>2212</v>
      </c>
      <c r="F32" s="207">
        <v>378</v>
      </c>
      <c r="G32" s="207">
        <v>0</v>
      </c>
      <c r="H32" s="207">
        <v>0</v>
      </c>
      <c r="I32" s="207">
        <v>0</v>
      </c>
      <c r="J32" s="326">
        <v>555</v>
      </c>
      <c r="K32" s="168">
        <f>'ウ直接資源化・集団回収内訳'!Q30</f>
        <v>428</v>
      </c>
    </row>
    <row r="33" spans="1:11" ht="23.25" customHeight="1">
      <c r="A33" s="232" t="s">
        <v>212</v>
      </c>
      <c r="B33" s="233">
        <f t="shared" si="0"/>
        <v>6804</v>
      </c>
      <c r="C33" s="169">
        <f>'ウ直接資源化・集団回収内訳'!B31</f>
        <v>3353</v>
      </c>
      <c r="D33" s="159">
        <f t="shared" si="1"/>
        <v>374</v>
      </c>
      <c r="E33" s="210">
        <v>79</v>
      </c>
      <c r="F33" s="210">
        <v>295</v>
      </c>
      <c r="G33" s="210">
        <v>0</v>
      </c>
      <c r="H33" s="210">
        <v>0</v>
      </c>
      <c r="I33" s="210">
        <v>0</v>
      </c>
      <c r="J33" s="327">
        <v>0</v>
      </c>
      <c r="K33" s="169">
        <f>'ウ直接資源化・集団回収内訳'!Q31</f>
        <v>3077</v>
      </c>
    </row>
    <row r="34" spans="1:11" ht="23.25" customHeight="1">
      <c r="A34" s="228" t="s">
        <v>213</v>
      </c>
      <c r="B34" s="229">
        <f t="shared" si="0"/>
        <v>2753</v>
      </c>
      <c r="C34" s="167">
        <f>'ウ直接資源化・集団回収内訳'!B32</f>
        <v>1873</v>
      </c>
      <c r="D34" s="157">
        <f t="shared" si="1"/>
        <v>617</v>
      </c>
      <c r="E34" s="204">
        <v>362</v>
      </c>
      <c r="F34" s="204">
        <v>255</v>
      </c>
      <c r="G34" s="204">
        <v>0</v>
      </c>
      <c r="H34" s="204">
        <v>0</v>
      </c>
      <c r="I34" s="204">
        <v>0</v>
      </c>
      <c r="J34" s="325">
        <v>0</v>
      </c>
      <c r="K34" s="167">
        <f>'ウ直接資源化・集団回収内訳'!Q32</f>
        <v>263</v>
      </c>
    </row>
    <row r="35" spans="1:11" ht="23.25" customHeight="1">
      <c r="A35" s="228" t="s">
        <v>214</v>
      </c>
      <c r="B35" s="229">
        <f t="shared" si="0"/>
        <v>3664</v>
      </c>
      <c r="C35" s="167">
        <f>'ウ直接資源化・集団回収内訳'!B33</f>
        <v>1235</v>
      </c>
      <c r="D35" s="157">
        <f t="shared" si="1"/>
        <v>954</v>
      </c>
      <c r="E35" s="204">
        <v>86</v>
      </c>
      <c r="F35" s="204">
        <v>133</v>
      </c>
      <c r="G35" s="204">
        <v>0</v>
      </c>
      <c r="H35" s="204">
        <v>0</v>
      </c>
      <c r="I35" s="204">
        <v>0</v>
      </c>
      <c r="J35" s="325">
        <v>735</v>
      </c>
      <c r="K35" s="167">
        <f>'ウ直接資源化・集団回収内訳'!Q33</f>
        <v>1475</v>
      </c>
    </row>
    <row r="36" spans="1:11" ht="23.25" customHeight="1">
      <c r="A36" s="228" t="s">
        <v>215</v>
      </c>
      <c r="B36" s="229">
        <f t="shared" si="0"/>
        <v>5961</v>
      </c>
      <c r="C36" s="167">
        <f>'ウ直接資源化・集団回収内訳'!B34</f>
        <v>2740</v>
      </c>
      <c r="D36" s="157">
        <f t="shared" si="1"/>
        <v>2511</v>
      </c>
      <c r="E36" s="204">
        <v>0</v>
      </c>
      <c r="F36" s="204">
        <v>214</v>
      </c>
      <c r="G36" s="204">
        <v>328</v>
      </c>
      <c r="H36" s="204">
        <v>0</v>
      </c>
      <c r="I36" s="204">
        <v>6</v>
      </c>
      <c r="J36" s="325">
        <v>1963</v>
      </c>
      <c r="K36" s="167">
        <f>'ウ直接資源化・集団回収内訳'!Q34</f>
        <v>710</v>
      </c>
    </row>
    <row r="37" spans="1:11" ht="23.25" customHeight="1" thickBot="1">
      <c r="A37" s="234" t="s">
        <v>216</v>
      </c>
      <c r="B37" s="235">
        <f t="shared" si="0"/>
        <v>6626</v>
      </c>
      <c r="C37" s="171">
        <f>'ウ直接資源化・集団回収内訳'!B35</f>
        <v>1074</v>
      </c>
      <c r="D37" s="160">
        <f t="shared" si="1"/>
        <v>3713</v>
      </c>
      <c r="E37" s="213">
        <v>135</v>
      </c>
      <c r="F37" s="213">
        <v>377</v>
      </c>
      <c r="G37" s="213">
        <v>3</v>
      </c>
      <c r="H37" s="213">
        <v>0</v>
      </c>
      <c r="I37" s="213">
        <v>0</v>
      </c>
      <c r="J37" s="328">
        <v>3198</v>
      </c>
      <c r="K37" s="171">
        <f>'ウ直接資源化・集団回収内訳'!Q35</f>
        <v>1839</v>
      </c>
    </row>
    <row r="38" spans="1:2" ht="24" customHeight="1">
      <c r="A38" s="29" t="s">
        <v>52</v>
      </c>
      <c r="B38" s="29"/>
    </row>
    <row r="39" spans="1:2" ht="24" customHeight="1">
      <c r="A39" s="29" t="s">
        <v>56</v>
      </c>
      <c r="B39" s="29"/>
    </row>
    <row r="40" spans="1:11" ht="24" customHeight="1" thickBot="1">
      <c r="A40" s="28" t="s">
        <v>254</v>
      </c>
      <c r="B40" s="28"/>
      <c r="C40" s="79"/>
      <c r="D40" s="79"/>
      <c r="E40" s="79"/>
      <c r="F40" s="79"/>
      <c r="G40" s="79"/>
      <c r="H40" s="79"/>
      <c r="I40" s="79"/>
      <c r="J40" s="80"/>
      <c r="K40" s="81" t="s">
        <v>104</v>
      </c>
    </row>
    <row r="41" spans="1:11" ht="20.25" customHeight="1" thickBot="1">
      <c r="A41" s="520" t="s">
        <v>28</v>
      </c>
      <c r="B41" s="520"/>
      <c r="C41" s="540"/>
      <c r="D41" s="540"/>
      <c r="E41" s="540"/>
      <c r="F41" s="540"/>
      <c r="G41" s="540"/>
      <c r="H41" s="540"/>
      <c r="I41" s="540"/>
      <c r="J41" s="540"/>
      <c r="K41" s="541"/>
    </row>
    <row r="42" spans="1:11" ht="16.5" customHeight="1">
      <c r="A42" s="521"/>
      <c r="B42" s="545" t="s">
        <v>258</v>
      </c>
      <c r="C42" s="542" t="s">
        <v>172</v>
      </c>
      <c r="D42" s="115" t="s">
        <v>179</v>
      </c>
      <c r="E42" s="116"/>
      <c r="F42" s="116"/>
      <c r="G42" s="116"/>
      <c r="H42" s="116"/>
      <c r="I42" s="116"/>
      <c r="J42" s="117"/>
      <c r="K42" s="547" t="s">
        <v>173</v>
      </c>
    </row>
    <row r="43" spans="1:11" ht="25.5" customHeight="1">
      <c r="A43" s="521"/>
      <c r="B43" s="545"/>
      <c r="C43" s="543"/>
      <c r="D43" s="534" t="s">
        <v>54</v>
      </c>
      <c r="E43" s="536" t="s">
        <v>55</v>
      </c>
      <c r="F43" s="538" t="s">
        <v>79</v>
      </c>
      <c r="G43" s="538" t="s">
        <v>174</v>
      </c>
      <c r="H43" s="538" t="s">
        <v>281</v>
      </c>
      <c r="I43" s="538" t="s">
        <v>80</v>
      </c>
      <c r="J43" s="550" t="s">
        <v>175</v>
      </c>
      <c r="K43" s="548"/>
    </row>
    <row r="44" spans="1:11" ht="25.5" customHeight="1" thickBot="1">
      <c r="A44" s="522"/>
      <c r="B44" s="546"/>
      <c r="C44" s="544"/>
      <c r="D44" s="535"/>
      <c r="E44" s="537"/>
      <c r="F44" s="539"/>
      <c r="G44" s="539"/>
      <c r="H44" s="539"/>
      <c r="I44" s="539"/>
      <c r="J44" s="551"/>
      <c r="K44" s="549"/>
    </row>
    <row r="45" spans="1:11" ht="23.25" customHeight="1">
      <c r="A45" s="232" t="s">
        <v>217</v>
      </c>
      <c r="B45" s="233">
        <f aca="true" t="shared" si="2" ref="B45:B51">SUM(C45,D45,K45)</f>
        <v>8672</v>
      </c>
      <c r="C45" s="169">
        <f>'ウ直接資源化・集団回収内訳'!B36</f>
        <v>7891</v>
      </c>
      <c r="D45" s="159">
        <f aca="true" t="shared" si="3" ref="D45:D52">SUM(E45:J45)</f>
        <v>781</v>
      </c>
      <c r="E45" s="210">
        <v>781</v>
      </c>
      <c r="F45" s="210">
        <v>0</v>
      </c>
      <c r="G45" s="210">
        <v>0</v>
      </c>
      <c r="H45" s="210">
        <v>0</v>
      </c>
      <c r="I45" s="210">
        <v>0</v>
      </c>
      <c r="J45" s="327">
        <v>0</v>
      </c>
      <c r="K45" s="169">
        <f>'ウ直接資源化・集団回収内訳'!Q36</f>
        <v>0</v>
      </c>
    </row>
    <row r="46" spans="1:11" ht="23.25" customHeight="1">
      <c r="A46" s="228" t="s">
        <v>218</v>
      </c>
      <c r="B46" s="229">
        <f t="shared" si="2"/>
        <v>4145</v>
      </c>
      <c r="C46" s="167">
        <f>'ウ直接資源化・集団回収内訳'!B37</f>
        <v>2465</v>
      </c>
      <c r="D46" s="157">
        <f t="shared" si="3"/>
        <v>435</v>
      </c>
      <c r="E46" s="204">
        <v>45</v>
      </c>
      <c r="F46" s="204">
        <v>365</v>
      </c>
      <c r="G46" s="204">
        <v>0</v>
      </c>
      <c r="H46" s="204">
        <v>0</v>
      </c>
      <c r="I46" s="204">
        <v>0</v>
      </c>
      <c r="J46" s="325">
        <v>25</v>
      </c>
      <c r="K46" s="167">
        <f>'ウ直接資源化・集団回収内訳'!Q37</f>
        <v>1245</v>
      </c>
    </row>
    <row r="47" spans="1:11" ht="23.25" customHeight="1">
      <c r="A47" s="228" t="s">
        <v>219</v>
      </c>
      <c r="B47" s="229">
        <f t="shared" si="2"/>
        <v>4391</v>
      </c>
      <c r="C47" s="167">
        <f>'ウ直接資源化・集団回収内訳'!B38</f>
        <v>1969</v>
      </c>
      <c r="D47" s="157">
        <f t="shared" si="3"/>
        <v>1090</v>
      </c>
      <c r="E47" s="204">
        <v>0</v>
      </c>
      <c r="F47" s="204">
        <v>0</v>
      </c>
      <c r="G47" s="204">
        <v>0</v>
      </c>
      <c r="H47" s="204">
        <v>0</v>
      </c>
      <c r="I47" s="204">
        <v>0</v>
      </c>
      <c r="J47" s="325">
        <v>1090</v>
      </c>
      <c r="K47" s="167">
        <f>'ウ直接資源化・集団回収内訳'!Q38</f>
        <v>1332</v>
      </c>
    </row>
    <row r="48" spans="1:11" ht="23.25" customHeight="1">
      <c r="A48" s="228" t="s">
        <v>220</v>
      </c>
      <c r="B48" s="229">
        <f t="shared" si="2"/>
        <v>5801</v>
      </c>
      <c r="C48" s="167">
        <f>'ウ直接資源化・集団回収内訳'!B39</f>
        <v>803</v>
      </c>
      <c r="D48" s="157">
        <f t="shared" si="3"/>
        <v>3354</v>
      </c>
      <c r="E48" s="204">
        <v>0</v>
      </c>
      <c r="F48" s="204">
        <v>0</v>
      </c>
      <c r="G48" s="204">
        <v>0</v>
      </c>
      <c r="H48" s="204">
        <v>0</v>
      </c>
      <c r="I48" s="204">
        <v>0</v>
      </c>
      <c r="J48" s="325">
        <v>3354</v>
      </c>
      <c r="K48" s="167">
        <f>'ウ直接資源化・集団回収内訳'!Q39</f>
        <v>1644</v>
      </c>
    </row>
    <row r="49" spans="1:11" ht="23.25" customHeight="1">
      <c r="A49" s="230" t="s">
        <v>171</v>
      </c>
      <c r="B49" s="231">
        <f t="shared" si="2"/>
        <v>1290</v>
      </c>
      <c r="C49" s="168">
        <f>'ウ直接資源化・集団回収内訳'!B40</f>
        <v>974</v>
      </c>
      <c r="D49" s="158">
        <f t="shared" si="3"/>
        <v>54</v>
      </c>
      <c r="E49" s="207">
        <v>33</v>
      </c>
      <c r="F49" s="207">
        <v>0</v>
      </c>
      <c r="G49" s="207">
        <v>0</v>
      </c>
      <c r="H49" s="207">
        <v>0</v>
      </c>
      <c r="I49" s="207">
        <v>0</v>
      </c>
      <c r="J49" s="326">
        <v>21</v>
      </c>
      <c r="K49" s="168">
        <f>'ウ直接資源化・集団回収内訳'!Q40</f>
        <v>262</v>
      </c>
    </row>
    <row r="50" spans="1:11" ht="23.25" customHeight="1">
      <c r="A50" s="237" t="s">
        <v>275</v>
      </c>
      <c r="B50" s="238">
        <f t="shared" si="2"/>
        <v>3533</v>
      </c>
      <c r="C50" s="167">
        <f>'ウ直接資源化・集団回収内訳'!B41</f>
        <v>0</v>
      </c>
      <c r="D50" s="162">
        <f t="shared" si="3"/>
        <v>3049</v>
      </c>
      <c r="E50" s="204">
        <v>100</v>
      </c>
      <c r="F50" s="204">
        <v>272</v>
      </c>
      <c r="G50" s="204">
        <v>24</v>
      </c>
      <c r="H50" s="204">
        <v>221</v>
      </c>
      <c r="I50" s="204">
        <v>0</v>
      </c>
      <c r="J50" s="325">
        <v>2432</v>
      </c>
      <c r="K50" s="167">
        <f>'ウ直接資源化・集団回収内訳'!Q41</f>
        <v>484</v>
      </c>
    </row>
    <row r="51" spans="1:11" ht="23.25" customHeight="1">
      <c r="A51" s="228" t="s">
        <v>265</v>
      </c>
      <c r="B51" s="229">
        <f t="shared" si="2"/>
        <v>2213</v>
      </c>
      <c r="C51" s="167">
        <f>'ウ直接資源化・集団回収内訳'!B42</f>
        <v>1838</v>
      </c>
      <c r="D51" s="157">
        <f t="shared" si="3"/>
        <v>41</v>
      </c>
      <c r="E51" s="204">
        <v>32</v>
      </c>
      <c r="F51" s="204">
        <v>0</v>
      </c>
      <c r="G51" s="204">
        <v>0</v>
      </c>
      <c r="H51" s="204">
        <v>0</v>
      </c>
      <c r="I51" s="204">
        <v>0</v>
      </c>
      <c r="J51" s="325">
        <v>9</v>
      </c>
      <c r="K51" s="167">
        <f>'ウ直接資源化・集団回収内訳'!Q42</f>
        <v>334</v>
      </c>
    </row>
    <row r="52" spans="1:11" ht="23.25" customHeight="1">
      <c r="A52" s="237" t="s">
        <v>221</v>
      </c>
      <c r="B52" s="238">
        <f aca="true" t="shared" si="4" ref="B52:B71">SUM(C52,D52,K52)</f>
        <v>2377</v>
      </c>
      <c r="C52" s="167">
        <f>'ウ直接資源化・集団回収内訳'!B43</f>
        <v>0</v>
      </c>
      <c r="D52" s="162">
        <f t="shared" si="3"/>
        <v>1207</v>
      </c>
      <c r="E52" s="204">
        <v>70</v>
      </c>
      <c r="F52" s="204">
        <v>244</v>
      </c>
      <c r="G52" s="204">
        <v>1</v>
      </c>
      <c r="H52" s="204">
        <v>0</v>
      </c>
      <c r="I52" s="204">
        <v>0</v>
      </c>
      <c r="J52" s="325">
        <v>892</v>
      </c>
      <c r="K52" s="167">
        <f>'ウ直接資源化・集団回収内訳'!Q43</f>
        <v>1170</v>
      </c>
    </row>
    <row r="53" spans="1:11" ht="23.25" customHeight="1">
      <c r="A53" s="237" t="s">
        <v>222</v>
      </c>
      <c r="B53" s="238">
        <f t="shared" si="4"/>
        <v>3555</v>
      </c>
      <c r="C53" s="167">
        <f>'ウ直接資源化・集団回収内訳'!B44</f>
        <v>2591</v>
      </c>
      <c r="D53" s="162">
        <f aca="true" t="shared" si="5" ref="D53:D71">SUM(E53:J53)</f>
        <v>324</v>
      </c>
      <c r="E53" s="204">
        <v>54</v>
      </c>
      <c r="F53" s="204">
        <v>257</v>
      </c>
      <c r="G53" s="204">
        <v>0</v>
      </c>
      <c r="H53" s="204">
        <v>0</v>
      </c>
      <c r="I53" s="204">
        <v>0</v>
      </c>
      <c r="J53" s="325">
        <v>13</v>
      </c>
      <c r="K53" s="167">
        <f>'ウ直接資源化・集団回収内訳'!Q44</f>
        <v>640</v>
      </c>
    </row>
    <row r="54" spans="1:11" ht="23.25" customHeight="1">
      <c r="A54" s="239" t="s">
        <v>223</v>
      </c>
      <c r="B54" s="240">
        <f t="shared" si="4"/>
        <v>582</v>
      </c>
      <c r="C54" s="168">
        <f>'ウ直接資源化・集団回収内訳'!B45</f>
        <v>456</v>
      </c>
      <c r="D54" s="163">
        <f t="shared" si="5"/>
        <v>0</v>
      </c>
      <c r="E54" s="207">
        <v>0</v>
      </c>
      <c r="F54" s="207">
        <v>0</v>
      </c>
      <c r="G54" s="207">
        <v>0</v>
      </c>
      <c r="H54" s="207">
        <v>0</v>
      </c>
      <c r="I54" s="207">
        <v>0</v>
      </c>
      <c r="J54" s="326">
        <v>0</v>
      </c>
      <c r="K54" s="168">
        <f>'ウ直接資源化・集団回収内訳'!Q45</f>
        <v>126</v>
      </c>
    </row>
    <row r="55" spans="1:11" ht="23.25" customHeight="1">
      <c r="A55" s="237" t="s">
        <v>224</v>
      </c>
      <c r="B55" s="238">
        <f t="shared" si="4"/>
        <v>3750</v>
      </c>
      <c r="C55" s="167">
        <f>'ウ直接資源化・集団回収内訳'!B46</f>
        <v>0</v>
      </c>
      <c r="D55" s="162">
        <f t="shared" si="5"/>
        <v>2666</v>
      </c>
      <c r="E55" s="204">
        <v>188</v>
      </c>
      <c r="F55" s="204">
        <v>93</v>
      </c>
      <c r="G55" s="204">
        <v>8</v>
      </c>
      <c r="H55" s="204">
        <v>0</v>
      </c>
      <c r="I55" s="204">
        <v>66</v>
      </c>
      <c r="J55" s="325">
        <v>2311</v>
      </c>
      <c r="K55" s="167">
        <f>'ウ直接資源化・集団回収内訳'!Q46</f>
        <v>1084</v>
      </c>
    </row>
    <row r="56" spans="1:11" ht="23.25" customHeight="1">
      <c r="A56" s="237" t="s">
        <v>225</v>
      </c>
      <c r="B56" s="238">
        <f t="shared" si="4"/>
        <v>2561</v>
      </c>
      <c r="C56" s="167">
        <f>'ウ直接資源化・集団回収内訳'!B47</f>
        <v>7</v>
      </c>
      <c r="D56" s="162">
        <f t="shared" si="5"/>
        <v>1574</v>
      </c>
      <c r="E56" s="204">
        <v>182</v>
      </c>
      <c r="F56" s="204">
        <v>302</v>
      </c>
      <c r="G56" s="204">
        <v>0</v>
      </c>
      <c r="H56" s="204">
        <v>0</v>
      </c>
      <c r="I56" s="204">
        <v>52</v>
      </c>
      <c r="J56" s="325">
        <v>1038</v>
      </c>
      <c r="K56" s="167">
        <f>'ウ直接資源化・集団回収内訳'!Q47</f>
        <v>980</v>
      </c>
    </row>
    <row r="57" spans="1:11" ht="23.25" customHeight="1">
      <c r="A57" s="237" t="s">
        <v>226</v>
      </c>
      <c r="B57" s="238">
        <f t="shared" si="4"/>
        <v>1380</v>
      </c>
      <c r="C57" s="167">
        <f>'ウ直接資源化・集団回収内訳'!B48</f>
        <v>158</v>
      </c>
      <c r="D57" s="162">
        <f t="shared" si="5"/>
        <v>661</v>
      </c>
      <c r="E57" s="204">
        <v>21</v>
      </c>
      <c r="F57" s="204">
        <v>83</v>
      </c>
      <c r="G57" s="204">
        <v>0</v>
      </c>
      <c r="H57" s="204">
        <v>0</v>
      </c>
      <c r="I57" s="204">
        <v>0</v>
      </c>
      <c r="J57" s="325">
        <v>557</v>
      </c>
      <c r="K57" s="167">
        <f>'ウ直接資源化・集団回収内訳'!Q48</f>
        <v>561</v>
      </c>
    </row>
    <row r="58" spans="1:11" ht="23.25" customHeight="1">
      <c r="A58" s="237" t="s">
        <v>227</v>
      </c>
      <c r="B58" s="238">
        <f t="shared" si="4"/>
        <v>1959</v>
      </c>
      <c r="C58" s="167">
        <f>'ウ直接資源化・集団回収内訳'!B49</f>
        <v>1534</v>
      </c>
      <c r="D58" s="162">
        <f t="shared" si="5"/>
        <v>82</v>
      </c>
      <c r="E58" s="204">
        <v>31</v>
      </c>
      <c r="F58" s="204">
        <v>0</v>
      </c>
      <c r="G58" s="204">
        <v>0</v>
      </c>
      <c r="H58" s="204">
        <v>0</v>
      </c>
      <c r="I58" s="204">
        <v>0</v>
      </c>
      <c r="J58" s="325">
        <v>51</v>
      </c>
      <c r="K58" s="167">
        <f>'ウ直接資源化・集団回収内訳'!Q49</f>
        <v>343</v>
      </c>
    </row>
    <row r="59" spans="1:11" ht="23.25" customHeight="1">
      <c r="A59" s="239" t="s">
        <v>228</v>
      </c>
      <c r="B59" s="240">
        <f t="shared" si="4"/>
        <v>1052</v>
      </c>
      <c r="C59" s="168">
        <f>'ウ直接資源化・集団回収内訳'!B50</f>
        <v>781</v>
      </c>
      <c r="D59" s="163">
        <f t="shared" si="5"/>
        <v>271</v>
      </c>
      <c r="E59" s="207">
        <v>6</v>
      </c>
      <c r="F59" s="207">
        <v>35</v>
      </c>
      <c r="G59" s="207">
        <v>0</v>
      </c>
      <c r="H59" s="207">
        <v>0</v>
      </c>
      <c r="I59" s="207">
        <v>0</v>
      </c>
      <c r="J59" s="326">
        <v>230</v>
      </c>
      <c r="K59" s="168">
        <f>'ウ直接資源化・集団回収内訳'!Q50</f>
        <v>0</v>
      </c>
    </row>
    <row r="60" spans="1:11" ht="23.25" customHeight="1">
      <c r="A60" s="237" t="s">
        <v>229</v>
      </c>
      <c r="B60" s="238">
        <f t="shared" si="4"/>
        <v>1690</v>
      </c>
      <c r="C60" s="167">
        <f>'ウ直接資源化・集団回収内訳'!B51</f>
        <v>1690</v>
      </c>
      <c r="D60" s="203">
        <f t="shared" si="5"/>
        <v>0</v>
      </c>
      <c r="E60" s="204">
        <v>0</v>
      </c>
      <c r="F60" s="204">
        <v>0</v>
      </c>
      <c r="G60" s="204">
        <v>0</v>
      </c>
      <c r="H60" s="204">
        <v>0</v>
      </c>
      <c r="I60" s="204">
        <v>0</v>
      </c>
      <c r="J60" s="325">
        <v>0</v>
      </c>
      <c r="K60" s="167">
        <f>'ウ直接資源化・集団回収内訳'!Q51</f>
        <v>0</v>
      </c>
    </row>
    <row r="61" spans="1:11" ht="23.25" customHeight="1">
      <c r="A61" s="237" t="s">
        <v>230</v>
      </c>
      <c r="B61" s="238">
        <f t="shared" si="4"/>
        <v>3429</v>
      </c>
      <c r="C61" s="167">
        <f>'ウ直接資源化・集団回収内訳'!B52</f>
        <v>2409</v>
      </c>
      <c r="D61" s="203">
        <f t="shared" si="5"/>
        <v>1020</v>
      </c>
      <c r="E61" s="204">
        <v>0</v>
      </c>
      <c r="F61" s="204">
        <v>162</v>
      </c>
      <c r="G61" s="204">
        <v>0</v>
      </c>
      <c r="H61" s="204">
        <v>0</v>
      </c>
      <c r="I61" s="204">
        <v>0</v>
      </c>
      <c r="J61" s="325">
        <v>858</v>
      </c>
      <c r="K61" s="167">
        <f>'ウ直接資源化・集団回収内訳'!Q52</f>
        <v>0</v>
      </c>
    </row>
    <row r="62" spans="1:11" ht="23.25" customHeight="1">
      <c r="A62" s="237" t="s">
        <v>231</v>
      </c>
      <c r="B62" s="238">
        <f t="shared" si="4"/>
        <v>1458</v>
      </c>
      <c r="C62" s="167">
        <f>'ウ直接資源化・集団回収内訳'!B53</f>
        <v>607</v>
      </c>
      <c r="D62" s="162">
        <f t="shared" si="5"/>
        <v>295</v>
      </c>
      <c r="E62" s="204">
        <v>0</v>
      </c>
      <c r="F62" s="204">
        <v>182</v>
      </c>
      <c r="G62" s="204">
        <v>0</v>
      </c>
      <c r="H62" s="204">
        <v>0</v>
      </c>
      <c r="I62" s="204">
        <v>0</v>
      </c>
      <c r="J62" s="325">
        <v>113</v>
      </c>
      <c r="K62" s="167">
        <f>'ウ直接資源化・集団回収内訳'!Q53</f>
        <v>556</v>
      </c>
    </row>
    <row r="63" spans="1:11" ht="23.25" customHeight="1">
      <c r="A63" s="237" t="s">
        <v>232</v>
      </c>
      <c r="B63" s="238">
        <f t="shared" si="4"/>
        <v>1636</v>
      </c>
      <c r="C63" s="167">
        <f>'ウ直接資源化・集団回収内訳'!B54</f>
        <v>732</v>
      </c>
      <c r="D63" s="162">
        <f t="shared" si="5"/>
        <v>384</v>
      </c>
      <c r="E63" s="204">
        <v>0</v>
      </c>
      <c r="F63" s="204">
        <v>219</v>
      </c>
      <c r="G63" s="204">
        <v>0</v>
      </c>
      <c r="H63" s="204">
        <v>0</v>
      </c>
      <c r="I63" s="204">
        <v>0</v>
      </c>
      <c r="J63" s="325">
        <v>165</v>
      </c>
      <c r="K63" s="167">
        <f>'ウ直接資源化・集団回収内訳'!Q54</f>
        <v>520</v>
      </c>
    </row>
    <row r="64" spans="1:11" ht="23.25" customHeight="1">
      <c r="A64" s="239" t="s">
        <v>233</v>
      </c>
      <c r="B64" s="240">
        <f t="shared" si="4"/>
        <v>3529</v>
      </c>
      <c r="C64" s="168">
        <f>'ウ直接資源化・集団回収内訳'!B55</f>
        <v>1351</v>
      </c>
      <c r="D64" s="163">
        <f t="shared" si="5"/>
        <v>1570</v>
      </c>
      <c r="E64" s="207">
        <v>0</v>
      </c>
      <c r="F64" s="207">
        <v>167</v>
      </c>
      <c r="G64" s="207">
        <v>281</v>
      </c>
      <c r="H64" s="207">
        <v>0</v>
      </c>
      <c r="I64" s="207">
        <v>0</v>
      </c>
      <c r="J64" s="326">
        <v>1122</v>
      </c>
      <c r="K64" s="168">
        <f>'ウ直接資源化・集団回収内訳'!Q55</f>
        <v>608</v>
      </c>
    </row>
    <row r="65" spans="1:11" ht="23.25" customHeight="1">
      <c r="A65" s="237" t="s">
        <v>234</v>
      </c>
      <c r="B65" s="238">
        <f t="shared" si="4"/>
        <v>1457</v>
      </c>
      <c r="C65" s="167">
        <f>'ウ直接資源化・集団回収内訳'!B56</f>
        <v>492</v>
      </c>
      <c r="D65" s="203">
        <f t="shared" si="5"/>
        <v>525</v>
      </c>
      <c r="E65" s="204">
        <v>51</v>
      </c>
      <c r="F65" s="204">
        <v>0</v>
      </c>
      <c r="G65" s="204">
        <v>0</v>
      </c>
      <c r="H65" s="204">
        <v>0</v>
      </c>
      <c r="I65" s="204">
        <v>8</v>
      </c>
      <c r="J65" s="325">
        <v>466</v>
      </c>
      <c r="K65" s="167">
        <f>'ウ直接資源化・集団回収内訳'!Q56</f>
        <v>440</v>
      </c>
    </row>
    <row r="66" spans="1:11" ht="23.25" customHeight="1">
      <c r="A66" s="237" t="s">
        <v>235</v>
      </c>
      <c r="B66" s="238">
        <f t="shared" si="4"/>
        <v>1282</v>
      </c>
      <c r="C66" s="167">
        <f>'ウ直接資源化・集団回収内訳'!B57</f>
        <v>0</v>
      </c>
      <c r="D66" s="203">
        <f t="shared" si="5"/>
        <v>324</v>
      </c>
      <c r="E66" s="204">
        <v>47</v>
      </c>
      <c r="F66" s="204">
        <v>0</v>
      </c>
      <c r="G66" s="204">
        <v>0</v>
      </c>
      <c r="H66" s="204">
        <v>0</v>
      </c>
      <c r="I66" s="204">
        <v>0</v>
      </c>
      <c r="J66" s="325">
        <v>277</v>
      </c>
      <c r="K66" s="167">
        <f>'ウ直接資源化・集団回収内訳'!Q57</f>
        <v>958</v>
      </c>
    </row>
    <row r="67" spans="1:11" ht="23.25" customHeight="1">
      <c r="A67" s="237" t="s">
        <v>236</v>
      </c>
      <c r="B67" s="238">
        <f t="shared" si="4"/>
        <v>860</v>
      </c>
      <c r="C67" s="167">
        <f>'ウ直接資源化・集団回収内訳'!B58</f>
        <v>686</v>
      </c>
      <c r="D67" s="162">
        <f t="shared" si="5"/>
        <v>174</v>
      </c>
      <c r="E67" s="204">
        <v>23</v>
      </c>
      <c r="F67" s="204">
        <v>0</v>
      </c>
      <c r="G67" s="204">
        <v>0</v>
      </c>
      <c r="H67" s="204">
        <v>0</v>
      </c>
      <c r="I67" s="204">
        <v>0</v>
      </c>
      <c r="J67" s="325">
        <v>151</v>
      </c>
      <c r="K67" s="167">
        <f>'ウ直接資源化・集団回収内訳'!Q58</f>
        <v>0</v>
      </c>
    </row>
    <row r="68" spans="1:11" ht="23.25" customHeight="1">
      <c r="A68" s="237" t="s">
        <v>237</v>
      </c>
      <c r="B68" s="238">
        <f t="shared" si="4"/>
        <v>3142</v>
      </c>
      <c r="C68" s="167">
        <f>'ウ直接資源化・集団回収内訳'!B59</f>
        <v>5</v>
      </c>
      <c r="D68" s="162">
        <f t="shared" si="5"/>
        <v>1429</v>
      </c>
      <c r="E68" s="204">
        <v>5</v>
      </c>
      <c r="F68" s="204">
        <v>123</v>
      </c>
      <c r="G68" s="204">
        <v>17</v>
      </c>
      <c r="H68" s="204">
        <v>0</v>
      </c>
      <c r="I68" s="204">
        <v>0</v>
      </c>
      <c r="J68" s="325">
        <v>1284</v>
      </c>
      <c r="K68" s="167">
        <f>'ウ直接資源化・集団回収内訳'!Q59</f>
        <v>1708</v>
      </c>
    </row>
    <row r="69" spans="1:11" ht="23.25" customHeight="1">
      <c r="A69" s="239" t="s">
        <v>238</v>
      </c>
      <c r="B69" s="240">
        <f t="shared" si="4"/>
        <v>309</v>
      </c>
      <c r="C69" s="168">
        <f>'ウ直接資源化・集団回収内訳'!B60</f>
        <v>103</v>
      </c>
      <c r="D69" s="206">
        <f t="shared" si="5"/>
        <v>126</v>
      </c>
      <c r="E69" s="207">
        <v>0</v>
      </c>
      <c r="F69" s="207">
        <v>0</v>
      </c>
      <c r="G69" s="207">
        <v>0</v>
      </c>
      <c r="H69" s="207">
        <v>0</v>
      </c>
      <c r="I69" s="207">
        <v>0</v>
      </c>
      <c r="J69" s="326">
        <v>126</v>
      </c>
      <c r="K69" s="168">
        <f>'ウ直接資源化・集団回収内訳'!Q60</f>
        <v>80</v>
      </c>
    </row>
    <row r="70" spans="1:11" ht="23.25" customHeight="1">
      <c r="A70" s="237" t="s">
        <v>239</v>
      </c>
      <c r="B70" s="238">
        <f t="shared" si="4"/>
        <v>125</v>
      </c>
      <c r="C70" s="167">
        <f>'ウ直接資源化・集団回収内訳'!B61</f>
        <v>42</v>
      </c>
      <c r="D70" s="203">
        <f t="shared" si="5"/>
        <v>83</v>
      </c>
      <c r="E70" s="204">
        <v>0</v>
      </c>
      <c r="F70" s="204">
        <v>0</v>
      </c>
      <c r="G70" s="204">
        <v>0</v>
      </c>
      <c r="H70" s="204">
        <v>0</v>
      </c>
      <c r="I70" s="204">
        <v>0</v>
      </c>
      <c r="J70" s="325">
        <v>83</v>
      </c>
      <c r="K70" s="167">
        <f>'ウ直接資源化・集団回収内訳'!Q61</f>
        <v>0</v>
      </c>
    </row>
    <row r="71" spans="1:11" ht="23.25" customHeight="1" thickBot="1">
      <c r="A71" s="331" t="s">
        <v>240</v>
      </c>
      <c r="B71" s="332">
        <f t="shared" si="4"/>
        <v>67</v>
      </c>
      <c r="C71" s="171">
        <f>'ウ直接資源化・集団回収内訳'!B62</f>
        <v>30</v>
      </c>
      <c r="D71" s="165">
        <f t="shared" si="5"/>
        <v>37</v>
      </c>
      <c r="E71" s="213">
        <v>0</v>
      </c>
      <c r="F71" s="213">
        <v>0</v>
      </c>
      <c r="G71" s="213">
        <v>0</v>
      </c>
      <c r="H71" s="213">
        <v>0</v>
      </c>
      <c r="I71" s="213">
        <v>0</v>
      </c>
      <c r="J71" s="328">
        <v>37</v>
      </c>
      <c r="K71" s="171">
        <f>'ウ直接資源化・集団回収内訳'!Q62</f>
        <v>0</v>
      </c>
    </row>
    <row r="72" spans="1:11" ht="45" customHeight="1" thickBot="1">
      <c r="A72" s="241" t="s">
        <v>31</v>
      </c>
      <c r="B72" s="165">
        <f>SUM(B8:B37,B45:B71)</f>
        <v>614432</v>
      </c>
      <c r="C72" s="171">
        <f aca="true" t="shared" si="6" ref="C72:K72">SUM(C8:C37,C45:C71)</f>
        <v>130548</v>
      </c>
      <c r="D72" s="160">
        <f t="shared" si="6"/>
        <v>274635</v>
      </c>
      <c r="E72" s="213">
        <f t="shared" si="6"/>
        <v>73635</v>
      </c>
      <c r="F72" s="213">
        <f t="shared" si="6"/>
        <v>20618</v>
      </c>
      <c r="G72" s="213">
        <f t="shared" si="6"/>
        <v>3322</v>
      </c>
      <c r="H72" s="213">
        <f t="shared" si="6"/>
        <v>221</v>
      </c>
      <c r="I72" s="213">
        <f t="shared" si="6"/>
        <v>470</v>
      </c>
      <c r="J72" s="328">
        <f t="shared" si="6"/>
        <v>176369</v>
      </c>
      <c r="K72" s="171">
        <f t="shared" si="6"/>
        <v>209249</v>
      </c>
    </row>
  </sheetData>
  <mergeCells count="24">
    <mergeCell ref="B5:B7"/>
    <mergeCell ref="J43:J44"/>
    <mergeCell ref="E43:E44"/>
    <mergeCell ref="F43:F44"/>
    <mergeCell ref="I6:I7"/>
    <mergeCell ref="J6:J7"/>
    <mergeCell ref="G43:G44"/>
    <mergeCell ref="I43:I44"/>
    <mergeCell ref="K5:K7"/>
    <mergeCell ref="G6:G7"/>
    <mergeCell ref="C42:C44"/>
    <mergeCell ref="K42:K44"/>
    <mergeCell ref="H6:H7"/>
    <mergeCell ref="H43:H44"/>
    <mergeCell ref="A41:A44"/>
    <mergeCell ref="D6:D7"/>
    <mergeCell ref="E6:E7"/>
    <mergeCell ref="F6:F7"/>
    <mergeCell ref="A4:A7"/>
    <mergeCell ref="B4:K4"/>
    <mergeCell ref="C5:C7"/>
    <mergeCell ref="D43:D44"/>
    <mergeCell ref="B41:K41"/>
    <mergeCell ref="B42:B44"/>
  </mergeCells>
  <printOptions horizontalCentered="1"/>
  <pageMargins left="0.5905511811023623" right="0.5905511811023623" top="0.5905511811023623" bottom="0.5905511811023623" header="0.3937007874015748" footer="0.3937007874015748"/>
  <pageSetup firstPageNumber="33" useFirstPageNumber="1" fitToHeight="2" horizontalDpi="600" verticalDpi="600" orientation="portrait" paperSize="9" scale="85" r:id="rId1"/>
  <headerFooter alignWithMargins="0">
    <oddFooter>&amp;C&amp;P</oddFooter>
  </headerFooter>
  <rowBreaks count="1" manualBreakCount="1">
    <brk id="3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Z64"/>
  <sheetViews>
    <sheetView view="pageBreakPreview" zoomScale="75" zoomScaleSheetLayoutView="75" workbookViewId="0" topLeftCell="A43">
      <selection activeCell="L67" sqref="L67"/>
    </sheetView>
  </sheetViews>
  <sheetFormatPr defaultColWidth="8.796875" defaultRowHeight="15"/>
  <cols>
    <col min="1" max="1" width="13.3984375" style="1" customWidth="1"/>
    <col min="2" max="2" width="10.69921875" style="1" customWidth="1"/>
    <col min="3" max="8" width="9.69921875" style="1" customWidth="1"/>
    <col min="9" max="9" width="6.59765625" style="1" customWidth="1"/>
    <col min="10" max="10" width="9.69921875" style="1" customWidth="1"/>
    <col min="11" max="11" width="8" style="1" customWidth="1"/>
    <col min="12" max="12" width="8.69921875" style="1" customWidth="1"/>
    <col min="13" max="13" width="7.59765625" style="1" customWidth="1"/>
    <col min="14" max="14" width="8.19921875" style="1" customWidth="1"/>
    <col min="15" max="15" width="3.09765625" style="0" customWidth="1"/>
    <col min="16" max="16" width="14.09765625" style="1" customWidth="1"/>
    <col min="17" max="17" width="13.69921875" style="1" customWidth="1"/>
    <col min="18" max="18" width="13.8984375" style="1" customWidth="1"/>
    <col min="19" max="23" width="9" style="1" customWidth="1"/>
    <col min="24" max="24" width="10.09765625" style="1" customWidth="1"/>
    <col min="25" max="16384" width="9" style="1" customWidth="1"/>
  </cols>
  <sheetData>
    <row r="1" spans="1:23" s="9" customFormat="1" ht="24" customHeight="1">
      <c r="A1" s="29" t="s">
        <v>52</v>
      </c>
      <c r="B1" s="29"/>
      <c r="C1" s="20"/>
      <c r="D1" s="20"/>
      <c r="E1" s="20"/>
      <c r="F1" s="20"/>
      <c r="G1" s="20"/>
      <c r="H1" s="20"/>
      <c r="I1" s="20"/>
      <c r="J1" s="20"/>
      <c r="K1" s="20"/>
      <c r="O1"/>
      <c r="P1" s="29" t="s">
        <v>52</v>
      </c>
      <c r="Q1" s="29"/>
      <c r="R1" s="20"/>
      <c r="S1" s="20"/>
      <c r="T1" s="20"/>
      <c r="U1" s="20"/>
      <c r="V1" s="20"/>
      <c r="W1" s="20"/>
    </row>
    <row r="2" spans="1:23" s="9" customFormat="1" ht="24" customHeight="1">
      <c r="A2" s="29" t="s">
        <v>56</v>
      </c>
      <c r="B2" s="29"/>
      <c r="C2" s="20"/>
      <c r="D2" s="20"/>
      <c r="E2" s="20"/>
      <c r="F2" s="20"/>
      <c r="G2" s="20"/>
      <c r="H2" s="20"/>
      <c r="I2" s="20"/>
      <c r="J2" s="20"/>
      <c r="K2" s="20"/>
      <c r="O2"/>
      <c r="P2" s="29" t="s">
        <v>56</v>
      </c>
      <c r="Q2" s="29"/>
      <c r="R2" s="20"/>
      <c r="S2" s="20"/>
      <c r="T2" s="20"/>
      <c r="U2" s="20"/>
      <c r="V2" s="20"/>
      <c r="W2" s="20"/>
    </row>
    <row r="3" spans="1:25" s="9" customFormat="1" ht="24" customHeight="1" thickBot="1">
      <c r="A3" s="28" t="s">
        <v>329</v>
      </c>
      <c r="B3" s="28"/>
      <c r="C3" s="79"/>
      <c r="D3" s="79"/>
      <c r="E3" s="79"/>
      <c r="F3" s="79"/>
      <c r="G3" s="79"/>
      <c r="H3" s="79"/>
      <c r="I3" s="79"/>
      <c r="J3" s="80"/>
      <c r="M3" s="9" t="s">
        <v>324</v>
      </c>
      <c r="O3"/>
      <c r="P3" s="28" t="s">
        <v>328</v>
      </c>
      <c r="Q3" s="28"/>
      <c r="R3" s="79"/>
      <c r="S3" s="79"/>
      <c r="T3" s="79"/>
      <c r="U3" s="79"/>
      <c r="V3" s="79"/>
      <c r="W3" s="79"/>
      <c r="Y3" s="9" t="s">
        <v>324</v>
      </c>
    </row>
    <row r="4" spans="1:26" ht="21" customHeight="1" thickBot="1">
      <c r="A4" s="379"/>
      <c r="B4" s="383" t="s">
        <v>310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7"/>
      <c r="P4" s="379"/>
      <c r="Q4" s="383" t="s">
        <v>330</v>
      </c>
      <c r="R4" s="378"/>
      <c r="S4" s="378"/>
      <c r="T4" s="378"/>
      <c r="U4" s="378"/>
      <c r="V4" s="378"/>
      <c r="W4" s="378"/>
      <c r="X4" s="378"/>
      <c r="Y4" s="378"/>
      <c r="Z4" s="377"/>
    </row>
    <row r="5" spans="1:26" ht="53.25" customHeight="1" thickBot="1">
      <c r="A5" s="380"/>
      <c r="B5" s="384"/>
      <c r="C5" s="385" t="s">
        <v>320</v>
      </c>
      <c r="D5" s="386" t="s">
        <v>311</v>
      </c>
      <c r="E5" s="386" t="s">
        <v>312</v>
      </c>
      <c r="F5" s="386" t="s">
        <v>313</v>
      </c>
      <c r="G5" s="386" t="s">
        <v>314</v>
      </c>
      <c r="H5" s="386" t="s">
        <v>315</v>
      </c>
      <c r="I5" s="386" t="s">
        <v>316</v>
      </c>
      <c r="J5" s="386" t="s">
        <v>321</v>
      </c>
      <c r="K5" s="386" t="s">
        <v>322</v>
      </c>
      <c r="L5" s="386" t="s">
        <v>317</v>
      </c>
      <c r="M5" s="386" t="s">
        <v>318</v>
      </c>
      <c r="N5" s="387" t="s">
        <v>319</v>
      </c>
      <c r="P5" s="380"/>
      <c r="Q5" s="384"/>
      <c r="R5" s="385" t="s">
        <v>320</v>
      </c>
      <c r="S5" s="386" t="s">
        <v>311</v>
      </c>
      <c r="T5" s="386" t="s">
        <v>312</v>
      </c>
      <c r="U5" s="386" t="s">
        <v>313</v>
      </c>
      <c r="V5" s="386" t="s">
        <v>314</v>
      </c>
      <c r="W5" s="386" t="s">
        <v>315</v>
      </c>
      <c r="X5" s="415" t="s">
        <v>317</v>
      </c>
      <c r="Y5" s="386" t="s">
        <v>318</v>
      </c>
      <c r="Z5" s="387" t="s">
        <v>319</v>
      </c>
    </row>
    <row r="6" spans="1:26" ht="20.25" customHeight="1">
      <c r="A6" s="381" t="s">
        <v>187</v>
      </c>
      <c r="B6" s="391">
        <f>SUM(C6:N6)</f>
        <v>467</v>
      </c>
      <c r="C6" s="392">
        <v>36</v>
      </c>
      <c r="D6" s="393">
        <v>0</v>
      </c>
      <c r="E6" s="393">
        <v>0</v>
      </c>
      <c r="F6" s="393">
        <v>415</v>
      </c>
      <c r="G6" s="393">
        <v>0</v>
      </c>
      <c r="H6" s="393">
        <v>0</v>
      </c>
      <c r="I6" s="393">
        <v>0</v>
      </c>
      <c r="J6" s="393">
        <v>0</v>
      </c>
      <c r="K6" s="393">
        <v>0</v>
      </c>
      <c r="L6" s="393">
        <v>0</v>
      </c>
      <c r="M6" s="393">
        <v>0</v>
      </c>
      <c r="N6" s="393">
        <v>16</v>
      </c>
      <c r="P6" s="381" t="s">
        <v>187</v>
      </c>
      <c r="Q6" s="391">
        <f>SUM(R6:Z6)</f>
        <v>111815</v>
      </c>
      <c r="R6" s="392">
        <v>107792</v>
      </c>
      <c r="S6" s="393">
        <v>408</v>
      </c>
      <c r="T6" s="393">
        <v>0</v>
      </c>
      <c r="U6" s="393">
        <v>941</v>
      </c>
      <c r="V6" s="393">
        <v>60</v>
      </c>
      <c r="W6" s="393">
        <v>0</v>
      </c>
      <c r="X6" s="393">
        <v>2614</v>
      </c>
      <c r="Y6" s="393">
        <v>0</v>
      </c>
      <c r="Z6" s="413">
        <v>0</v>
      </c>
    </row>
    <row r="7" spans="1:26" ht="20.25" customHeight="1">
      <c r="A7" s="83" t="s">
        <v>188</v>
      </c>
      <c r="B7" s="391">
        <f aca="true" t="shared" si="0" ref="B7:B62">SUM(C7:N7)</f>
        <v>2590</v>
      </c>
      <c r="C7" s="392">
        <v>1649</v>
      </c>
      <c r="D7" s="393">
        <v>0</v>
      </c>
      <c r="E7" s="393">
        <v>0</v>
      </c>
      <c r="F7" s="393">
        <v>0</v>
      </c>
      <c r="G7" s="393">
        <v>0</v>
      </c>
      <c r="H7" s="393">
        <v>0</v>
      </c>
      <c r="I7" s="393">
        <v>0</v>
      </c>
      <c r="J7" s="393">
        <v>0</v>
      </c>
      <c r="K7" s="393">
        <v>0</v>
      </c>
      <c r="L7" s="393">
        <v>934</v>
      </c>
      <c r="M7" s="393">
        <v>7</v>
      </c>
      <c r="N7" s="393">
        <v>0</v>
      </c>
      <c r="P7" s="83" t="s">
        <v>188</v>
      </c>
      <c r="Q7" s="391">
        <f aca="true" t="shared" si="1" ref="Q7:Q62">SUM(R7:Z7)</f>
        <v>9513</v>
      </c>
      <c r="R7" s="392">
        <v>9397</v>
      </c>
      <c r="S7" s="393">
        <v>0</v>
      </c>
      <c r="T7" s="393">
        <v>0</v>
      </c>
      <c r="U7" s="393">
        <v>0</v>
      </c>
      <c r="V7" s="393">
        <v>0</v>
      </c>
      <c r="W7" s="393">
        <v>0</v>
      </c>
      <c r="X7" s="393">
        <v>116</v>
      </c>
      <c r="Y7" s="393">
        <v>0</v>
      </c>
      <c r="Z7" s="413">
        <v>0</v>
      </c>
    </row>
    <row r="8" spans="1:26" ht="20.25" customHeight="1">
      <c r="A8" s="83" t="s">
        <v>189</v>
      </c>
      <c r="B8" s="391">
        <f t="shared" si="0"/>
        <v>167</v>
      </c>
      <c r="C8" s="392">
        <v>0</v>
      </c>
      <c r="D8" s="393">
        <v>0</v>
      </c>
      <c r="E8" s="393">
        <v>0</v>
      </c>
      <c r="F8" s="393">
        <v>0</v>
      </c>
      <c r="G8" s="393">
        <v>0</v>
      </c>
      <c r="H8" s="393">
        <v>0</v>
      </c>
      <c r="I8" s="393">
        <v>0</v>
      </c>
      <c r="J8" s="393">
        <v>0</v>
      </c>
      <c r="K8" s="393">
        <v>0</v>
      </c>
      <c r="L8" s="393">
        <v>0</v>
      </c>
      <c r="M8" s="393">
        <v>0</v>
      </c>
      <c r="N8" s="393">
        <v>167</v>
      </c>
      <c r="P8" s="83" t="s">
        <v>189</v>
      </c>
      <c r="Q8" s="391">
        <f t="shared" si="1"/>
        <v>11281</v>
      </c>
      <c r="R8" s="392">
        <v>10743</v>
      </c>
      <c r="S8" s="393">
        <v>104</v>
      </c>
      <c r="T8" s="393">
        <v>0</v>
      </c>
      <c r="U8" s="393">
        <v>98</v>
      </c>
      <c r="V8" s="393">
        <v>0</v>
      </c>
      <c r="W8" s="393">
        <v>0</v>
      </c>
      <c r="X8" s="393">
        <v>336</v>
      </c>
      <c r="Y8" s="393">
        <v>0</v>
      </c>
      <c r="Z8" s="413">
        <v>0</v>
      </c>
    </row>
    <row r="9" spans="1:26" ht="20.25" customHeight="1">
      <c r="A9" s="83" t="s">
        <v>190</v>
      </c>
      <c r="B9" s="391">
        <f t="shared" si="0"/>
        <v>17789</v>
      </c>
      <c r="C9" s="392">
        <v>14570</v>
      </c>
      <c r="D9" s="393">
        <v>142</v>
      </c>
      <c r="E9" s="393">
        <v>0</v>
      </c>
      <c r="F9" s="393">
        <v>0</v>
      </c>
      <c r="G9" s="393">
        <v>1979</v>
      </c>
      <c r="H9" s="393">
        <v>0</v>
      </c>
      <c r="I9" s="393">
        <v>0</v>
      </c>
      <c r="J9" s="393">
        <v>0</v>
      </c>
      <c r="K9" s="393">
        <v>0</v>
      </c>
      <c r="L9" s="393">
        <v>979</v>
      </c>
      <c r="M9" s="393">
        <v>0</v>
      </c>
      <c r="N9" s="393">
        <v>119</v>
      </c>
      <c r="P9" s="83" t="s">
        <v>190</v>
      </c>
      <c r="Q9" s="391">
        <f t="shared" si="1"/>
        <v>1643</v>
      </c>
      <c r="R9" s="392">
        <v>1559</v>
      </c>
      <c r="S9" s="393">
        <v>14</v>
      </c>
      <c r="T9" s="393">
        <v>0</v>
      </c>
      <c r="U9" s="393">
        <v>17</v>
      </c>
      <c r="V9" s="393">
        <v>0</v>
      </c>
      <c r="W9" s="393">
        <v>0</v>
      </c>
      <c r="X9" s="393">
        <v>53</v>
      </c>
      <c r="Y9" s="393">
        <v>0</v>
      </c>
      <c r="Z9" s="413">
        <v>0</v>
      </c>
    </row>
    <row r="10" spans="1:26" ht="20.25" customHeight="1">
      <c r="A10" s="155" t="s">
        <v>191</v>
      </c>
      <c r="B10" s="390">
        <f t="shared" si="0"/>
        <v>5792</v>
      </c>
      <c r="C10" s="388">
        <v>4098</v>
      </c>
      <c r="D10" s="376">
        <v>4</v>
      </c>
      <c r="E10" s="376">
        <v>0</v>
      </c>
      <c r="F10" s="376">
        <v>202</v>
      </c>
      <c r="G10" s="376">
        <v>879</v>
      </c>
      <c r="H10" s="376">
        <v>266</v>
      </c>
      <c r="I10" s="376">
        <v>0</v>
      </c>
      <c r="J10" s="376">
        <v>0</v>
      </c>
      <c r="K10" s="376">
        <v>0</v>
      </c>
      <c r="L10" s="376">
        <v>332</v>
      </c>
      <c r="M10" s="376">
        <v>3</v>
      </c>
      <c r="N10" s="376">
        <v>8</v>
      </c>
      <c r="P10" s="155" t="s">
        <v>191</v>
      </c>
      <c r="Q10" s="390">
        <f t="shared" si="1"/>
        <v>1712</v>
      </c>
      <c r="R10" s="388">
        <v>1608</v>
      </c>
      <c r="S10" s="376">
        <v>14</v>
      </c>
      <c r="T10" s="376">
        <v>0</v>
      </c>
      <c r="U10" s="376">
        <v>34</v>
      </c>
      <c r="V10" s="376">
        <v>0</v>
      </c>
      <c r="W10" s="376">
        <v>0</v>
      </c>
      <c r="X10" s="376">
        <v>56</v>
      </c>
      <c r="Y10" s="376">
        <v>0</v>
      </c>
      <c r="Z10" s="389">
        <v>0</v>
      </c>
    </row>
    <row r="11" spans="1:26" ht="20.25" customHeight="1">
      <c r="A11" s="382" t="s">
        <v>192</v>
      </c>
      <c r="B11" s="394">
        <f t="shared" si="0"/>
        <v>0</v>
      </c>
      <c r="C11" s="395">
        <v>0</v>
      </c>
      <c r="D11" s="396">
        <v>0</v>
      </c>
      <c r="E11" s="396">
        <v>0</v>
      </c>
      <c r="F11" s="396">
        <v>0</v>
      </c>
      <c r="G11" s="396">
        <v>0</v>
      </c>
      <c r="H11" s="396">
        <v>0</v>
      </c>
      <c r="I11" s="396">
        <v>0</v>
      </c>
      <c r="J11" s="396">
        <v>0</v>
      </c>
      <c r="K11" s="396">
        <v>0</v>
      </c>
      <c r="L11" s="396">
        <v>0</v>
      </c>
      <c r="M11" s="396">
        <v>0</v>
      </c>
      <c r="N11" s="396">
        <v>0</v>
      </c>
      <c r="P11" s="382" t="s">
        <v>192</v>
      </c>
      <c r="Q11" s="394">
        <f t="shared" si="1"/>
        <v>5908</v>
      </c>
      <c r="R11" s="395">
        <v>5164</v>
      </c>
      <c r="S11" s="396">
        <v>44</v>
      </c>
      <c r="T11" s="396">
        <v>0</v>
      </c>
      <c r="U11" s="396">
        <v>212</v>
      </c>
      <c r="V11" s="396">
        <v>421</v>
      </c>
      <c r="W11" s="396">
        <v>0</v>
      </c>
      <c r="X11" s="396">
        <v>67</v>
      </c>
      <c r="Y11" s="396">
        <v>0</v>
      </c>
      <c r="Z11" s="401">
        <v>0</v>
      </c>
    </row>
    <row r="12" spans="1:26" ht="20.25" customHeight="1">
      <c r="A12" s="83" t="s">
        <v>193</v>
      </c>
      <c r="B12" s="397">
        <f t="shared" si="0"/>
        <v>9324</v>
      </c>
      <c r="C12" s="398">
        <v>8052</v>
      </c>
      <c r="D12" s="399">
        <v>51</v>
      </c>
      <c r="E12" s="399">
        <v>602</v>
      </c>
      <c r="F12" s="399">
        <v>0</v>
      </c>
      <c r="G12" s="399">
        <v>0</v>
      </c>
      <c r="H12" s="399">
        <v>0</v>
      </c>
      <c r="I12" s="399">
        <v>0</v>
      </c>
      <c r="J12" s="399">
        <v>0</v>
      </c>
      <c r="K12" s="399">
        <v>0</v>
      </c>
      <c r="L12" s="399">
        <v>619</v>
      </c>
      <c r="M12" s="399">
        <v>0</v>
      </c>
      <c r="N12" s="399">
        <v>0</v>
      </c>
      <c r="P12" s="83" t="s">
        <v>193</v>
      </c>
      <c r="Q12" s="397">
        <f t="shared" si="1"/>
        <v>4047</v>
      </c>
      <c r="R12" s="398">
        <v>3668</v>
      </c>
      <c r="S12" s="399">
        <v>22</v>
      </c>
      <c r="T12" s="399">
        <v>205</v>
      </c>
      <c r="U12" s="399">
        <v>48</v>
      </c>
      <c r="V12" s="399">
        <v>1</v>
      </c>
      <c r="W12" s="399">
        <v>0</v>
      </c>
      <c r="X12" s="399">
        <v>103</v>
      </c>
      <c r="Y12" s="399">
        <v>0</v>
      </c>
      <c r="Z12" s="400">
        <v>0</v>
      </c>
    </row>
    <row r="13" spans="1:26" ht="20.25" customHeight="1">
      <c r="A13" s="83" t="s">
        <v>194</v>
      </c>
      <c r="B13" s="397">
        <f t="shared" si="0"/>
        <v>9555</v>
      </c>
      <c r="C13" s="398">
        <v>8217</v>
      </c>
      <c r="D13" s="399">
        <v>0</v>
      </c>
      <c r="E13" s="399">
        <v>0</v>
      </c>
      <c r="F13" s="399">
        <v>869</v>
      </c>
      <c r="G13" s="399">
        <v>0</v>
      </c>
      <c r="H13" s="399">
        <v>0</v>
      </c>
      <c r="I13" s="399">
        <v>0</v>
      </c>
      <c r="J13" s="399">
        <v>0</v>
      </c>
      <c r="K13" s="399">
        <v>0</v>
      </c>
      <c r="L13" s="399">
        <v>365</v>
      </c>
      <c r="M13" s="399">
        <v>5</v>
      </c>
      <c r="N13" s="399">
        <v>99</v>
      </c>
      <c r="P13" s="83" t="s">
        <v>194</v>
      </c>
      <c r="Q13" s="397">
        <f t="shared" si="1"/>
        <v>2212</v>
      </c>
      <c r="R13" s="398">
        <v>2128</v>
      </c>
      <c r="S13" s="399">
        <v>0</v>
      </c>
      <c r="T13" s="399">
        <v>0</v>
      </c>
      <c r="U13" s="399">
        <v>35</v>
      </c>
      <c r="V13" s="399">
        <v>3</v>
      </c>
      <c r="W13" s="399">
        <v>0</v>
      </c>
      <c r="X13" s="399">
        <v>46</v>
      </c>
      <c r="Y13" s="399">
        <v>0</v>
      </c>
      <c r="Z13" s="400">
        <v>0</v>
      </c>
    </row>
    <row r="14" spans="1:26" ht="20.25" customHeight="1">
      <c r="A14" s="83" t="s">
        <v>195</v>
      </c>
      <c r="B14" s="397">
        <f t="shared" si="0"/>
        <v>1316</v>
      </c>
      <c r="C14" s="398">
        <v>1238</v>
      </c>
      <c r="D14" s="399">
        <v>0</v>
      </c>
      <c r="E14" s="399">
        <v>0</v>
      </c>
      <c r="F14" s="399">
        <v>0</v>
      </c>
      <c r="G14" s="399">
        <v>0</v>
      </c>
      <c r="H14" s="399">
        <v>0</v>
      </c>
      <c r="I14" s="399">
        <v>0</v>
      </c>
      <c r="J14" s="399">
        <v>0</v>
      </c>
      <c r="K14" s="399">
        <v>0</v>
      </c>
      <c r="L14" s="399">
        <v>78</v>
      </c>
      <c r="M14" s="399">
        <v>0</v>
      </c>
      <c r="N14" s="399">
        <v>0</v>
      </c>
      <c r="P14" s="83" t="s">
        <v>195</v>
      </c>
      <c r="Q14" s="397">
        <f t="shared" si="1"/>
        <v>1305</v>
      </c>
      <c r="R14" s="398">
        <v>1185</v>
      </c>
      <c r="S14" s="399">
        <v>0</v>
      </c>
      <c r="T14" s="399">
        <v>0</v>
      </c>
      <c r="U14" s="399">
        <v>56</v>
      </c>
      <c r="V14" s="399">
        <v>0</v>
      </c>
      <c r="W14" s="399">
        <v>0</v>
      </c>
      <c r="X14" s="399">
        <v>64</v>
      </c>
      <c r="Y14" s="399">
        <v>0</v>
      </c>
      <c r="Z14" s="400">
        <v>0</v>
      </c>
    </row>
    <row r="15" spans="1:26" ht="20.25" customHeight="1">
      <c r="A15" s="155" t="s">
        <v>196</v>
      </c>
      <c r="B15" s="390">
        <f t="shared" si="0"/>
        <v>2642</v>
      </c>
      <c r="C15" s="388">
        <v>2254</v>
      </c>
      <c r="D15" s="376">
        <v>17</v>
      </c>
      <c r="E15" s="376">
        <v>0</v>
      </c>
      <c r="F15" s="376">
        <v>206</v>
      </c>
      <c r="G15" s="376">
        <v>0</v>
      </c>
      <c r="H15" s="376">
        <v>0</v>
      </c>
      <c r="I15" s="376">
        <v>0</v>
      </c>
      <c r="J15" s="376">
        <v>0</v>
      </c>
      <c r="K15" s="376"/>
      <c r="L15" s="376">
        <v>165</v>
      </c>
      <c r="M15" s="376">
        <v>0</v>
      </c>
      <c r="N15" s="376">
        <v>0</v>
      </c>
      <c r="P15" s="155" t="s">
        <v>196</v>
      </c>
      <c r="Q15" s="390">
        <f t="shared" si="1"/>
        <v>524</v>
      </c>
      <c r="R15" s="388">
        <v>492</v>
      </c>
      <c r="S15" s="376">
        <v>0</v>
      </c>
      <c r="T15" s="376">
        <v>0</v>
      </c>
      <c r="U15" s="376">
        <v>10</v>
      </c>
      <c r="V15" s="376">
        <v>1</v>
      </c>
      <c r="W15" s="376">
        <v>0</v>
      </c>
      <c r="X15" s="376">
        <v>21</v>
      </c>
      <c r="Y15" s="376">
        <v>0</v>
      </c>
      <c r="Z15" s="389">
        <v>0</v>
      </c>
    </row>
    <row r="16" spans="1:26" ht="20.25" customHeight="1">
      <c r="A16" s="382" t="s">
        <v>197</v>
      </c>
      <c r="B16" s="394">
        <f t="shared" si="0"/>
        <v>2088</v>
      </c>
      <c r="C16" s="395">
        <v>1614</v>
      </c>
      <c r="D16" s="396">
        <v>2</v>
      </c>
      <c r="E16" s="396">
        <v>0</v>
      </c>
      <c r="F16" s="396">
        <v>457</v>
      </c>
      <c r="G16" s="396">
        <v>0</v>
      </c>
      <c r="H16" s="396">
        <v>0</v>
      </c>
      <c r="I16" s="396">
        <v>0</v>
      </c>
      <c r="J16" s="396">
        <v>14</v>
      </c>
      <c r="K16" s="396">
        <v>0</v>
      </c>
      <c r="L16" s="396">
        <v>1</v>
      </c>
      <c r="M16" s="396">
        <v>0</v>
      </c>
      <c r="N16" s="396">
        <v>0</v>
      </c>
      <c r="P16" s="382" t="s">
        <v>197</v>
      </c>
      <c r="Q16" s="394">
        <f t="shared" si="1"/>
        <v>3451</v>
      </c>
      <c r="R16" s="395">
        <v>3327</v>
      </c>
      <c r="S16" s="396">
        <v>28</v>
      </c>
      <c r="T16" s="396">
        <v>0</v>
      </c>
      <c r="U16" s="396">
        <v>61</v>
      </c>
      <c r="V16" s="396">
        <v>0</v>
      </c>
      <c r="W16" s="396">
        <v>0</v>
      </c>
      <c r="X16" s="396">
        <v>35</v>
      </c>
      <c r="Y16" s="396">
        <v>0</v>
      </c>
      <c r="Z16" s="401">
        <v>0</v>
      </c>
    </row>
    <row r="17" spans="1:26" ht="20.25" customHeight="1">
      <c r="A17" s="83" t="s">
        <v>198</v>
      </c>
      <c r="B17" s="397">
        <f t="shared" si="0"/>
        <v>0</v>
      </c>
      <c r="C17" s="398">
        <v>0</v>
      </c>
      <c r="D17" s="399">
        <v>0</v>
      </c>
      <c r="E17" s="399">
        <v>0</v>
      </c>
      <c r="F17" s="399">
        <v>0</v>
      </c>
      <c r="G17" s="399">
        <v>0</v>
      </c>
      <c r="H17" s="399">
        <v>0</v>
      </c>
      <c r="I17" s="399">
        <v>0</v>
      </c>
      <c r="J17" s="399">
        <v>0</v>
      </c>
      <c r="K17" s="399">
        <v>0</v>
      </c>
      <c r="L17" s="399">
        <v>0</v>
      </c>
      <c r="M17" s="399">
        <v>0</v>
      </c>
      <c r="N17" s="399">
        <v>0</v>
      </c>
      <c r="P17" s="83" t="s">
        <v>198</v>
      </c>
      <c r="Q17" s="397">
        <f t="shared" si="1"/>
        <v>8417</v>
      </c>
      <c r="R17" s="398">
        <v>8156</v>
      </c>
      <c r="S17" s="399">
        <v>77</v>
      </c>
      <c r="T17" s="399">
        <v>0</v>
      </c>
      <c r="U17" s="399">
        <v>0</v>
      </c>
      <c r="V17" s="399">
        <v>0</v>
      </c>
      <c r="W17" s="399">
        <v>0</v>
      </c>
      <c r="X17" s="399">
        <v>184</v>
      </c>
      <c r="Y17" s="399">
        <v>0</v>
      </c>
      <c r="Z17" s="400">
        <v>0</v>
      </c>
    </row>
    <row r="18" spans="1:26" ht="20.25" customHeight="1">
      <c r="A18" s="83" t="s">
        <v>199</v>
      </c>
      <c r="B18" s="397">
        <f t="shared" si="0"/>
        <v>6210</v>
      </c>
      <c r="C18" s="398">
        <v>5460</v>
      </c>
      <c r="D18" s="399">
        <v>18</v>
      </c>
      <c r="E18" s="399">
        <v>0</v>
      </c>
      <c r="F18" s="399">
        <v>0</v>
      </c>
      <c r="G18" s="399">
        <v>0</v>
      </c>
      <c r="H18" s="399">
        <v>133</v>
      </c>
      <c r="I18" s="399">
        <v>0</v>
      </c>
      <c r="J18" s="399">
        <v>0</v>
      </c>
      <c r="K18" s="399">
        <v>0</v>
      </c>
      <c r="L18" s="399">
        <v>372</v>
      </c>
      <c r="M18" s="399">
        <v>0</v>
      </c>
      <c r="N18" s="399">
        <v>227</v>
      </c>
      <c r="P18" s="83" t="s">
        <v>199</v>
      </c>
      <c r="Q18" s="397">
        <f t="shared" si="1"/>
        <v>4651</v>
      </c>
      <c r="R18" s="398">
        <v>4480</v>
      </c>
      <c r="S18" s="399">
        <v>51</v>
      </c>
      <c r="T18" s="399">
        <v>0</v>
      </c>
      <c r="U18" s="399">
        <v>30</v>
      </c>
      <c r="V18" s="399">
        <v>4</v>
      </c>
      <c r="W18" s="399">
        <v>0</v>
      </c>
      <c r="X18" s="399">
        <v>86</v>
      </c>
      <c r="Y18" s="399">
        <v>0</v>
      </c>
      <c r="Z18" s="400">
        <v>0</v>
      </c>
    </row>
    <row r="19" spans="1:26" ht="20.25" customHeight="1">
      <c r="A19" s="83" t="s">
        <v>200</v>
      </c>
      <c r="B19" s="397">
        <f t="shared" si="0"/>
        <v>1514</v>
      </c>
      <c r="C19" s="398">
        <v>1451</v>
      </c>
      <c r="D19" s="399">
        <v>9</v>
      </c>
      <c r="E19" s="399">
        <v>0</v>
      </c>
      <c r="F19" s="399">
        <v>31</v>
      </c>
      <c r="G19" s="399">
        <v>0</v>
      </c>
      <c r="H19" s="399">
        <v>0</v>
      </c>
      <c r="I19" s="399">
        <v>0</v>
      </c>
      <c r="J19" s="399">
        <v>0</v>
      </c>
      <c r="K19" s="399">
        <v>0</v>
      </c>
      <c r="L19" s="399">
        <v>23</v>
      </c>
      <c r="M19" s="399">
        <v>0</v>
      </c>
      <c r="N19" s="399">
        <v>0</v>
      </c>
      <c r="P19" s="83" t="s">
        <v>200</v>
      </c>
      <c r="Q19" s="397">
        <f t="shared" si="1"/>
        <v>2992</v>
      </c>
      <c r="R19" s="398">
        <v>2737</v>
      </c>
      <c r="S19" s="399">
        <v>30</v>
      </c>
      <c r="T19" s="399">
        <v>0</v>
      </c>
      <c r="U19" s="399">
        <v>51</v>
      </c>
      <c r="V19" s="399">
        <v>12</v>
      </c>
      <c r="W19" s="399">
        <v>0</v>
      </c>
      <c r="X19" s="399">
        <v>162</v>
      </c>
      <c r="Y19" s="399">
        <v>0</v>
      </c>
      <c r="Z19" s="400">
        <v>0</v>
      </c>
    </row>
    <row r="20" spans="1:26" ht="20.25" customHeight="1">
      <c r="A20" s="155" t="s">
        <v>201</v>
      </c>
      <c r="B20" s="390">
        <f t="shared" si="0"/>
        <v>0</v>
      </c>
      <c r="C20" s="388">
        <v>0</v>
      </c>
      <c r="D20" s="376">
        <v>0</v>
      </c>
      <c r="E20" s="376">
        <v>0</v>
      </c>
      <c r="F20" s="376">
        <v>0</v>
      </c>
      <c r="G20" s="376">
        <v>0</v>
      </c>
      <c r="H20" s="376">
        <v>0</v>
      </c>
      <c r="I20" s="376">
        <v>0</v>
      </c>
      <c r="J20" s="376">
        <v>0</v>
      </c>
      <c r="K20" s="376">
        <v>0</v>
      </c>
      <c r="L20" s="376">
        <v>0</v>
      </c>
      <c r="M20" s="376">
        <v>0</v>
      </c>
      <c r="N20" s="376">
        <v>0</v>
      </c>
      <c r="P20" s="155" t="s">
        <v>201</v>
      </c>
      <c r="Q20" s="390">
        <f t="shared" si="1"/>
        <v>1885</v>
      </c>
      <c r="R20" s="388">
        <v>1761</v>
      </c>
      <c r="S20" s="376">
        <v>16</v>
      </c>
      <c r="T20" s="376">
        <v>0</v>
      </c>
      <c r="U20" s="376">
        <v>36</v>
      </c>
      <c r="V20" s="376">
        <v>9</v>
      </c>
      <c r="W20" s="376">
        <v>2</v>
      </c>
      <c r="X20" s="376">
        <v>61</v>
      </c>
      <c r="Y20" s="376">
        <v>0</v>
      </c>
      <c r="Z20" s="389">
        <v>0</v>
      </c>
    </row>
    <row r="21" spans="1:26" ht="20.25" customHeight="1">
      <c r="A21" s="382" t="s">
        <v>202</v>
      </c>
      <c r="B21" s="394">
        <f t="shared" si="0"/>
        <v>4148</v>
      </c>
      <c r="C21" s="395">
        <v>2313</v>
      </c>
      <c r="D21" s="396">
        <v>51</v>
      </c>
      <c r="E21" s="396">
        <v>0</v>
      </c>
      <c r="F21" s="396">
        <v>157</v>
      </c>
      <c r="G21" s="396">
        <v>513</v>
      </c>
      <c r="H21" s="396">
        <v>216</v>
      </c>
      <c r="I21" s="396">
        <v>0</v>
      </c>
      <c r="J21" s="396">
        <v>631</v>
      </c>
      <c r="K21" s="396">
        <v>0</v>
      </c>
      <c r="L21" s="396">
        <v>267</v>
      </c>
      <c r="M21" s="396">
        <v>0</v>
      </c>
      <c r="N21" s="396">
        <v>0</v>
      </c>
      <c r="P21" s="382" t="s">
        <v>202</v>
      </c>
      <c r="Q21" s="394">
        <f t="shared" si="1"/>
        <v>1683</v>
      </c>
      <c r="R21" s="395">
        <v>1590</v>
      </c>
      <c r="S21" s="396">
        <v>0</v>
      </c>
      <c r="T21" s="396">
        <v>0</v>
      </c>
      <c r="U21" s="396">
        <v>0</v>
      </c>
      <c r="V21" s="396">
        <v>0</v>
      </c>
      <c r="W21" s="396">
        <v>0</v>
      </c>
      <c r="X21" s="396">
        <v>93</v>
      </c>
      <c r="Y21" s="396">
        <v>0</v>
      </c>
      <c r="Z21" s="401">
        <v>0</v>
      </c>
    </row>
    <row r="22" spans="1:26" ht="20.25" customHeight="1">
      <c r="A22" s="83" t="s">
        <v>203</v>
      </c>
      <c r="B22" s="397">
        <f t="shared" si="0"/>
        <v>1702</v>
      </c>
      <c r="C22" s="398">
        <v>1411</v>
      </c>
      <c r="D22" s="399">
        <v>12</v>
      </c>
      <c r="E22" s="399">
        <v>221</v>
      </c>
      <c r="F22" s="399">
        <v>0</v>
      </c>
      <c r="G22" s="399">
        <v>0</v>
      </c>
      <c r="H22" s="399">
        <v>0</v>
      </c>
      <c r="I22" s="399">
        <v>0</v>
      </c>
      <c r="J22" s="399">
        <v>0</v>
      </c>
      <c r="K22" s="399">
        <v>58</v>
      </c>
      <c r="L22" s="399">
        <v>0</v>
      </c>
      <c r="M22" s="399">
        <v>0</v>
      </c>
      <c r="N22" s="399">
        <v>0</v>
      </c>
      <c r="P22" s="83" t="s">
        <v>203</v>
      </c>
      <c r="Q22" s="397">
        <f t="shared" si="1"/>
        <v>1008</v>
      </c>
      <c r="R22" s="398">
        <v>952</v>
      </c>
      <c r="S22" s="399">
        <v>10</v>
      </c>
      <c r="T22" s="399">
        <v>0</v>
      </c>
      <c r="U22" s="399">
        <v>15</v>
      </c>
      <c r="V22" s="399">
        <v>0</v>
      </c>
      <c r="W22" s="399">
        <v>0</v>
      </c>
      <c r="X22" s="399">
        <v>31</v>
      </c>
      <c r="Y22" s="399">
        <v>0</v>
      </c>
      <c r="Z22" s="400">
        <v>0</v>
      </c>
    </row>
    <row r="23" spans="1:26" ht="20.25" customHeight="1">
      <c r="A23" s="83" t="s">
        <v>204</v>
      </c>
      <c r="B23" s="397">
        <f t="shared" si="0"/>
        <v>25</v>
      </c>
      <c r="C23" s="398">
        <v>0</v>
      </c>
      <c r="D23" s="399">
        <v>0</v>
      </c>
      <c r="E23" s="399">
        <v>0</v>
      </c>
      <c r="F23" s="399">
        <v>0</v>
      </c>
      <c r="G23" s="399">
        <v>25</v>
      </c>
      <c r="H23" s="399">
        <v>0</v>
      </c>
      <c r="I23" s="399">
        <v>0</v>
      </c>
      <c r="J23" s="399">
        <v>0</v>
      </c>
      <c r="K23" s="399">
        <v>0</v>
      </c>
      <c r="L23" s="399">
        <v>0</v>
      </c>
      <c r="M23" s="399">
        <v>0</v>
      </c>
      <c r="N23" s="399">
        <v>0</v>
      </c>
      <c r="P23" s="83" t="s">
        <v>204</v>
      </c>
      <c r="Q23" s="397">
        <f t="shared" si="1"/>
        <v>2717</v>
      </c>
      <c r="R23" s="398">
        <v>2047</v>
      </c>
      <c r="S23" s="399">
        <v>20</v>
      </c>
      <c r="T23" s="399">
        <v>457</v>
      </c>
      <c r="U23" s="399">
        <v>18</v>
      </c>
      <c r="V23" s="399">
        <v>0</v>
      </c>
      <c r="W23" s="399">
        <v>0</v>
      </c>
      <c r="X23" s="399">
        <v>175</v>
      </c>
      <c r="Y23" s="399">
        <v>0</v>
      </c>
      <c r="Z23" s="400">
        <v>0</v>
      </c>
    </row>
    <row r="24" spans="1:26" ht="20.25" customHeight="1">
      <c r="A24" s="83" t="s">
        <v>205</v>
      </c>
      <c r="B24" s="397">
        <f t="shared" si="0"/>
        <v>5534</v>
      </c>
      <c r="C24" s="398">
        <v>4805</v>
      </c>
      <c r="D24" s="399">
        <v>19</v>
      </c>
      <c r="E24" s="399">
        <v>0</v>
      </c>
      <c r="F24" s="399">
        <v>224</v>
      </c>
      <c r="G24" s="399">
        <v>0</v>
      </c>
      <c r="H24" s="399">
        <v>0</v>
      </c>
      <c r="I24" s="399">
        <v>0</v>
      </c>
      <c r="J24" s="399">
        <v>0</v>
      </c>
      <c r="K24" s="399">
        <v>0</v>
      </c>
      <c r="L24" s="399">
        <v>459</v>
      </c>
      <c r="M24" s="399">
        <v>27</v>
      </c>
      <c r="N24" s="399">
        <v>0</v>
      </c>
      <c r="P24" s="83" t="s">
        <v>205</v>
      </c>
      <c r="Q24" s="397">
        <f t="shared" si="1"/>
        <v>2394</v>
      </c>
      <c r="R24" s="398">
        <v>2233</v>
      </c>
      <c r="S24" s="399">
        <v>16</v>
      </c>
      <c r="T24" s="399">
        <v>0</v>
      </c>
      <c r="U24" s="399">
        <v>0</v>
      </c>
      <c r="V24" s="399">
        <v>90</v>
      </c>
      <c r="W24" s="399">
        <v>0</v>
      </c>
      <c r="X24" s="399">
        <v>55</v>
      </c>
      <c r="Y24" s="399">
        <v>0</v>
      </c>
      <c r="Z24" s="400">
        <v>0</v>
      </c>
    </row>
    <row r="25" spans="1:26" ht="20.25" customHeight="1">
      <c r="A25" s="155" t="s">
        <v>206</v>
      </c>
      <c r="B25" s="390">
        <f t="shared" si="0"/>
        <v>6006</v>
      </c>
      <c r="C25" s="388">
        <v>4292</v>
      </c>
      <c r="D25" s="376">
        <v>38</v>
      </c>
      <c r="E25" s="376">
        <v>122</v>
      </c>
      <c r="F25" s="376">
        <v>269</v>
      </c>
      <c r="G25" s="376">
        <v>697</v>
      </c>
      <c r="H25" s="376">
        <v>213</v>
      </c>
      <c r="I25" s="376">
        <v>0</v>
      </c>
      <c r="J25" s="376">
        <v>0</v>
      </c>
      <c r="K25" s="376">
        <v>0</v>
      </c>
      <c r="L25" s="376">
        <v>373</v>
      </c>
      <c r="M25" s="376">
        <v>2</v>
      </c>
      <c r="N25" s="376">
        <v>0</v>
      </c>
      <c r="P25" s="155" t="s">
        <v>206</v>
      </c>
      <c r="Q25" s="390">
        <f t="shared" si="1"/>
        <v>2438</v>
      </c>
      <c r="R25" s="388">
        <v>2264</v>
      </c>
      <c r="S25" s="376">
        <v>16</v>
      </c>
      <c r="T25" s="376">
        <v>0</v>
      </c>
      <c r="U25" s="376">
        <v>26</v>
      </c>
      <c r="V25" s="376">
        <v>1</v>
      </c>
      <c r="W25" s="376">
        <v>0</v>
      </c>
      <c r="X25" s="376">
        <v>131</v>
      </c>
      <c r="Y25" s="376">
        <v>0</v>
      </c>
      <c r="Z25" s="389">
        <v>0</v>
      </c>
    </row>
    <row r="26" spans="1:26" ht="20.25" customHeight="1">
      <c r="A26" s="382" t="s">
        <v>207</v>
      </c>
      <c r="B26" s="394">
        <f t="shared" si="0"/>
        <v>3325</v>
      </c>
      <c r="C26" s="395">
        <v>1762</v>
      </c>
      <c r="D26" s="396">
        <v>11</v>
      </c>
      <c r="E26" s="396">
        <v>501</v>
      </c>
      <c r="F26" s="396">
        <v>302</v>
      </c>
      <c r="G26" s="396">
        <v>332</v>
      </c>
      <c r="H26" s="396">
        <v>82</v>
      </c>
      <c r="I26" s="396">
        <v>2</v>
      </c>
      <c r="J26" s="396">
        <v>0</v>
      </c>
      <c r="K26" s="396">
        <v>0</v>
      </c>
      <c r="L26" s="396">
        <v>21</v>
      </c>
      <c r="M26" s="396">
        <v>0</v>
      </c>
      <c r="N26" s="396">
        <v>312</v>
      </c>
      <c r="P26" s="382" t="s">
        <v>207</v>
      </c>
      <c r="Q26" s="394">
        <f t="shared" si="1"/>
        <v>24</v>
      </c>
      <c r="R26" s="395">
        <v>8</v>
      </c>
      <c r="S26" s="396">
        <v>0</v>
      </c>
      <c r="T26" s="396">
        <v>3</v>
      </c>
      <c r="U26" s="396">
        <v>13</v>
      </c>
      <c r="V26" s="396">
        <v>0</v>
      </c>
      <c r="W26" s="396">
        <v>0</v>
      </c>
      <c r="X26" s="396">
        <v>0</v>
      </c>
      <c r="Y26" s="396">
        <v>0</v>
      </c>
      <c r="Z26" s="401">
        <v>0</v>
      </c>
    </row>
    <row r="27" spans="1:26" ht="20.25" customHeight="1">
      <c r="A27" s="83" t="s">
        <v>208</v>
      </c>
      <c r="B27" s="397">
        <f t="shared" si="0"/>
        <v>2066</v>
      </c>
      <c r="C27" s="398">
        <v>982</v>
      </c>
      <c r="D27" s="399">
        <v>9</v>
      </c>
      <c r="E27" s="399">
        <v>181</v>
      </c>
      <c r="F27" s="399">
        <v>41</v>
      </c>
      <c r="G27" s="399">
        <v>0</v>
      </c>
      <c r="H27" s="399">
        <v>0</v>
      </c>
      <c r="I27" s="399">
        <v>0</v>
      </c>
      <c r="J27" s="399">
        <v>740</v>
      </c>
      <c r="K27" s="399">
        <v>4</v>
      </c>
      <c r="L27" s="399">
        <v>71</v>
      </c>
      <c r="M27" s="399">
        <v>8</v>
      </c>
      <c r="N27" s="399">
        <v>30</v>
      </c>
      <c r="P27" s="83" t="s">
        <v>208</v>
      </c>
      <c r="Q27" s="397">
        <f t="shared" si="1"/>
        <v>3864</v>
      </c>
      <c r="R27" s="398">
        <v>2745</v>
      </c>
      <c r="S27" s="399">
        <v>25</v>
      </c>
      <c r="T27" s="399">
        <v>651</v>
      </c>
      <c r="U27" s="399">
        <v>116</v>
      </c>
      <c r="V27" s="399">
        <v>242</v>
      </c>
      <c r="W27" s="399">
        <v>0</v>
      </c>
      <c r="X27" s="399">
        <v>85</v>
      </c>
      <c r="Y27" s="399">
        <v>0</v>
      </c>
      <c r="Z27" s="400">
        <v>0</v>
      </c>
    </row>
    <row r="28" spans="1:26" ht="20.25" customHeight="1">
      <c r="A28" s="83" t="s">
        <v>209</v>
      </c>
      <c r="B28" s="397">
        <f t="shared" si="0"/>
        <v>6775</v>
      </c>
      <c r="C28" s="398">
        <v>4533</v>
      </c>
      <c r="D28" s="399">
        <v>22</v>
      </c>
      <c r="E28" s="399">
        <v>0</v>
      </c>
      <c r="F28" s="399">
        <v>203</v>
      </c>
      <c r="G28" s="399">
        <v>714</v>
      </c>
      <c r="H28" s="399">
        <v>191</v>
      </c>
      <c r="I28" s="399">
        <v>0</v>
      </c>
      <c r="J28" s="399">
        <v>316</v>
      </c>
      <c r="K28" s="399">
        <v>0</v>
      </c>
      <c r="L28" s="399">
        <v>119</v>
      </c>
      <c r="M28" s="399">
        <v>0</v>
      </c>
      <c r="N28" s="399">
        <v>677</v>
      </c>
      <c r="P28" s="83" t="s">
        <v>209</v>
      </c>
      <c r="Q28" s="397">
        <f t="shared" si="1"/>
        <v>0</v>
      </c>
      <c r="R28" s="398">
        <v>0</v>
      </c>
      <c r="S28" s="399">
        <v>0</v>
      </c>
      <c r="T28" s="399">
        <v>0</v>
      </c>
      <c r="U28" s="399">
        <v>0</v>
      </c>
      <c r="V28" s="399">
        <v>0</v>
      </c>
      <c r="W28" s="399">
        <v>0</v>
      </c>
      <c r="X28" s="399">
        <v>0</v>
      </c>
      <c r="Y28" s="399">
        <v>0</v>
      </c>
      <c r="Z28" s="400">
        <v>0</v>
      </c>
    </row>
    <row r="29" spans="1:26" ht="20.25" customHeight="1">
      <c r="A29" s="83" t="s">
        <v>210</v>
      </c>
      <c r="B29" s="397">
        <f t="shared" si="0"/>
        <v>0</v>
      </c>
      <c r="C29" s="398">
        <v>0</v>
      </c>
      <c r="D29" s="399">
        <v>0</v>
      </c>
      <c r="E29" s="399">
        <v>0</v>
      </c>
      <c r="F29" s="399"/>
      <c r="G29" s="399">
        <v>0</v>
      </c>
      <c r="H29" s="399">
        <v>0</v>
      </c>
      <c r="I29" s="399">
        <v>0</v>
      </c>
      <c r="J29" s="399">
        <v>0</v>
      </c>
      <c r="K29" s="399">
        <v>0</v>
      </c>
      <c r="L29" s="399">
        <v>0</v>
      </c>
      <c r="M29" s="399">
        <v>0</v>
      </c>
      <c r="N29" s="399">
        <v>0</v>
      </c>
      <c r="P29" s="83" t="s">
        <v>210</v>
      </c>
      <c r="Q29" s="397">
        <f t="shared" si="1"/>
        <v>898</v>
      </c>
      <c r="R29" s="398">
        <v>701</v>
      </c>
      <c r="S29" s="399">
        <v>5</v>
      </c>
      <c r="T29" s="399">
        <v>149</v>
      </c>
      <c r="U29" s="399">
        <v>14</v>
      </c>
      <c r="V29" s="399">
        <v>1</v>
      </c>
      <c r="W29" s="399">
        <v>0</v>
      </c>
      <c r="X29" s="399">
        <v>28</v>
      </c>
      <c r="Y29" s="399">
        <v>0</v>
      </c>
      <c r="Z29" s="400">
        <v>0</v>
      </c>
    </row>
    <row r="30" spans="1:26" ht="20.25" customHeight="1">
      <c r="A30" s="155" t="s">
        <v>211</v>
      </c>
      <c r="B30" s="390">
        <f t="shared" si="0"/>
        <v>1624</v>
      </c>
      <c r="C30" s="388">
        <v>1050</v>
      </c>
      <c r="D30" s="376">
        <v>6</v>
      </c>
      <c r="E30" s="376">
        <v>0</v>
      </c>
      <c r="F30" s="376">
        <v>107</v>
      </c>
      <c r="G30" s="376">
        <v>393</v>
      </c>
      <c r="H30" s="376">
        <v>0</v>
      </c>
      <c r="I30" s="376">
        <v>0</v>
      </c>
      <c r="J30" s="376">
        <v>0</v>
      </c>
      <c r="K30" s="376">
        <v>0</v>
      </c>
      <c r="L30" s="376">
        <v>27</v>
      </c>
      <c r="M30" s="376">
        <v>0</v>
      </c>
      <c r="N30" s="376">
        <v>41</v>
      </c>
      <c r="P30" s="155" t="s">
        <v>211</v>
      </c>
      <c r="Q30" s="390">
        <f t="shared" si="1"/>
        <v>428</v>
      </c>
      <c r="R30" s="388">
        <v>414</v>
      </c>
      <c r="S30" s="376">
        <v>6</v>
      </c>
      <c r="T30" s="376">
        <v>0</v>
      </c>
      <c r="U30" s="376">
        <v>5</v>
      </c>
      <c r="V30" s="376">
        <v>0</v>
      </c>
      <c r="W30" s="376">
        <v>0</v>
      </c>
      <c r="X30" s="376">
        <v>3</v>
      </c>
      <c r="Y30" s="376">
        <v>0</v>
      </c>
      <c r="Z30" s="389">
        <v>0</v>
      </c>
    </row>
    <row r="31" spans="1:26" ht="20.25" customHeight="1">
      <c r="A31" s="382" t="s">
        <v>212</v>
      </c>
      <c r="B31" s="394">
        <f t="shared" si="0"/>
        <v>3353</v>
      </c>
      <c r="C31" s="395">
        <v>1901</v>
      </c>
      <c r="D31" s="396">
        <v>4</v>
      </c>
      <c r="E31" s="396">
        <v>0</v>
      </c>
      <c r="F31" s="396">
        <v>113</v>
      </c>
      <c r="G31" s="396">
        <v>536</v>
      </c>
      <c r="H31" s="396">
        <v>176</v>
      </c>
      <c r="I31" s="396">
        <v>0</v>
      </c>
      <c r="J31" s="396">
        <v>529</v>
      </c>
      <c r="K31" s="396"/>
      <c r="L31" s="396">
        <v>73</v>
      </c>
      <c r="M31" s="396">
        <v>1</v>
      </c>
      <c r="N31" s="396">
        <v>20</v>
      </c>
      <c r="P31" s="382" t="s">
        <v>212</v>
      </c>
      <c r="Q31" s="394">
        <f t="shared" si="1"/>
        <v>3077</v>
      </c>
      <c r="R31" s="395">
        <v>2922</v>
      </c>
      <c r="S31" s="396">
        <v>17</v>
      </c>
      <c r="T31" s="396">
        <v>0</v>
      </c>
      <c r="U31" s="396">
        <v>25</v>
      </c>
      <c r="V31" s="396">
        <v>5</v>
      </c>
      <c r="W31" s="396">
        <v>0</v>
      </c>
      <c r="X31" s="396">
        <v>108</v>
      </c>
      <c r="Y31" s="396">
        <v>0</v>
      </c>
      <c r="Z31" s="401">
        <v>0</v>
      </c>
    </row>
    <row r="32" spans="1:26" ht="20.25" customHeight="1">
      <c r="A32" s="83" t="s">
        <v>213</v>
      </c>
      <c r="B32" s="397">
        <f t="shared" si="0"/>
        <v>1873</v>
      </c>
      <c r="C32" s="398">
        <v>1101</v>
      </c>
      <c r="D32" s="399">
        <v>12</v>
      </c>
      <c r="E32" s="399">
        <v>0</v>
      </c>
      <c r="F32" s="399">
        <v>95</v>
      </c>
      <c r="G32" s="399">
        <v>285</v>
      </c>
      <c r="H32" s="399">
        <v>114</v>
      </c>
      <c r="I32" s="399">
        <v>11</v>
      </c>
      <c r="J32" s="399">
        <v>158</v>
      </c>
      <c r="K32" s="399">
        <v>0</v>
      </c>
      <c r="L32" s="399">
        <v>78</v>
      </c>
      <c r="M32" s="399">
        <v>0</v>
      </c>
      <c r="N32" s="399">
        <v>19</v>
      </c>
      <c r="P32" s="83" t="s">
        <v>213</v>
      </c>
      <c r="Q32" s="397">
        <f t="shared" si="1"/>
        <v>263</v>
      </c>
      <c r="R32" s="398">
        <v>240</v>
      </c>
      <c r="S32" s="399">
        <v>4</v>
      </c>
      <c r="T32" s="399">
        <v>0</v>
      </c>
      <c r="U32" s="399">
        <v>6</v>
      </c>
      <c r="V32" s="399">
        <v>1</v>
      </c>
      <c r="W32" s="399">
        <v>0</v>
      </c>
      <c r="X32" s="399">
        <v>12</v>
      </c>
      <c r="Y32" s="399">
        <v>0</v>
      </c>
      <c r="Z32" s="400">
        <v>0</v>
      </c>
    </row>
    <row r="33" spans="1:26" ht="20.25" customHeight="1">
      <c r="A33" s="83" t="s">
        <v>214</v>
      </c>
      <c r="B33" s="397">
        <f t="shared" si="0"/>
        <v>1235</v>
      </c>
      <c r="C33" s="398">
        <v>749</v>
      </c>
      <c r="D33" s="399">
        <v>12</v>
      </c>
      <c r="E33" s="399">
        <v>0</v>
      </c>
      <c r="F33" s="399">
        <v>136</v>
      </c>
      <c r="G33" s="399">
        <v>252</v>
      </c>
      <c r="H33" s="399">
        <v>0</v>
      </c>
      <c r="I33" s="399">
        <v>0</v>
      </c>
      <c r="J33" s="399">
        <v>0</v>
      </c>
      <c r="K33" s="399">
        <v>0</v>
      </c>
      <c r="L33" s="399">
        <v>86</v>
      </c>
      <c r="M33" s="399">
        <v>0</v>
      </c>
      <c r="N33" s="399"/>
      <c r="P33" s="83" t="s">
        <v>214</v>
      </c>
      <c r="Q33" s="397">
        <f t="shared" si="1"/>
        <v>1475</v>
      </c>
      <c r="R33" s="398">
        <v>1379</v>
      </c>
      <c r="S33" s="399">
        <v>5</v>
      </c>
      <c r="T33" s="399">
        <v>0</v>
      </c>
      <c r="U33" s="399">
        <v>7</v>
      </c>
      <c r="V33" s="399">
        <v>0</v>
      </c>
      <c r="W33" s="399">
        <v>0</v>
      </c>
      <c r="X33" s="399">
        <v>84</v>
      </c>
      <c r="Y33" s="399">
        <v>0</v>
      </c>
      <c r="Z33" s="400">
        <v>0</v>
      </c>
    </row>
    <row r="34" spans="1:26" ht="20.25" customHeight="1">
      <c r="A34" s="83" t="s">
        <v>215</v>
      </c>
      <c r="B34" s="397">
        <f t="shared" si="0"/>
        <v>2740</v>
      </c>
      <c r="C34" s="398">
        <v>2715</v>
      </c>
      <c r="D34" s="399">
        <v>0</v>
      </c>
      <c r="E34" s="399">
        <v>0</v>
      </c>
      <c r="F34" s="399">
        <v>0</v>
      </c>
      <c r="G34" s="399">
        <v>0</v>
      </c>
      <c r="H34" s="399">
        <v>0</v>
      </c>
      <c r="I34" s="399">
        <v>0</v>
      </c>
      <c r="J34" s="399">
        <v>0</v>
      </c>
      <c r="K34" s="399">
        <v>0</v>
      </c>
      <c r="L34" s="399">
        <v>0</v>
      </c>
      <c r="M34" s="399"/>
      <c r="N34" s="399">
        <v>25</v>
      </c>
      <c r="P34" s="83" t="s">
        <v>215</v>
      </c>
      <c r="Q34" s="397">
        <f t="shared" si="1"/>
        <v>710</v>
      </c>
      <c r="R34" s="398">
        <v>657</v>
      </c>
      <c r="S34" s="399">
        <v>5</v>
      </c>
      <c r="T34" s="399">
        <v>17</v>
      </c>
      <c r="U34" s="399">
        <v>0</v>
      </c>
      <c r="V34" s="399">
        <v>0</v>
      </c>
      <c r="W34" s="399">
        <v>0</v>
      </c>
      <c r="X34" s="399">
        <v>31</v>
      </c>
      <c r="Y34" s="399">
        <v>0</v>
      </c>
      <c r="Z34" s="400">
        <v>0</v>
      </c>
    </row>
    <row r="35" spans="1:26" ht="20.25" customHeight="1">
      <c r="A35" s="155" t="s">
        <v>216</v>
      </c>
      <c r="B35" s="410">
        <f t="shared" si="0"/>
        <v>1074</v>
      </c>
      <c r="C35" s="411">
        <v>0</v>
      </c>
      <c r="D35" s="412">
        <v>0</v>
      </c>
      <c r="E35" s="412">
        <v>0</v>
      </c>
      <c r="F35" s="412">
        <v>0</v>
      </c>
      <c r="G35" s="412">
        <v>0</v>
      </c>
      <c r="H35" s="412">
        <v>154</v>
      </c>
      <c r="I35" s="412">
        <v>0</v>
      </c>
      <c r="J35" s="412">
        <v>920</v>
      </c>
      <c r="K35" s="412">
        <v>0</v>
      </c>
      <c r="L35" s="412">
        <v>0</v>
      </c>
      <c r="M35" s="412">
        <v>0</v>
      </c>
      <c r="N35" s="412">
        <v>0</v>
      </c>
      <c r="P35" s="155" t="s">
        <v>216</v>
      </c>
      <c r="Q35" s="410">
        <f t="shared" si="1"/>
        <v>1839</v>
      </c>
      <c r="R35" s="411">
        <v>1751</v>
      </c>
      <c r="S35" s="412">
        <v>23</v>
      </c>
      <c r="T35" s="412">
        <v>0</v>
      </c>
      <c r="U35" s="412">
        <v>0</v>
      </c>
      <c r="V35" s="412">
        <v>0</v>
      </c>
      <c r="W35" s="412">
        <v>0</v>
      </c>
      <c r="X35" s="412">
        <v>65</v>
      </c>
      <c r="Y35" s="412">
        <v>0</v>
      </c>
      <c r="Z35" s="414">
        <v>0</v>
      </c>
    </row>
    <row r="36" spans="1:26" ht="20.25" customHeight="1">
      <c r="A36" s="83" t="s">
        <v>217</v>
      </c>
      <c r="B36" s="397">
        <f t="shared" si="0"/>
        <v>7891</v>
      </c>
      <c r="C36" s="398">
        <v>2022</v>
      </c>
      <c r="D36" s="399">
        <v>13</v>
      </c>
      <c r="E36" s="399">
        <v>0</v>
      </c>
      <c r="F36" s="399">
        <v>842</v>
      </c>
      <c r="G36" s="399">
        <v>568</v>
      </c>
      <c r="H36" s="399">
        <v>209</v>
      </c>
      <c r="I36" s="399">
        <v>6</v>
      </c>
      <c r="J36" s="399">
        <v>172</v>
      </c>
      <c r="K36" s="399">
        <v>0</v>
      </c>
      <c r="L36" s="399">
        <v>436</v>
      </c>
      <c r="M36" s="399">
        <v>0</v>
      </c>
      <c r="N36" s="400">
        <v>3623</v>
      </c>
      <c r="P36" s="83" t="s">
        <v>217</v>
      </c>
      <c r="Q36" s="397">
        <f t="shared" si="1"/>
        <v>0</v>
      </c>
      <c r="R36" s="398">
        <v>0</v>
      </c>
      <c r="S36" s="399">
        <v>0</v>
      </c>
      <c r="T36" s="399">
        <v>0</v>
      </c>
      <c r="U36" s="399">
        <v>0</v>
      </c>
      <c r="V36" s="399">
        <v>0</v>
      </c>
      <c r="W36" s="399">
        <v>0</v>
      </c>
      <c r="X36" s="399">
        <v>0</v>
      </c>
      <c r="Y36" s="399">
        <v>0</v>
      </c>
      <c r="Z36" s="400">
        <v>0</v>
      </c>
    </row>
    <row r="37" spans="1:26" ht="20.25" customHeight="1">
      <c r="A37" s="83" t="s">
        <v>218</v>
      </c>
      <c r="B37" s="397">
        <f t="shared" si="0"/>
        <v>2465</v>
      </c>
      <c r="C37" s="398">
        <v>1734</v>
      </c>
      <c r="D37" s="399">
        <v>1</v>
      </c>
      <c r="E37" s="399">
        <v>0</v>
      </c>
      <c r="F37" s="399">
        <v>139</v>
      </c>
      <c r="G37" s="399">
        <v>405</v>
      </c>
      <c r="H37" s="399">
        <v>48</v>
      </c>
      <c r="I37" s="399">
        <v>3</v>
      </c>
      <c r="J37" s="399">
        <v>0</v>
      </c>
      <c r="K37" s="399">
        <v>0</v>
      </c>
      <c r="L37" s="399">
        <v>135</v>
      </c>
      <c r="M37" s="399">
        <v>0</v>
      </c>
      <c r="N37" s="400">
        <v>0</v>
      </c>
      <c r="P37" s="83" t="s">
        <v>218</v>
      </c>
      <c r="Q37" s="397">
        <f t="shared" si="1"/>
        <v>1245</v>
      </c>
      <c r="R37" s="398">
        <v>1155</v>
      </c>
      <c r="S37" s="399">
        <v>9</v>
      </c>
      <c r="T37" s="399">
        <v>0</v>
      </c>
      <c r="U37" s="399">
        <v>15</v>
      </c>
      <c r="V37" s="399">
        <v>1</v>
      </c>
      <c r="W37" s="399">
        <v>0</v>
      </c>
      <c r="X37" s="399">
        <v>65</v>
      </c>
      <c r="Y37" s="399">
        <v>0</v>
      </c>
      <c r="Z37" s="400">
        <v>0</v>
      </c>
    </row>
    <row r="38" spans="1:26" ht="20.25" customHeight="1">
      <c r="A38" s="83" t="s">
        <v>219</v>
      </c>
      <c r="B38" s="397">
        <f t="shared" si="0"/>
        <v>1969</v>
      </c>
      <c r="C38" s="398">
        <v>1213</v>
      </c>
      <c r="D38" s="399">
        <v>10</v>
      </c>
      <c r="E38" s="399">
        <v>0</v>
      </c>
      <c r="F38" s="399">
        <v>140</v>
      </c>
      <c r="G38" s="399">
        <v>367</v>
      </c>
      <c r="H38" s="399">
        <v>106</v>
      </c>
      <c r="I38" s="399">
        <v>0</v>
      </c>
      <c r="J38" s="399">
        <v>0</v>
      </c>
      <c r="K38" s="399">
        <v>0</v>
      </c>
      <c r="L38" s="399">
        <v>131</v>
      </c>
      <c r="M38" s="399">
        <v>0</v>
      </c>
      <c r="N38" s="400">
        <v>2</v>
      </c>
      <c r="P38" s="83" t="s">
        <v>219</v>
      </c>
      <c r="Q38" s="397">
        <f t="shared" si="1"/>
        <v>1332</v>
      </c>
      <c r="R38" s="398">
        <v>1224</v>
      </c>
      <c r="S38" s="399">
        <v>0</v>
      </c>
      <c r="T38" s="399">
        <v>0</v>
      </c>
      <c r="U38" s="399">
        <v>27</v>
      </c>
      <c r="V38" s="399">
        <v>0</v>
      </c>
      <c r="W38" s="399">
        <v>0</v>
      </c>
      <c r="X38" s="399">
        <v>81</v>
      </c>
      <c r="Y38" s="399">
        <v>0</v>
      </c>
      <c r="Z38" s="400">
        <v>0</v>
      </c>
    </row>
    <row r="39" spans="1:26" ht="20.25" customHeight="1">
      <c r="A39" s="83" t="s">
        <v>220</v>
      </c>
      <c r="B39" s="397">
        <f t="shared" si="0"/>
        <v>803</v>
      </c>
      <c r="C39" s="398">
        <v>0</v>
      </c>
      <c r="D39" s="399">
        <v>0</v>
      </c>
      <c r="E39" s="399">
        <v>0</v>
      </c>
      <c r="F39" s="399">
        <v>274</v>
      </c>
      <c r="G39" s="399">
        <v>529</v>
      </c>
      <c r="H39" s="399">
        <v>0</v>
      </c>
      <c r="I39" s="399">
        <v>0</v>
      </c>
      <c r="J39" s="399">
        <v>0</v>
      </c>
      <c r="K39" s="399">
        <v>0</v>
      </c>
      <c r="L39" s="399">
        <v>0</v>
      </c>
      <c r="M39" s="399">
        <v>0</v>
      </c>
      <c r="N39" s="400">
        <v>0</v>
      </c>
      <c r="P39" s="83" t="s">
        <v>220</v>
      </c>
      <c r="Q39" s="397">
        <f t="shared" si="1"/>
        <v>1644</v>
      </c>
      <c r="R39" s="398">
        <v>1296</v>
      </c>
      <c r="S39" s="399">
        <v>9</v>
      </c>
      <c r="T39" s="399">
        <v>263</v>
      </c>
      <c r="U39" s="399">
        <v>1</v>
      </c>
      <c r="V39" s="399">
        <v>0</v>
      </c>
      <c r="W39" s="399">
        <v>0</v>
      </c>
      <c r="X39" s="399">
        <v>75</v>
      </c>
      <c r="Y39" s="399">
        <v>0</v>
      </c>
      <c r="Z39" s="400">
        <v>0</v>
      </c>
    </row>
    <row r="40" spans="1:26" ht="20.25" customHeight="1">
      <c r="A40" s="155" t="s">
        <v>171</v>
      </c>
      <c r="B40" s="390">
        <f t="shared" si="0"/>
        <v>974</v>
      </c>
      <c r="C40" s="388">
        <v>691</v>
      </c>
      <c r="D40" s="376">
        <v>1</v>
      </c>
      <c r="E40" s="376">
        <v>0</v>
      </c>
      <c r="F40" s="376">
        <v>57</v>
      </c>
      <c r="G40" s="376">
        <v>194</v>
      </c>
      <c r="H40" s="376">
        <v>0</v>
      </c>
      <c r="I40" s="376">
        <v>0</v>
      </c>
      <c r="J40" s="376">
        <v>0</v>
      </c>
      <c r="K40" s="376">
        <v>0</v>
      </c>
      <c r="L40" s="376">
        <v>31</v>
      </c>
      <c r="M40" s="376">
        <v>0</v>
      </c>
      <c r="N40" s="389">
        <v>0</v>
      </c>
      <c r="P40" s="155" t="s">
        <v>171</v>
      </c>
      <c r="Q40" s="390">
        <f t="shared" si="1"/>
        <v>262</v>
      </c>
      <c r="R40" s="388">
        <v>172</v>
      </c>
      <c r="S40" s="376">
        <v>4</v>
      </c>
      <c r="T40" s="376">
        <v>0</v>
      </c>
      <c r="U40" s="376">
        <v>29</v>
      </c>
      <c r="V40" s="376">
        <v>0</v>
      </c>
      <c r="W40" s="376">
        <v>0</v>
      </c>
      <c r="X40" s="376">
        <v>57</v>
      </c>
      <c r="Y40" s="376">
        <v>0</v>
      </c>
      <c r="Z40" s="389">
        <v>0</v>
      </c>
    </row>
    <row r="41" spans="1:26" ht="20.25" customHeight="1">
      <c r="A41" s="83" t="s">
        <v>275</v>
      </c>
      <c r="B41" s="394">
        <f t="shared" si="0"/>
        <v>0</v>
      </c>
      <c r="C41" s="395">
        <v>0</v>
      </c>
      <c r="D41" s="396">
        <v>0</v>
      </c>
      <c r="E41" s="396">
        <v>0</v>
      </c>
      <c r="F41" s="396">
        <v>0</v>
      </c>
      <c r="G41" s="396">
        <v>0</v>
      </c>
      <c r="H41" s="396">
        <v>0</v>
      </c>
      <c r="I41" s="396">
        <v>0</v>
      </c>
      <c r="J41" s="396">
        <v>0</v>
      </c>
      <c r="K41" s="396">
        <v>0</v>
      </c>
      <c r="L41" s="396">
        <v>0</v>
      </c>
      <c r="M41" s="396">
        <v>0</v>
      </c>
      <c r="N41" s="401">
        <v>0</v>
      </c>
      <c r="P41" s="83" t="s">
        <v>275</v>
      </c>
      <c r="Q41" s="394">
        <f t="shared" si="1"/>
        <v>484</v>
      </c>
      <c r="R41" s="395">
        <v>467</v>
      </c>
      <c r="S41" s="396">
        <v>5</v>
      </c>
      <c r="T41" s="396">
        <v>0</v>
      </c>
      <c r="U41" s="396">
        <v>0</v>
      </c>
      <c r="V41" s="396">
        <v>0</v>
      </c>
      <c r="W41" s="396">
        <v>0</v>
      </c>
      <c r="X41" s="396">
        <v>12</v>
      </c>
      <c r="Y41" s="396">
        <v>0</v>
      </c>
      <c r="Z41" s="401">
        <v>0</v>
      </c>
    </row>
    <row r="42" spans="1:26" ht="20.25" customHeight="1">
      <c r="A42" s="83" t="s">
        <v>276</v>
      </c>
      <c r="B42" s="397">
        <f t="shared" si="0"/>
        <v>1838</v>
      </c>
      <c r="C42" s="398">
        <v>1157</v>
      </c>
      <c r="D42" s="399">
        <v>3</v>
      </c>
      <c r="E42" s="399">
        <v>19</v>
      </c>
      <c r="F42" s="399">
        <v>120</v>
      </c>
      <c r="G42" s="399">
        <v>385</v>
      </c>
      <c r="H42" s="399">
        <v>93</v>
      </c>
      <c r="I42" s="399">
        <v>0</v>
      </c>
      <c r="J42" s="399">
        <v>0</v>
      </c>
      <c r="K42" s="399">
        <v>0</v>
      </c>
      <c r="L42" s="399">
        <v>55</v>
      </c>
      <c r="M42" s="399">
        <v>0</v>
      </c>
      <c r="N42" s="400">
        <v>6</v>
      </c>
      <c r="P42" s="83" t="s">
        <v>276</v>
      </c>
      <c r="Q42" s="397">
        <f t="shared" si="1"/>
        <v>334</v>
      </c>
      <c r="R42" s="398">
        <v>312</v>
      </c>
      <c r="S42" s="399">
        <v>0</v>
      </c>
      <c r="T42" s="399">
        <v>0</v>
      </c>
      <c r="U42" s="399">
        <v>0</v>
      </c>
      <c r="V42" s="399">
        <v>0</v>
      </c>
      <c r="W42" s="399">
        <v>0</v>
      </c>
      <c r="X42" s="399">
        <v>22</v>
      </c>
      <c r="Y42" s="399">
        <v>0</v>
      </c>
      <c r="Z42" s="400">
        <v>0</v>
      </c>
    </row>
    <row r="43" spans="1:26" ht="20.25" customHeight="1">
      <c r="A43" s="83" t="s">
        <v>221</v>
      </c>
      <c r="B43" s="397">
        <f t="shared" si="0"/>
        <v>0</v>
      </c>
      <c r="C43" s="398">
        <v>0</v>
      </c>
      <c r="D43" s="399">
        <v>0</v>
      </c>
      <c r="E43" s="399">
        <v>0</v>
      </c>
      <c r="F43" s="399">
        <v>0</v>
      </c>
      <c r="G43" s="399">
        <v>0</v>
      </c>
      <c r="H43" s="399">
        <v>0</v>
      </c>
      <c r="I43" s="399">
        <v>0</v>
      </c>
      <c r="J43" s="399">
        <v>0</v>
      </c>
      <c r="K43" s="399">
        <v>0</v>
      </c>
      <c r="L43" s="399">
        <v>0</v>
      </c>
      <c r="M43" s="399">
        <v>0</v>
      </c>
      <c r="N43" s="400">
        <v>0</v>
      </c>
      <c r="P43" s="83" t="s">
        <v>221</v>
      </c>
      <c r="Q43" s="397">
        <f t="shared" si="1"/>
        <v>1170</v>
      </c>
      <c r="R43" s="398">
        <v>1107</v>
      </c>
      <c r="S43" s="399">
        <v>11</v>
      </c>
      <c r="T43" s="399">
        <v>0</v>
      </c>
      <c r="U43" s="399">
        <v>12</v>
      </c>
      <c r="V43" s="399">
        <v>0</v>
      </c>
      <c r="W43" s="399">
        <v>0</v>
      </c>
      <c r="X43" s="399">
        <v>40</v>
      </c>
      <c r="Y43" s="399">
        <v>0</v>
      </c>
      <c r="Z43" s="400">
        <v>0</v>
      </c>
    </row>
    <row r="44" spans="1:26" ht="20.25" customHeight="1">
      <c r="A44" s="83" t="s">
        <v>222</v>
      </c>
      <c r="B44" s="397">
        <f t="shared" si="0"/>
        <v>2591</v>
      </c>
      <c r="C44" s="398">
        <v>1603</v>
      </c>
      <c r="D44" s="399">
        <v>31</v>
      </c>
      <c r="E44" s="399">
        <v>0</v>
      </c>
      <c r="F44" s="399">
        <v>107</v>
      </c>
      <c r="G44" s="399">
        <v>335</v>
      </c>
      <c r="H44" s="399">
        <v>118</v>
      </c>
      <c r="I44" s="399">
        <v>0</v>
      </c>
      <c r="J44" s="399">
        <v>311</v>
      </c>
      <c r="K44" s="399">
        <v>0</v>
      </c>
      <c r="L44" s="399">
        <v>86</v>
      </c>
      <c r="M44" s="399">
        <v>0</v>
      </c>
      <c r="N44" s="400">
        <v>0</v>
      </c>
      <c r="P44" s="83" t="s">
        <v>222</v>
      </c>
      <c r="Q44" s="397">
        <f t="shared" si="1"/>
        <v>640</v>
      </c>
      <c r="R44" s="398">
        <v>614</v>
      </c>
      <c r="S44" s="399">
        <v>0</v>
      </c>
      <c r="T44" s="399">
        <v>0</v>
      </c>
      <c r="U44" s="399">
        <v>7</v>
      </c>
      <c r="V44" s="399">
        <v>0</v>
      </c>
      <c r="W44" s="399">
        <v>0</v>
      </c>
      <c r="X44" s="399">
        <v>19</v>
      </c>
      <c r="Y44" s="399">
        <v>0</v>
      </c>
      <c r="Z44" s="400">
        <v>0</v>
      </c>
    </row>
    <row r="45" spans="1:26" ht="20.25" customHeight="1">
      <c r="A45" s="155" t="s">
        <v>223</v>
      </c>
      <c r="B45" s="390">
        <f t="shared" si="0"/>
        <v>456</v>
      </c>
      <c r="C45" s="388">
        <v>253</v>
      </c>
      <c r="D45" s="376">
        <v>7</v>
      </c>
      <c r="E45" s="376">
        <v>0</v>
      </c>
      <c r="F45" s="376">
        <v>38</v>
      </c>
      <c r="G45" s="376">
        <v>78</v>
      </c>
      <c r="H45" s="376">
        <v>31</v>
      </c>
      <c r="I45" s="376">
        <v>3</v>
      </c>
      <c r="J45" s="376">
        <v>39</v>
      </c>
      <c r="K45" s="376">
        <v>0</v>
      </c>
      <c r="L45" s="376">
        <v>7</v>
      </c>
      <c r="M45" s="376">
        <v>0</v>
      </c>
      <c r="N45" s="389">
        <v>0</v>
      </c>
      <c r="P45" s="155" t="s">
        <v>223</v>
      </c>
      <c r="Q45" s="390">
        <f t="shared" si="1"/>
        <v>126</v>
      </c>
      <c r="R45" s="388">
        <v>123</v>
      </c>
      <c r="S45" s="376">
        <v>0</v>
      </c>
      <c r="T45" s="376">
        <v>0</v>
      </c>
      <c r="U45" s="376">
        <v>0</v>
      </c>
      <c r="V45" s="376">
        <v>0</v>
      </c>
      <c r="W45" s="376">
        <v>0</v>
      </c>
      <c r="X45" s="376">
        <v>3</v>
      </c>
      <c r="Y45" s="376">
        <v>0</v>
      </c>
      <c r="Z45" s="389">
        <v>0</v>
      </c>
    </row>
    <row r="46" spans="1:26" ht="20.25" customHeight="1">
      <c r="A46" s="83" t="s">
        <v>224</v>
      </c>
      <c r="B46" s="394">
        <f t="shared" si="0"/>
        <v>0</v>
      </c>
      <c r="C46" s="395">
        <v>0</v>
      </c>
      <c r="D46" s="396">
        <v>0</v>
      </c>
      <c r="E46" s="396">
        <v>0</v>
      </c>
      <c r="F46" s="396">
        <v>0</v>
      </c>
      <c r="G46" s="396">
        <v>0</v>
      </c>
      <c r="H46" s="396">
        <v>0</v>
      </c>
      <c r="I46" s="396">
        <v>0</v>
      </c>
      <c r="J46" s="396">
        <v>0</v>
      </c>
      <c r="K46" s="396">
        <v>0</v>
      </c>
      <c r="L46" s="396">
        <v>0</v>
      </c>
      <c r="M46" s="396">
        <v>0</v>
      </c>
      <c r="N46" s="401">
        <v>0</v>
      </c>
      <c r="P46" s="83" t="s">
        <v>224</v>
      </c>
      <c r="Q46" s="394">
        <f t="shared" si="1"/>
        <v>1084</v>
      </c>
      <c r="R46" s="395">
        <v>950</v>
      </c>
      <c r="S46" s="396">
        <v>1</v>
      </c>
      <c r="T46" s="396">
        <v>125</v>
      </c>
      <c r="U46" s="396">
        <v>0</v>
      </c>
      <c r="V46" s="396">
        <v>0</v>
      </c>
      <c r="W46" s="396">
        <v>0</v>
      </c>
      <c r="X46" s="396">
        <v>8</v>
      </c>
      <c r="Y46" s="396">
        <v>0</v>
      </c>
      <c r="Z46" s="401">
        <v>0</v>
      </c>
    </row>
    <row r="47" spans="1:26" ht="20.25" customHeight="1">
      <c r="A47" s="83" t="s">
        <v>225</v>
      </c>
      <c r="B47" s="397">
        <f t="shared" si="0"/>
        <v>7</v>
      </c>
      <c r="C47" s="398">
        <v>2</v>
      </c>
      <c r="D47" s="399">
        <v>0</v>
      </c>
      <c r="E47" s="399">
        <v>0</v>
      </c>
      <c r="F47" s="399">
        <v>0</v>
      </c>
      <c r="G47" s="399">
        <v>0</v>
      </c>
      <c r="H47" s="399">
        <v>0</v>
      </c>
      <c r="I47" s="399">
        <v>0</v>
      </c>
      <c r="J47" s="399">
        <v>0</v>
      </c>
      <c r="K47" s="399">
        <v>0</v>
      </c>
      <c r="L47" s="399">
        <v>0</v>
      </c>
      <c r="M47" s="399">
        <v>5</v>
      </c>
      <c r="N47" s="400">
        <v>0</v>
      </c>
      <c r="P47" s="83" t="s">
        <v>225</v>
      </c>
      <c r="Q47" s="397">
        <f t="shared" si="1"/>
        <v>980</v>
      </c>
      <c r="R47" s="398">
        <v>889</v>
      </c>
      <c r="S47" s="399">
        <v>0</v>
      </c>
      <c r="T47" s="399">
        <v>0</v>
      </c>
      <c r="U47" s="399">
        <v>3</v>
      </c>
      <c r="V47" s="399">
        <v>0</v>
      </c>
      <c r="W47" s="399">
        <v>0</v>
      </c>
      <c r="X47" s="399">
        <v>88</v>
      </c>
      <c r="Y47" s="399">
        <v>0</v>
      </c>
      <c r="Z47" s="400">
        <v>0</v>
      </c>
    </row>
    <row r="48" spans="1:26" ht="20.25" customHeight="1">
      <c r="A48" s="83" t="s">
        <v>226</v>
      </c>
      <c r="B48" s="397">
        <f t="shared" si="0"/>
        <v>158</v>
      </c>
      <c r="C48" s="398">
        <v>0</v>
      </c>
      <c r="D48" s="399">
        <v>0</v>
      </c>
      <c r="E48" s="399">
        <v>0</v>
      </c>
      <c r="F48" s="399">
        <v>0</v>
      </c>
      <c r="G48" s="399">
        <v>158</v>
      </c>
      <c r="H48" s="399">
        <v>0</v>
      </c>
      <c r="I48" s="399">
        <v>0</v>
      </c>
      <c r="J48" s="399">
        <v>0</v>
      </c>
      <c r="K48" s="399">
        <v>0</v>
      </c>
      <c r="L48" s="399">
        <v>0</v>
      </c>
      <c r="M48" s="399">
        <v>0</v>
      </c>
      <c r="N48" s="400">
        <v>0</v>
      </c>
      <c r="P48" s="83" t="s">
        <v>226</v>
      </c>
      <c r="Q48" s="397">
        <f t="shared" si="1"/>
        <v>561</v>
      </c>
      <c r="R48" s="398">
        <v>468</v>
      </c>
      <c r="S48" s="399">
        <v>4</v>
      </c>
      <c r="T48" s="399">
        <v>30</v>
      </c>
      <c r="U48" s="399">
        <v>21</v>
      </c>
      <c r="V48" s="399">
        <v>0</v>
      </c>
      <c r="W48" s="399">
        <v>0</v>
      </c>
      <c r="X48" s="399">
        <v>38</v>
      </c>
      <c r="Y48" s="399">
        <v>0</v>
      </c>
      <c r="Z48" s="400">
        <v>0</v>
      </c>
    </row>
    <row r="49" spans="1:26" ht="20.25" customHeight="1">
      <c r="A49" s="83" t="s">
        <v>227</v>
      </c>
      <c r="B49" s="397">
        <f t="shared" si="0"/>
        <v>1534</v>
      </c>
      <c r="C49" s="398">
        <v>891</v>
      </c>
      <c r="D49" s="399">
        <v>10</v>
      </c>
      <c r="E49" s="399">
        <v>0</v>
      </c>
      <c r="F49" s="399">
        <v>344</v>
      </c>
      <c r="G49" s="399">
        <v>196</v>
      </c>
      <c r="H49" s="399">
        <v>64</v>
      </c>
      <c r="I49" s="399">
        <v>3</v>
      </c>
      <c r="J49" s="399">
        <v>0</v>
      </c>
      <c r="K49" s="399">
        <v>0</v>
      </c>
      <c r="L49" s="399">
        <v>19</v>
      </c>
      <c r="M49" s="399">
        <v>0</v>
      </c>
      <c r="N49" s="400">
        <v>7</v>
      </c>
      <c r="P49" s="83" t="s">
        <v>227</v>
      </c>
      <c r="Q49" s="397">
        <f t="shared" si="1"/>
        <v>343</v>
      </c>
      <c r="R49" s="398">
        <v>323</v>
      </c>
      <c r="S49" s="399">
        <v>2</v>
      </c>
      <c r="T49" s="399">
        <v>0</v>
      </c>
      <c r="U49" s="399">
        <v>5</v>
      </c>
      <c r="V49" s="399">
        <v>0</v>
      </c>
      <c r="W49" s="399">
        <v>0</v>
      </c>
      <c r="X49" s="399">
        <v>13</v>
      </c>
      <c r="Y49" s="399">
        <v>0</v>
      </c>
      <c r="Z49" s="400">
        <v>0</v>
      </c>
    </row>
    <row r="50" spans="1:26" ht="20.25" customHeight="1">
      <c r="A50" s="155" t="s">
        <v>228</v>
      </c>
      <c r="B50" s="390">
        <f t="shared" si="0"/>
        <v>781</v>
      </c>
      <c r="C50" s="388">
        <v>200</v>
      </c>
      <c r="D50" s="376">
        <v>0</v>
      </c>
      <c r="E50" s="376">
        <v>0</v>
      </c>
      <c r="F50" s="376">
        <v>10</v>
      </c>
      <c r="G50" s="376">
        <v>18</v>
      </c>
      <c r="H50" s="376">
        <v>5</v>
      </c>
      <c r="I50" s="376">
        <v>1</v>
      </c>
      <c r="J50" s="376">
        <v>0</v>
      </c>
      <c r="K50" s="376">
        <v>0</v>
      </c>
      <c r="L50" s="376">
        <v>6</v>
      </c>
      <c r="M50" s="376">
        <v>0</v>
      </c>
      <c r="N50" s="389">
        <v>541</v>
      </c>
      <c r="P50" s="155" t="s">
        <v>228</v>
      </c>
      <c r="Q50" s="390">
        <f t="shared" si="1"/>
        <v>0</v>
      </c>
      <c r="R50" s="388">
        <v>0</v>
      </c>
      <c r="S50" s="376">
        <v>0</v>
      </c>
      <c r="T50" s="376">
        <v>0</v>
      </c>
      <c r="U50" s="376">
        <v>0</v>
      </c>
      <c r="V50" s="376">
        <v>0</v>
      </c>
      <c r="W50" s="376">
        <v>0</v>
      </c>
      <c r="X50" s="376">
        <v>0</v>
      </c>
      <c r="Y50" s="376">
        <v>0</v>
      </c>
      <c r="Z50" s="389">
        <v>0</v>
      </c>
    </row>
    <row r="51" spans="1:26" ht="20.25" customHeight="1">
      <c r="A51" s="83" t="s">
        <v>229</v>
      </c>
      <c r="B51" s="394">
        <f t="shared" si="0"/>
        <v>1690</v>
      </c>
      <c r="C51" s="395">
        <v>1235</v>
      </c>
      <c r="D51" s="396">
        <v>0</v>
      </c>
      <c r="E51" s="396">
        <v>0</v>
      </c>
      <c r="F51" s="396">
        <v>108</v>
      </c>
      <c r="G51" s="396">
        <v>246</v>
      </c>
      <c r="H51" s="396">
        <v>74</v>
      </c>
      <c r="I51" s="396">
        <v>0</v>
      </c>
      <c r="J51" s="396">
        <v>0</v>
      </c>
      <c r="K51" s="396">
        <v>0</v>
      </c>
      <c r="L51" s="396">
        <v>22</v>
      </c>
      <c r="M51" s="396">
        <v>0</v>
      </c>
      <c r="N51" s="401">
        <v>5</v>
      </c>
      <c r="P51" s="83" t="s">
        <v>229</v>
      </c>
      <c r="Q51" s="394">
        <f t="shared" si="1"/>
        <v>0</v>
      </c>
      <c r="R51" s="395">
        <v>0</v>
      </c>
      <c r="S51" s="396">
        <v>0</v>
      </c>
      <c r="T51" s="396">
        <v>0</v>
      </c>
      <c r="U51" s="396">
        <v>0</v>
      </c>
      <c r="V51" s="396">
        <v>0</v>
      </c>
      <c r="W51" s="396">
        <v>0</v>
      </c>
      <c r="X51" s="396">
        <v>0</v>
      </c>
      <c r="Y51" s="396">
        <v>0</v>
      </c>
      <c r="Z51" s="401">
        <v>0</v>
      </c>
    </row>
    <row r="52" spans="1:26" ht="20.25" customHeight="1">
      <c r="A52" s="83" t="s">
        <v>230</v>
      </c>
      <c r="B52" s="397">
        <f t="shared" si="0"/>
        <v>2409</v>
      </c>
      <c r="C52" s="398">
        <v>1633</v>
      </c>
      <c r="D52" s="399">
        <v>21</v>
      </c>
      <c r="E52" s="399">
        <v>479</v>
      </c>
      <c r="F52" s="399">
        <v>161</v>
      </c>
      <c r="G52" s="399">
        <v>22</v>
      </c>
      <c r="H52" s="399">
        <v>0</v>
      </c>
      <c r="I52" s="399">
        <v>0</v>
      </c>
      <c r="J52" s="399">
        <v>0</v>
      </c>
      <c r="K52" s="399">
        <v>0</v>
      </c>
      <c r="L52" s="399">
        <v>93</v>
      </c>
      <c r="M52" s="399">
        <v>0</v>
      </c>
      <c r="N52" s="400">
        <v>0</v>
      </c>
      <c r="P52" s="83" t="s">
        <v>230</v>
      </c>
      <c r="Q52" s="397">
        <f t="shared" si="1"/>
        <v>0</v>
      </c>
      <c r="R52" s="398">
        <v>0</v>
      </c>
      <c r="S52" s="399">
        <v>0</v>
      </c>
      <c r="T52" s="399">
        <v>0</v>
      </c>
      <c r="U52" s="399">
        <v>0</v>
      </c>
      <c r="V52" s="399">
        <v>0</v>
      </c>
      <c r="W52" s="399">
        <v>0</v>
      </c>
      <c r="X52" s="399">
        <v>0</v>
      </c>
      <c r="Y52" s="399">
        <v>0</v>
      </c>
      <c r="Z52" s="400">
        <v>0</v>
      </c>
    </row>
    <row r="53" spans="1:26" ht="20.25" customHeight="1">
      <c r="A53" s="83" t="s">
        <v>231</v>
      </c>
      <c r="B53" s="397">
        <f t="shared" si="0"/>
        <v>607</v>
      </c>
      <c r="C53" s="398">
        <v>385</v>
      </c>
      <c r="D53" s="399">
        <v>3</v>
      </c>
      <c r="E53" s="399">
        <v>0</v>
      </c>
      <c r="F53" s="399">
        <v>0</v>
      </c>
      <c r="G53" s="399">
        <v>180</v>
      </c>
      <c r="H53" s="399">
        <v>0</v>
      </c>
      <c r="I53" s="399">
        <v>0</v>
      </c>
      <c r="J53" s="399">
        <v>0</v>
      </c>
      <c r="K53" s="399">
        <v>0</v>
      </c>
      <c r="L53" s="399">
        <v>39</v>
      </c>
      <c r="M53" s="399">
        <v>0</v>
      </c>
      <c r="N53" s="400">
        <v>0</v>
      </c>
      <c r="P53" s="83" t="s">
        <v>231</v>
      </c>
      <c r="Q53" s="397">
        <f t="shared" si="1"/>
        <v>556</v>
      </c>
      <c r="R53" s="398">
        <v>529</v>
      </c>
      <c r="S53" s="399">
        <v>1</v>
      </c>
      <c r="T53" s="399">
        <v>0</v>
      </c>
      <c r="U53" s="399">
        <v>0</v>
      </c>
      <c r="V53" s="399">
        <v>8</v>
      </c>
      <c r="W53" s="399">
        <v>0</v>
      </c>
      <c r="X53" s="399">
        <v>18</v>
      </c>
      <c r="Y53" s="399">
        <v>0</v>
      </c>
      <c r="Z53" s="400">
        <v>0</v>
      </c>
    </row>
    <row r="54" spans="1:26" ht="20.25" customHeight="1">
      <c r="A54" s="83" t="s">
        <v>232</v>
      </c>
      <c r="B54" s="397">
        <f t="shared" si="0"/>
        <v>732</v>
      </c>
      <c r="C54" s="398">
        <v>490</v>
      </c>
      <c r="D54" s="399">
        <v>2</v>
      </c>
      <c r="E54" s="399">
        <v>0</v>
      </c>
      <c r="F54" s="399">
        <v>0</v>
      </c>
      <c r="G54" s="399">
        <v>193</v>
      </c>
      <c r="H54" s="399">
        <v>0</v>
      </c>
      <c r="I54" s="399">
        <v>0</v>
      </c>
      <c r="J54" s="399">
        <v>0</v>
      </c>
      <c r="K54" s="399">
        <v>0</v>
      </c>
      <c r="L54" s="399">
        <v>47</v>
      </c>
      <c r="M54" s="399">
        <v>0</v>
      </c>
      <c r="N54" s="400">
        <v>0</v>
      </c>
      <c r="P54" s="83" t="s">
        <v>232</v>
      </c>
      <c r="Q54" s="397">
        <f t="shared" si="1"/>
        <v>520</v>
      </c>
      <c r="R54" s="398">
        <v>478</v>
      </c>
      <c r="S54" s="399">
        <v>4</v>
      </c>
      <c r="T54" s="399">
        <v>0</v>
      </c>
      <c r="U54" s="399">
        <v>0</v>
      </c>
      <c r="V54" s="399">
        <v>0</v>
      </c>
      <c r="W54" s="399">
        <v>0</v>
      </c>
      <c r="X54" s="399">
        <v>25</v>
      </c>
      <c r="Y54" s="399">
        <v>0</v>
      </c>
      <c r="Z54" s="400">
        <v>13</v>
      </c>
    </row>
    <row r="55" spans="1:26" ht="20.25" customHeight="1">
      <c r="A55" s="155" t="s">
        <v>233</v>
      </c>
      <c r="B55" s="390">
        <f t="shared" si="0"/>
        <v>1351</v>
      </c>
      <c r="C55" s="388">
        <v>1282</v>
      </c>
      <c r="D55" s="376">
        <v>9</v>
      </c>
      <c r="E55" s="376">
        <v>0</v>
      </c>
      <c r="F55" s="376">
        <v>0</v>
      </c>
      <c r="G55" s="376">
        <v>0</v>
      </c>
      <c r="H55" s="376">
        <v>0</v>
      </c>
      <c r="I55" s="376">
        <v>0</v>
      </c>
      <c r="J55" s="376">
        <v>0</v>
      </c>
      <c r="K55" s="376">
        <v>0</v>
      </c>
      <c r="L55" s="376">
        <v>48</v>
      </c>
      <c r="M55" s="376">
        <v>0</v>
      </c>
      <c r="N55" s="389">
        <v>12</v>
      </c>
      <c r="P55" s="155" t="s">
        <v>233</v>
      </c>
      <c r="Q55" s="390">
        <f t="shared" si="1"/>
        <v>608</v>
      </c>
      <c r="R55" s="388">
        <v>564</v>
      </c>
      <c r="S55" s="376">
        <v>5</v>
      </c>
      <c r="T55" s="376">
        <v>0</v>
      </c>
      <c r="U55" s="376">
        <v>10</v>
      </c>
      <c r="V55" s="376">
        <v>14</v>
      </c>
      <c r="W55" s="376">
        <v>0</v>
      </c>
      <c r="X55" s="376">
        <v>15</v>
      </c>
      <c r="Y55" s="376">
        <v>0</v>
      </c>
      <c r="Z55" s="389">
        <v>0</v>
      </c>
    </row>
    <row r="56" spans="1:26" ht="20.25" customHeight="1">
      <c r="A56" s="83" t="s">
        <v>234</v>
      </c>
      <c r="B56" s="394">
        <f t="shared" si="0"/>
        <v>492</v>
      </c>
      <c r="C56" s="395">
        <v>296</v>
      </c>
      <c r="D56" s="396">
        <v>4</v>
      </c>
      <c r="E56" s="396">
        <v>81</v>
      </c>
      <c r="F56" s="396">
        <v>111</v>
      </c>
      <c r="G56" s="396">
        <v>0</v>
      </c>
      <c r="H56" s="396">
        <v>0</v>
      </c>
      <c r="I56" s="396">
        <v>0</v>
      </c>
      <c r="J56" s="396">
        <v>0</v>
      </c>
      <c r="K56" s="396">
        <v>0</v>
      </c>
      <c r="L56" s="396">
        <v>0</v>
      </c>
      <c r="M56" s="396">
        <v>0</v>
      </c>
      <c r="N56" s="401">
        <v>0</v>
      </c>
      <c r="P56" s="83" t="s">
        <v>234</v>
      </c>
      <c r="Q56" s="394">
        <f t="shared" si="1"/>
        <v>440</v>
      </c>
      <c r="R56" s="395">
        <v>382</v>
      </c>
      <c r="S56" s="396">
        <v>5</v>
      </c>
      <c r="T56" s="396">
        <v>0</v>
      </c>
      <c r="U56" s="396">
        <v>12</v>
      </c>
      <c r="V56" s="396">
        <v>2</v>
      </c>
      <c r="W56" s="396">
        <v>0</v>
      </c>
      <c r="X56" s="396">
        <v>39</v>
      </c>
      <c r="Y56" s="396">
        <v>0</v>
      </c>
      <c r="Z56" s="401">
        <v>0</v>
      </c>
    </row>
    <row r="57" spans="1:26" ht="20.25" customHeight="1">
      <c r="A57" s="83" t="s">
        <v>235</v>
      </c>
      <c r="B57" s="397">
        <f t="shared" si="0"/>
        <v>0</v>
      </c>
      <c r="C57" s="398">
        <v>0</v>
      </c>
      <c r="D57" s="399">
        <v>0</v>
      </c>
      <c r="E57" s="399">
        <v>0</v>
      </c>
      <c r="F57" s="399">
        <v>0</v>
      </c>
      <c r="G57" s="399">
        <v>0</v>
      </c>
      <c r="H57" s="399">
        <v>0</v>
      </c>
      <c r="I57" s="399">
        <v>0</v>
      </c>
      <c r="J57" s="399">
        <v>0</v>
      </c>
      <c r="K57" s="399">
        <v>0</v>
      </c>
      <c r="L57" s="399">
        <v>0</v>
      </c>
      <c r="M57" s="399">
        <v>0</v>
      </c>
      <c r="N57" s="400">
        <v>0</v>
      </c>
      <c r="P57" s="83" t="s">
        <v>235</v>
      </c>
      <c r="Q57" s="397">
        <f t="shared" si="1"/>
        <v>958</v>
      </c>
      <c r="R57" s="398">
        <v>600</v>
      </c>
      <c r="S57" s="399">
        <v>4</v>
      </c>
      <c r="T57" s="399">
        <v>0</v>
      </c>
      <c r="U57" s="399">
        <v>86</v>
      </c>
      <c r="V57" s="399">
        <v>213</v>
      </c>
      <c r="W57" s="399">
        <v>0</v>
      </c>
      <c r="X57" s="399">
        <v>55</v>
      </c>
      <c r="Y57" s="399">
        <v>0</v>
      </c>
      <c r="Z57" s="400">
        <v>0</v>
      </c>
    </row>
    <row r="58" spans="1:26" ht="20.25" customHeight="1">
      <c r="A58" s="83" t="s">
        <v>236</v>
      </c>
      <c r="B58" s="397">
        <f t="shared" si="0"/>
        <v>686</v>
      </c>
      <c r="C58" s="398">
        <v>529</v>
      </c>
      <c r="D58" s="399">
        <v>6</v>
      </c>
      <c r="E58" s="399">
        <v>0</v>
      </c>
      <c r="F58" s="399">
        <v>30</v>
      </c>
      <c r="G58" s="399">
        <v>91</v>
      </c>
      <c r="H58" s="399">
        <v>0</v>
      </c>
      <c r="I58" s="399">
        <v>0</v>
      </c>
      <c r="J58" s="399">
        <v>0</v>
      </c>
      <c r="K58" s="399">
        <v>0</v>
      </c>
      <c r="L58" s="399">
        <v>30</v>
      </c>
      <c r="M58" s="399">
        <v>0</v>
      </c>
      <c r="N58" s="400">
        <v>0</v>
      </c>
      <c r="P58" s="83" t="s">
        <v>236</v>
      </c>
      <c r="Q58" s="397">
        <f t="shared" si="1"/>
        <v>0</v>
      </c>
      <c r="R58" s="398">
        <v>0</v>
      </c>
      <c r="S58" s="399">
        <v>0</v>
      </c>
      <c r="T58" s="399">
        <v>0</v>
      </c>
      <c r="U58" s="399">
        <v>0</v>
      </c>
      <c r="V58" s="399">
        <v>0</v>
      </c>
      <c r="W58" s="399">
        <v>0</v>
      </c>
      <c r="X58" s="399">
        <v>0</v>
      </c>
      <c r="Y58" s="399">
        <v>0</v>
      </c>
      <c r="Z58" s="400">
        <v>0</v>
      </c>
    </row>
    <row r="59" spans="1:26" ht="20.25" customHeight="1">
      <c r="A59" s="83" t="s">
        <v>237</v>
      </c>
      <c r="B59" s="397">
        <f t="shared" si="0"/>
        <v>5</v>
      </c>
      <c r="C59" s="398">
        <v>0</v>
      </c>
      <c r="D59" s="399">
        <v>0</v>
      </c>
      <c r="E59" s="399">
        <v>0</v>
      </c>
      <c r="F59" s="399">
        <v>0</v>
      </c>
      <c r="G59" s="399">
        <v>2</v>
      </c>
      <c r="H59" s="399">
        <v>0</v>
      </c>
      <c r="I59" s="399">
        <v>0</v>
      </c>
      <c r="J59" s="399">
        <v>0</v>
      </c>
      <c r="K59" s="399">
        <v>0</v>
      </c>
      <c r="L59" s="399">
        <v>0</v>
      </c>
      <c r="M59" s="399">
        <v>3</v>
      </c>
      <c r="N59" s="400">
        <v>0</v>
      </c>
      <c r="P59" s="83" t="s">
        <v>237</v>
      </c>
      <c r="Q59" s="397">
        <f t="shared" si="1"/>
        <v>1708</v>
      </c>
      <c r="R59" s="398">
        <v>1310</v>
      </c>
      <c r="S59" s="399">
        <v>18</v>
      </c>
      <c r="T59" s="399">
        <v>248</v>
      </c>
      <c r="U59" s="399">
        <v>11</v>
      </c>
      <c r="V59" s="399">
        <v>0</v>
      </c>
      <c r="W59" s="399">
        <v>0</v>
      </c>
      <c r="X59" s="399">
        <v>121</v>
      </c>
      <c r="Y59" s="399">
        <v>0</v>
      </c>
      <c r="Z59" s="400">
        <v>0</v>
      </c>
    </row>
    <row r="60" spans="1:26" ht="20.25" customHeight="1">
      <c r="A60" s="155" t="s">
        <v>238</v>
      </c>
      <c r="B60" s="390">
        <f t="shared" si="0"/>
        <v>103</v>
      </c>
      <c r="C60" s="388">
        <v>50</v>
      </c>
      <c r="D60" s="376">
        <v>0</v>
      </c>
      <c r="E60" s="376">
        <v>50</v>
      </c>
      <c r="F60" s="376">
        <v>0</v>
      </c>
      <c r="G60" s="376">
        <v>0</v>
      </c>
      <c r="H60" s="376">
        <v>0</v>
      </c>
      <c r="I60" s="376">
        <v>1</v>
      </c>
      <c r="J60" s="376">
        <v>0</v>
      </c>
      <c r="K60" s="376">
        <v>0</v>
      </c>
      <c r="L60" s="376">
        <v>0</v>
      </c>
      <c r="M60" s="376">
        <v>0</v>
      </c>
      <c r="N60" s="389">
        <v>2</v>
      </c>
      <c r="P60" s="155" t="s">
        <v>238</v>
      </c>
      <c r="Q60" s="390">
        <f t="shared" si="1"/>
        <v>80</v>
      </c>
      <c r="R60" s="388">
        <v>65</v>
      </c>
      <c r="S60" s="376">
        <v>0</v>
      </c>
      <c r="T60" s="376">
        <v>13</v>
      </c>
      <c r="U60" s="376">
        <v>2</v>
      </c>
      <c r="V60" s="376">
        <v>0</v>
      </c>
      <c r="W60" s="376">
        <v>0</v>
      </c>
      <c r="X60" s="376">
        <v>0</v>
      </c>
      <c r="Y60" s="376">
        <v>0</v>
      </c>
      <c r="Z60" s="389">
        <v>0</v>
      </c>
    </row>
    <row r="61" spans="1:26" ht="20.25" customHeight="1">
      <c r="A61" s="83" t="s">
        <v>239</v>
      </c>
      <c r="B61" s="394">
        <f t="shared" si="0"/>
        <v>42</v>
      </c>
      <c r="C61" s="395">
        <v>18</v>
      </c>
      <c r="D61" s="396">
        <v>0</v>
      </c>
      <c r="E61" s="396">
        <v>22</v>
      </c>
      <c r="F61" s="396">
        <v>0</v>
      </c>
      <c r="G61" s="396">
        <v>0</v>
      </c>
      <c r="H61" s="396">
        <v>0</v>
      </c>
      <c r="I61" s="396">
        <v>0</v>
      </c>
      <c r="J61" s="396">
        <v>0</v>
      </c>
      <c r="K61" s="396">
        <v>0</v>
      </c>
      <c r="L61" s="396">
        <v>0</v>
      </c>
      <c r="M61" s="396">
        <v>0</v>
      </c>
      <c r="N61" s="401">
        <v>2</v>
      </c>
      <c r="P61" s="83" t="s">
        <v>239</v>
      </c>
      <c r="Q61" s="394">
        <f t="shared" si="1"/>
        <v>0</v>
      </c>
      <c r="R61" s="395">
        <v>0</v>
      </c>
      <c r="S61" s="396">
        <v>0</v>
      </c>
      <c r="T61" s="396">
        <v>0</v>
      </c>
      <c r="U61" s="396">
        <v>0</v>
      </c>
      <c r="V61" s="396">
        <v>0</v>
      </c>
      <c r="W61" s="396">
        <v>0</v>
      </c>
      <c r="X61" s="396">
        <v>0</v>
      </c>
      <c r="Y61" s="396">
        <v>0</v>
      </c>
      <c r="Z61" s="401">
        <v>0</v>
      </c>
    </row>
    <row r="62" spans="1:26" ht="20.25" customHeight="1" thickBot="1">
      <c r="A62" s="289" t="s">
        <v>240</v>
      </c>
      <c r="B62" s="402">
        <f t="shared" si="0"/>
        <v>30</v>
      </c>
      <c r="C62" s="403">
        <v>6</v>
      </c>
      <c r="D62" s="404">
        <v>0</v>
      </c>
      <c r="E62" s="404">
        <v>23</v>
      </c>
      <c r="F62" s="404">
        <v>0</v>
      </c>
      <c r="G62" s="404">
        <v>0</v>
      </c>
      <c r="H62" s="404">
        <v>0</v>
      </c>
      <c r="I62" s="404">
        <v>0</v>
      </c>
      <c r="J62" s="404">
        <v>0</v>
      </c>
      <c r="K62" s="404">
        <v>0</v>
      </c>
      <c r="L62" s="404">
        <v>0</v>
      </c>
      <c r="M62" s="404">
        <v>0</v>
      </c>
      <c r="N62" s="405">
        <v>1</v>
      </c>
      <c r="P62" s="289" t="s">
        <v>240</v>
      </c>
      <c r="Q62" s="402">
        <f t="shared" si="1"/>
        <v>0</v>
      </c>
      <c r="R62" s="403">
        <v>0</v>
      </c>
      <c r="S62" s="404">
        <v>0</v>
      </c>
      <c r="T62" s="404">
        <v>0</v>
      </c>
      <c r="U62" s="404">
        <v>0</v>
      </c>
      <c r="V62" s="404">
        <v>0</v>
      </c>
      <c r="W62" s="404">
        <v>0</v>
      </c>
      <c r="X62" s="404">
        <v>0</v>
      </c>
      <c r="Y62" s="404">
        <v>0</v>
      </c>
      <c r="Z62" s="405">
        <v>0</v>
      </c>
    </row>
    <row r="63" spans="1:26" ht="28.5" customHeight="1" thickBot="1">
      <c r="A63" s="289" t="s">
        <v>323</v>
      </c>
      <c r="B63" s="406">
        <f aca="true" t="shared" si="2" ref="B63:N63">SUM(B6:B62)</f>
        <v>130548</v>
      </c>
      <c r="C63" s="407">
        <f t="shared" si="2"/>
        <v>91943</v>
      </c>
      <c r="D63" s="408">
        <f t="shared" si="2"/>
        <v>560</v>
      </c>
      <c r="E63" s="408">
        <f t="shared" si="2"/>
        <v>2301</v>
      </c>
      <c r="F63" s="408">
        <f t="shared" si="2"/>
        <v>6308</v>
      </c>
      <c r="G63" s="408">
        <f t="shared" si="2"/>
        <v>10572</v>
      </c>
      <c r="H63" s="408">
        <f t="shared" si="2"/>
        <v>2293</v>
      </c>
      <c r="I63" s="408">
        <f t="shared" si="2"/>
        <v>30</v>
      </c>
      <c r="J63" s="408">
        <f t="shared" si="2"/>
        <v>3830</v>
      </c>
      <c r="K63" s="408">
        <f t="shared" si="2"/>
        <v>62</v>
      </c>
      <c r="L63" s="408">
        <f t="shared" si="2"/>
        <v>6627</v>
      </c>
      <c r="M63" s="408">
        <f t="shared" si="2"/>
        <v>61</v>
      </c>
      <c r="N63" s="409">
        <f t="shared" si="2"/>
        <v>5961</v>
      </c>
      <c r="P63" s="289" t="s">
        <v>323</v>
      </c>
      <c r="Q63" s="406">
        <f aca="true" t="shared" si="3" ref="Q63:Z63">SUM(Q6:Q62)</f>
        <v>209249</v>
      </c>
      <c r="R63" s="407">
        <f t="shared" si="3"/>
        <v>197128</v>
      </c>
      <c r="S63" s="408">
        <f t="shared" si="3"/>
        <v>1042</v>
      </c>
      <c r="T63" s="408">
        <f t="shared" si="3"/>
        <v>2161</v>
      </c>
      <c r="U63" s="408">
        <f t="shared" si="3"/>
        <v>2115</v>
      </c>
      <c r="V63" s="408">
        <f t="shared" si="3"/>
        <v>1089</v>
      </c>
      <c r="W63" s="408">
        <f t="shared" si="3"/>
        <v>2</v>
      </c>
      <c r="X63" s="408">
        <f t="shared" si="3"/>
        <v>5699</v>
      </c>
      <c r="Y63" s="408">
        <f t="shared" si="3"/>
        <v>0</v>
      </c>
      <c r="Z63" s="409">
        <f t="shared" si="3"/>
        <v>13</v>
      </c>
    </row>
    <row r="64" spans="2:17" ht="14.25">
      <c r="B64" s="1" t="s">
        <v>325</v>
      </c>
      <c r="F64" s="1" t="s">
        <v>326</v>
      </c>
      <c r="I64" s="1" t="s">
        <v>327</v>
      </c>
      <c r="Q64" s="1" t="s">
        <v>325</v>
      </c>
    </row>
  </sheetData>
  <printOptions/>
  <pageMargins left="0.75" right="0.75" top="0.52" bottom="0.59" header="0.45" footer="0.512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V64"/>
  <sheetViews>
    <sheetView tabSelected="1" view="pageBreakPreview" zoomScale="75" zoomScaleSheetLayoutView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6" sqref="B46"/>
    </sheetView>
  </sheetViews>
  <sheetFormatPr defaultColWidth="8.796875" defaultRowHeight="15"/>
  <cols>
    <col min="1" max="1" width="13.3984375" style="0" customWidth="1"/>
    <col min="2" max="2" width="12.8984375" style="0" customWidth="1"/>
    <col min="3" max="8" width="9.69921875" style="0" customWidth="1"/>
    <col min="9" max="9" width="6.59765625" style="0" customWidth="1"/>
    <col min="10" max="10" width="9.69921875" style="0" customWidth="1"/>
    <col min="11" max="11" width="9.59765625" style="0" customWidth="1"/>
    <col min="12" max="14" width="8.69921875" style="0" customWidth="1"/>
    <col min="15" max="15" width="10.3984375" style="0" customWidth="1"/>
    <col min="16" max="16" width="8.3984375" style="0" customWidth="1"/>
    <col min="17" max="17" width="6.8984375" style="0" customWidth="1"/>
    <col min="18" max="18" width="8.69921875" style="0" customWidth="1"/>
    <col min="19" max="19" width="7.5" style="0" customWidth="1"/>
    <col min="20" max="20" width="8.69921875" style="0" customWidth="1"/>
    <col min="21" max="21" width="7.59765625" style="0" customWidth="1"/>
    <col min="22" max="22" width="8.19921875" style="0" customWidth="1"/>
  </cols>
  <sheetData>
    <row r="1" spans="1:22" ht="18">
      <c r="A1" s="29" t="s">
        <v>52</v>
      </c>
      <c r="B1" s="29"/>
      <c r="C1" s="20"/>
      <c r="D1" s="20"/>
      <c r="E1" s="20"/>
      <c r="F1" s="20"/>
      <c r="G1" s="20"/>
      <c r="H1" s="20"/>
      <c r="I1" s="20"/>
      <c r="J1" s="20"/>
      <c r="K1" s="29" t="s">
        <v>52</v>
      </c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8">
      <c r="A2" s="29" t="s">
        <v>56</v>
      </c>
      <c r="B2" s="29"/>
      <c r="C2" s="20"/>
      <c r="D2" s="20"/>
      <c r="E2" s="20"/>
      <c r="F2" s="20"/>
      <c r="G2" s="20"/>
      <c r="H2" s="20"/>
      <c r="I2" s="20"/>
      <c r="J2" s="20"/>
      <c r="K2" s="29" t="s">
        <v>56</v>
      </c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18" thickBot="1">
      <c r="A3" s="28" t="s">
        <v>332</v>
      </c>
      <c r="B3" s="28"/>
      <c r="C3" s="79"/>
      <c r="D3" s="79"/>
      <c r="E3" s="79"/>
      <c r="F3" s="79"/>
      <c r="G3" s="79"/>
      <c r="H3" s="79"/>
      <c r="I3" s="9" t="s">
        <v>324</v>
      </c>
      <c r="K3" s="28" t="s">
        <v>333</v>
      </c>
      <c r="M3" s="9"/>
      <c r="N3" s="9"/>
      <c r="O3" s="9"/>
      <c r="P3" s="9"/>
      <c r="Q3" s="9"/>
      <c r="R3" s="9"/>
      <c r="S3" s="9"/>
      <c r="T3" s="9"/>
      <c r="U3" s="9" t="s">
        <v>324</v>
      </c>
      <c r="V3" s="9"/>
    </row>
    <row r="4" spans="1:22" ht="15" thickBot="1">
      <c r="A4" s="379"/>
      <c r="B4" s="383" t="s">
        <v>331</v>
      </c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/>
      <c r="V4" s="377"/>
    </row>
    <row r="5" spans="1:22" ht="48.75" thickBot="1">
      <c r="A5" s="380"/>
      <c r="B5" s="384"/>
      <c r="C5" s="385" t="s">
        <v>320</v>
      </c>
      <c r="D5" s="386" t="s">
        <v>311</v>
      </c>
      <c r="E5" s="386" t="s">
        <v>312</v>
      </c>
      <c r="F5" s="386" t="s">
        <v>313</v>
      </c>
      <c r="G5" s="386" t="s">
        <v>314</v>
      </c>
      <c r="H5" s="386" t="s">
        <v>315</v>
      </c>
      <c r="I5" s="386" t="s">
        <v>316</v>
      </c>
      <c r="J5" s="386" t="s">
        <v>321</v>
      </c>
      <c r="K5" s="386" t="s">
        <v>322</v>
      </c>
      <c r="L5" s="386" t="s">
        <v>317</v>
      </c>
      <c r="M5" s="386" t="s">
        <v>303</v>
      </c>
      <c r="N5" s="386" t="s">
        <v>304</v>
      </c>
      <c r="O5" s="386" t="s">
        <v>305</v>
      </c>
      <c r="P5" s="386" t="s">
        <v>306</v>
      </c>
      <c r="Q5" s="386" t="s">
        <v>334</v>
      </c>
      <c r="R5" s="386" t="s">
        <v>307</v>
      </c>
      <c r="S5" s="386" t="s">
        <v>308</v>
      </c>
      <c r="T5" s="386" t="s">
        <v>309</v>
      </c>
      <c r="U5" s="386" t="s">
        <v>318</v>
      </c>
      <c r="V5" s="387" t="s">
        <v>319</v>
      </c>
    </row>
    <row r="6" spans="1:22" ht="17.25">
      <c r="A6" s="381" t="s">
        <v>187</v>
      </c>
      <c r="B6" s="391">
        <f>SUM(C6:V6)</f>
        <v>112324</v>
      </c>
      <c r="C6" s="392">
        <v>4190</v>
      </c>
      <c r="D6" s="393">
        <v>145</v>
      </c>
      <c r="E6" s="393">
        <v>10980</v>
      </c>
      <c r="F6" s="393">
        <v>10290</v>
      </c>
      <c r="G6" s="393">
        <v>16635</v>
      </c>
      <c r="H6" s="393">
        <v>7090</v>
      </c>
      <c r="I6" s="393">
        <v>0</v>
      </c>
      <c r="J6" s="393">
        <v>28139</v>
      </c>
      <c r="K6" s="393">
        <v>0</v>
      </c>
      <c r="L6" s="393">
        <v>0</v>
      </c>
      <c r="M6" s="393">
        <v>0</v>
      </c>
      <c r="N6" s="393">
        <v>0</v>
      </c>
      <c r="O6" s="393">
        <v>34431</v>
      </c>
      <c r="P6" s="393">
        <v>0</v>
      </c>
      <c r="Q6" s="393">
        <v>0</v>
      </c>
      <c r="R6" s="393">
        <v>0</v>
      </c>
      <c r="S6" s="393">
        <v>0</v>
      </c>
      <c r="T6" s="393">
        <v>424</v>
      </c>
      <c r="U6" s="393">
        <v>0</v>
      </c>
      <c r="V6" s="413">
        <v>0</v>
      </c>
    </row>
    <row r="7" spans="1:22" ht="17.25">
      <c r="A7" s="83" t="s">
        <v>188</v>
      </c>
      <c r="B7" s="391">
        <f aca="true" t="shared" si="0" ref="B7:B62">SUM(C7:V7)</f>
        <v>14515</v>
      </c>
      <c r="C7" s="392">
        <v>0</v>
      </c>
      <c r="D7" s="393">
        <v>0</v>
      </c>
      <c r="E7" s="393">
        <v>0</v>
      </c>
      <c r="F7" s="393">
        <v>3339</v>
      </c>
      <c r="G7" s="393">
        <v>2796</v>
      </c>
      <c r="H7" s="393">
        <v>614</v>
      </c>
      <c r="I7" s="393">
        <v>0</v>
      </c>
      <c r="J7" s="393">
        <v>3339</v>
      </c>
      <c r="K7" s="393">
        <v>0</v>
      </c>
      <c r="L7" s="393">
        <v>0</v>
      </c>
      <c r="M7" s="393">
        <v>0</v>
      </c>
      <c r="N7" s="393">
        <v>0</v>
      </c>
      <c r="O7" s="393">
        <v>4371</v>
      </c>
      <c r="P7" s="393">
        <v>0</v>
      </c>
      <c r="Q7" s="393">
        <v>0</v>
      </c>
      <c r="R7" s="393">
        <v>0</v>
      </c>
      <c r="S7" s="393">
        <v>0</v>
      </c>
      <c r="T7" s="393">
        <v>0</v>
      </c>
      <c r="U7" s="393">
        <v>0</v>
      </c>
      <c r="V7" s="413">
        <v>56</v>
      </c>
    </row>
    <row r="8" spans="1:22" ht="17.25">
      <c r="A8" s="83" t="s">
        <v>189</v>
      </c>
      <c r="B8" s="391">
        <f t="shared" si="0"/>
        <v>15069</v>
      </c>
      <c r="C8" s="392">
        <v>4805</v>
      </c>
      <c r="D8" s="393">
        <v>18</v>
      </c>
      <c r="E8" s="393">
        <v>1393</v>
      </c>
      <c r="F8" s="393">
        <v>1950</v>
      </c>
      <c r="G8" s="393">
        <v>2098</v>
      </c>
      <c r="H8" s="393">
        <v>887</v>
      </c>
      <c r="I8" s="393">
        <v>0</v>
      </c>
      <c r="J8" s="393">
        <v>2483</v>
      </c>
      <c r="K8" s="393">
        <v>0</v>
      </c>
      <c r="L8" s="393">
        <v>236</v>
      </c>
      <c r="M8" s="393">
        <v>0</v>
      </c>
      <c r="N8" s="393">
        <v>0</v>
      </c>
      <c r="O8" s="393">
        <v>984</v>
      </c>
      <c r="P8" s="393">
        <v>0</v>
      </c>
      <c r="Q8" s="393">
        <v>0</v>
      </c>
      <c r="R8" s="393">
        <v>0</v>
      </c>
      <c r="S8" s="393">
        <v>0</v>
      </c>
      <c r="T8" s="393">
        <v>0</v>
      </c>
      <c r="U8" s="393">
        <v>0</v>
      </c>
      <c r="V8" s="413">
        <v>215</v>
      </c>
    </row>
    <row r="9" spans="1:22" ht="17.25">
      <c r="A9" s="83" t="s">
        <v>190</v>
      </c>
      <c r="B9" s="391">
        <f t="shared" si="0"/>
        <v>6757</v>
      </c>
      <c r="C9" s="392">
        <v>0</v>
      </c>
      <c r="D9" s="393">
        <v>0</v>
      </c>
      <c r="E9" s="393">
        <v>0</v>
      </c>
      <c r="F9" s="393">
        <v>1583</v>
      </c>
      <c r="G9" s="393">
        <v>0</v>
      </c>
      <c r="H9" s="393">
        <v>595</v>
      </c>
      <c r="I9" s="393">
        <v>0</v>
      </c>
      <c r="J9" s="393">
        <v>3459</v>
      </c>
      <c r="K9" s="393">
        <v>0</v>
      </c>
      <c r="L9" s="393">
        <v>0</v>
      </c>
      <c r="M9" s="393">
        <v>73</v>
      </c>
      <c r="N9" s="393">
        <v>0</v>
      </c>
      <c r="O9" s="393">
        <v>0</v>
      </c>
      <c r="P9" s="393">
        <v>0</v>
      </c>
      <c r="Q9" s="393">
        <v>0</v>
      </c>
      <c r="R9" s="393">
        <v>0</v>
      </c>
      <c r="S9" s="393">
        <v>0</v>
      </c>
      <c r="T9" s="393">
        <v>1047</v>
      </c>
      <c r="U9" s="393">
        <v>0</v>
      </c>
      <c r="V9" s="413">
        <v>0</v>
      </c>
    </row>
    <row r="10" spans="1:22" ht="17.25">
      <c r="A10" s="155" t="s">
        <v>191</v>
      </c>
      <c r="B10" s="390">
        <f t="shared" si="0"/>
        <v>869</v>
      </c>
      <c r="C10" s="388">
        <v>25</v>
      </c>
      <c r="D10" s="376">
        <v>0</v>
      </c>
      <c r="E10" s="376">
        <v>0</v>
      </c>
      <c r="F10" s="376">
        <v>844</v>
      </c>
      <c r="G10" s="376">
        <v>0</v>
      </c>
      <c r="H10" s="376">
        <v>0</v>
      </c>
      <c r="I10" s="376">
        <v>0</v>
      </c>
      <c r="J10" s="376">
        <v>0</v>
      </c>
      <c r="K10" s="376">
        <v>0</v>
      </c>
      <c r="L10" s="376">
        <v>0</v>
      </c>
      <c r="M10" s="376">
        <v>0</v>
      </c>
      <c r="N10" s="376">
        <v>0</v>
      </c>
      <c r="O10" s="376">
        <v>0</v>
      </c>
      <c r="P10" s="376">
        <v>0</v>
      </c>
      <c r="Q10" s="376">
        <v>0</v>
      </c>
      <c r="R10" s="376">
        <v>0</v>
      </c>
      <c r="S10" s="376">
        <v>0</v>
      </c>
      <c r="T10" s="376">
        <v>0</v>
      </c>
      <c r="U10" s="376">
        <v>0</v>
      </c>
      <c r="V10" s="389">
        <v>0</v>
      </c>
    </row>
    <row r="11" spans="1:22" ht="17.25">
      <c r="A11" s="382" t="s">
        <v>192</v>
      </c>
      <c r="B11" s="394">
        <f t="shared" si="0"/>
        <v>2574</v>
      </c>
      <c r="C11" s="395">
        <v>401</v>
      </c>
      <c r="D11" s="396">
        <v>0</v>
      </c>
      <c r="E11" s="396">
        <v>0</v>
      </c>
      <c r="F11" s="396">
        <v>278</v>
      </c>
      <c r="G11" s="396">
        <v>0</v>
      </c>
      <c r="H11" s="396">
        <v>353</v>
      </c>
      <c r="I11" s="396">
        <v>0</v>
      </c>
      <c r="J11" s="396">
        <v>1315</v>
      </c>
      <c r="K11" s="396">
        <v>0</v>
      </c>
      <c r="L11" s="396">
        <v>0</v>
      </c>
      <c r="M11" s="396">
        <v>0</v>
      </c>
      <c r="N11" s="396">
        <v>0</v>
      </c>
      <c r="O11" s="396">
        <v>0</v>
      </c>
      <c r="P11" s="396">
        <v>0</v>
      </c>
      <c r="Q11" s="396">
        <v>0</v>
      </c>
      <c r="R11" s="396">
        <v>0</v>
      </c>
      <c r="S11" s="396">
        <v>0</v>
      </c>
      <c r="T11" s="396">
        <v>0</v>
      </c>
      <c r="U11" s="396">
        <v>1</v>
      </c>
      <c r="V11" s="401">
        <v>226</v>
      </c>
    </row>
    <row r="12" spans="1:22" ht="17.25">
      <c r="A12" s="83" t="s">
        <v>193</v>
      </c>
      <c r="B12" s="397">
        <f t="shared" si="0"/>
        <v>9479</v>
      </c>
      <c r="C12" s="398">
        <v>0</v>
      </c>
      <c r="D12" s="399">
        <v>0</v>
      </c>
      <c r="E12" s="399">
        <v>0</v>
      </c>
      <c r="F12" s="399">
        <v>2814</v>
      </c>
      <c r="G12" s="399">
        <v>1088</v>
      </c>
      <c r="H12" s="399">
        <v>492</v>
      </c>
      <c r="I12" s="399">
        <v>0</v>
      </c>
      <c r="J12" s="399">
        <v>47</v>
      </c>
      <c r="K12" s="399">
        <v>0</v>
      </c>
      <c r="L12" s="399">
        <v>0</v>
      </c>
      <c r="M12" s="399">
        <v>0</v>
      </c>
      <c r="N12" s="399">
        <v>0</v>
      </c>
      <c r="O12" s="399">
        <v>4982</v>
      </c>
      <c r="P12" s="399">
        <v>0</v>
      </c>
      <c r="Q12" s="399">
        <v>0</v>
      </c>
      <c r="R12" s="399">
        <v>0</v>
      </c>
      <c r="S12" s="399">
        <v>0</v>
      </c>
      <c r="T12" s="399">
        <v>0</v>
      </c>
      <c r="U12" s="399">
        <v>11</v>
      </c>
      <c r="V12" s="400">
        <v>45</v>
      </c>
    </row>
    <row r="13" spans="1:22" ht="17.25">
      <c r="A13" s="83" t="s">
        <v>194</v>
      </c>
      <c r="B13" s="397">
        <f t="shared" si="0"/>
        <v>8396</v>
      </c>
      <c r="C13" s="398">
        <v>0</v>
      </c>
      <c r="D13" s="399">
        <v>0</v>
      </c>
      <c r="E13" s="399">
        <v>0</v>
      </c>
      <c r="F13" s="399">
        <v>1490</v>
      </c>
      <c r="G13" s="399">
        <v>1280</v>
      </c>
      <c r="H13" s="399">
        <v>566</v>
      </c>
      <c r="I13" s="399">
        <v>33</v>
      </c>
      <c r="J13" s="399">
        <v>0</v>
      </c>
      <c r="K13" s="399">
        <v>0</v>
      </c>
      <c r="L13" s="399">
        <v>0</v>
      </c>
      <c r="M13" s="399">
        <v>0</v>
      </c>
      <c r="N13" s="399">
        <v>0</v>
      </c>
      <c r="O13" s="399">
        <v>4112</v>
      </c>
      <c r="P13" s="399">
        <v>0</v>
      </c>
      <c r="Q13" s="399">
        <v>0</v>
      </c>
      <c r="R13" s="399">
        <v>0</v>
      </c>
      <c r="S13" s="399">
        <v>0</v>
      </c>
      <c r="T13" s="399">
        <v>0</v>
      </c>
      <c r="U13" s="399">
        <v>0</v>
      </c>
      <c r="V13" s="400">
        <v>915</v>
      </c>
    </row>
    <row r="14" spans="1:22" ht="17.25">
      <c r="A14" s="83" t="s">
        <v>195</v>
      </c>
      <c r="B14" s="397">
        <f t="shared" si="0"/>
        <v>1434</v>
      </c>
      <c r="C14" s="398">
        <v>0</v>
      </c>
      <c r="D14" s="399">
        <v>0</v>
      </c>
      <c r="E14" s="399">
        <v>0</v>
      </c>
      <c r="F14" s="399">
        <v>309</v>
      </c>
      <c r="G14" s="399">
        <v>399</v>
      </c>
      <c r="H14" s="399">
        <v>85</v>
      </c>
      <c r="I14" s="399">
        <v>0</v>
      </c>
      <c r="J14" s="399">
        <v>0</v>
      </c>
      <c r="K14" s="399">
        <v>605</v>
      </c>
      <c r="L14" s="399">
        <v>0</v>
      </c>
      <c r="M14" s="399">
        <v>0</v>
      </c>
      <c r="N14" s="399">
        <v>0</v>
      </c>
      <c r="O14" s="399">
        <v>3</v>
      </c>
      <c r="P14" s="399">
        <v>0</v>
      </c>
      <c r="Q14" s="399">
        <v>0</v>
      </c>
      <c r="R14" s="399">
        <v>0</v>
      </c>
      <c r="S14" s="399">
        <v>0</v>
      </c>
      <c r="T14" s="399">
        <v>0</v>
      </c>
      <c r="U14" s="399">
        <v>0</v>
      </c>
      <c r="V14" s="400">
        <v>33</v>
      </c>
    </row>
    <row r="15" spans="1:22" ht="17.25">
      <c r="A15" s="155" t="s">
        <v>196</v>
      </c>
      <c r="B15" s="390">
        <f t="shared" si="0"/>
        <v>2306</v>
      </c>
      <c r="C15" s="388">
        <v>0</v>
      </c>
      <c r="D15" s="376">
        <v>0</v>
      </c>
      <c r="E15" s="376">
        <v>0</v>
      </c>
      <c r="F15" s="376">
        <v>499</v>
      </c>
      <c r="G15" s="376">
        <v>490</v>
      </c>
      <c r="H15" s="376">
        <v>197</v>
      </c>
      <c r="I15" s="376">
        <v>63</v>
      </c>
      <c r="J15" s="376">
        <v>0</v>
      </c>
      <c r="K15" s="376">
        <v>278</v>
      </c>
      <c r="L15" s="376">
        <v>0</v>
      </c>
      <c r="M15" s="376">
        <v>0</v>
      </c>
      <c r="N15" s="376">
        <v>103</v>
      </c>
      <c r="O15" s="376">
        <v>645</v>
      </c>
      <c r="P15" s="376">
        <v>0</v>
      </c>
      <c r="Q15" s="376">
        <v>0</v>
      </c>
      <c r="R15" s="376">
        <v>0</v>
      </c>
      <c r="S15" s="376">
        <v>0</v>
      </c>
      <c r="T15" s="376">
        <v>0</v>
      </c>
      <c r="U15" s="376">
        <v>0</v>
      </c>
      <c r="V15" s="389">
        <v>31</v>
      </c>
    </row>
    <row r="16" spans="1:22" ht="17.25">
      <c r="A16" s="382" t="s">
        <v>197</v>
      </c>
      <c r="B16" s="394">
        <f t="shared" si="0"/>
        <v>4766</v>
      </c>
      <c r="C16" s="395">
        <v>20</v>
      </c>
      <c r="D16" s="396">
        <v>1</v>
      </c>
      <c r="E16" s="396">
        <v>346</v>
      </c>
      <c r="F16" s="396">
        <v>697</v>
      </c>
      <c r="G16" s="396">
        <v>828</v>
      </c>
      <c r="H16" s="396">
        <v>335</v>
      </c>
      <c r="I16" s="396">
        <v>0</v>
      </c>
      <c r="J16" s="396">
        <v>1176</v>
      </c>
      <c r="K16" s="396">
        <v>0</v>
      </c>
      <c r="L16" s="396">
        <v>18</v>
      </c>
      <c r="M16" s="396">
        <v>568</v>
      </c>
      <c r="N16" s="396">
        <v>0</v>
      </c>
      <c r="O16" s="396">
        <v>415</v>
      </c>
      <c r="P16" s="396">
        <v>0</v>
      </c>
      <c r="Q16" s="396">
        <v>0</v>
      </c>
      <c r="R16" s="396">
        <v>0</v>
      </c>
      <c r="S16" s="396">
        <v>0</v>
      </c>
      <c r="T16" s="396">
        <v>133</v>
      </c>
      <c r="U16" s="396">
        <v>0</v>
      </c>
      <c r="V16" s="401">
        <v>229</v>
      </c>
    </row>
    <row r="17" spans="1:22" ht="17.25">
      <c r="A17" s="83" t="s">
        <v>198</v>
      </c>
      <c r="B17" s="397">
        <f t="shared" si="0"/>
        <v>21926</v>
      </c>
      <c r="C17" s="398">
        <v>6849</v>
      </c>
      <c r="D17" s="399">
        <v>79</v>
      </c>
      <c r="E17" s="399">
        <v>0</v>
      </c>
      <c r="F17" s="399">
        <v>2909</v>
      </c>
      <c r="G17" s="399">
        <v>3089</v>
      </c>
      <c r="H17" s="399">
        <v>904</v>
      </c>
      <c r="I17" s="399">
        <v>0</v>
      </c>
      <c r="J17" s="399">
        <v>1924</v>
      </c>
      <c r="K17" s="399">
        <v>0</v>
      </c>
      <c r="L17" s="399">
        <v>511</v>
      </c>
      <c r="M17" s="399">
        <v>896</v>
      </c>
      <c r="N17" s="399">
        <v>0</v>
      </c>
      <c r="O17" s="399">
        <v>4569</v>
      </c>
      <c r="P17" s="399">
        <v>0</v>
      </c>
      <c r="Q17" s="399">
        <v>0</v>
      </c>
      <c r="R17" s="399">
        <v>196</v>
      </c>
      <c r="S17" s="399">
        <v>0</v>
      </c>
      <c r="T17" s="399">
        <v>0</v>
      </c>
      <c r="U17" s="399">
        <v>0</v>
      </c>
      <c r="V17" s="400">
        <v>0</v>
      </c>
    </row>
    <row r="18" spans="1:22" ht="17.25">
      <c r="A18" s="83" t="s">
        <v>199</v>
      </c>
      <c r="B18" s="397">
        <f t="shared" si="0"/>
        <v>6237</v>
      </c>
      <c r="C18" s="398">
        <v>52</v>
      </c>
      <c r="D18" s="399">
        <v>0</v>
      </c>
      <c r="E18" s="399">
        <v>0</v>
      </c>
      <c r="F18" s="399">
        <v>1379</v>
      </c>
      <c r="G18" s="399">
        <v>991</v>
      </c>
      <c r="H18" s="399">
        <v>269</v>
      </c>
      <c r="I18" s="399">
        <v>0</v>
      </c>
      <c r="J18" s="399">
        <v>1188</v>
      </c>
      <c r="K18" s="399">
        <v>0</v>
      </c>
      <c r="L18" s="399">
        <v>0</v>
      </c>
      <c r="M18" s="399">
        <v>1116</v>
      </c>
      <c r="N18" s="399">
        <v>0</v>
      </c>
      <c r="O18" s="399">
        <v>1190</v>
      </c>
      <c r="P18" s="399">
        <v>0</v>
      </c>
      <c r="Q18" s="399">
        <v>0</v>
      </c>
      <c r="R18" s="399">
        <v>0</v>
      </c>
      <c r="S18" s="399">
        <v>0</v>
      </c>
      <c r="T18" s="399">
        <v>18</v>
      </c>
      <c r="U18" s="399">
        <v>0</v>
      </c>
      <c r="V18" s="400">
        <v>34</v>
      </c>
    </row>
    <row r="19" spans="1:22" ht="17.25">
      <c r="A19" s="83" t="s">
        <v>200</v>
      </c>
      <c r="B19" s="397">
        <f t="shared" si="0"/>
        <v>2682</v>
      </c>
      <c r="C19" s="398">
        <v>217</v>
      </c>
      <c r="D19" s="399">
        <v>0</v>
      </c>
      <c r="E19" s="399">
        <v>0</v>
      </c>
      <c r="F19" s="399">
        <v>841</v>
      </c>
      <c r="G19" s="399">
        <v>611</v>
      </c>
      <c r="H19" s="399">
        <v>244</v>
      </c>
      <c r="I19" s="399">
        <v>27</v>
      </c>
      <c r="J19" s="399">
        <v>697</v>
      </c>
      <c r="K19" s="399">
        <v>0</v>
      </c>
      <c r="L19" s="399">
        <v>0</v>
      </c>
      <c r="M19" s="399">
        <v>0</v>
      </c>
      <c r="N19" s="399">
        <v>0</v>
      </c>
      <c r="O19" s="399">
        <v>0</v>
      </c>
      <c r="P19" s="399">
        <v>0</v>
      </c>
      <c r="Q19" s="399">
        <v>0</v>
      </c>
      <c r="R19" s="399">
        <v>0</v>
      </c>
      <c r="S19" s="399">
        <v>0</v>
      </c>
      <c r="T19" s="399">
        <v>0</v>
      </c>
      <c r="U19" s="399">
        <v>0</v>
      </c>
      <c r="V19" s="400">
        <v>45</v>
      </c>
    </row>
    <row r="20" spans="1:22" ht="17.25">
      <c r="A20" s="155" t="s">
        <v>201</v>
      </c>
      <c r="B20" s="390">
        <f t="shared" si="0"/>
        <v>5707</v>
      </c>
      <c r="C20" s="388">
        <v>3258</v>
      </c>
      <c r="D20" s="376">
        <v>22</v>
      </c>
      <c r="E20" s="376">
        <v>0</v>
      </c>
      <c r="F20" s="376">
        <v>864</v>
      </c>
      <c r="G20" s="376">
        <v>762</v>
      </c>
      <c r="H20" s="376">
        <v>219</v>
      </c>
      <c r="I20" s="376">
        <v>0</v>
      </c>
      <c r="J20" s="376">
        <v>282</v>
      </c>
      <c r="K20" s="376">
        <v>0</v>
      </c>
      <c r="L20" s="376">
        <v>261</v>
      </c>
      <c r="M20" s="376">
        <v>0</v>
      </c>
      <c r="N20" s="376">
        <v>0</v>
      </c>
      <c r="O20" s="376">
        <v>0</v>
      </c>
      <c r="P20" s="376">
        <v>0</v>
      </c>
      <c r="Q20" s="376">
        <v>0</v>
      </c>
      <c r="R20" s="376">
        <v>0</v>
      </c>
      <c r="S20" s="376">
        <v>0</v>
      </c>
      <c r="T20" s="376">
        <v>0</v>
      </c>
      <c r="U20" s="376">
        <v>0</v>
      </c>
      <c r="V20" s="389">
        <v>39</v>
      </c>
    </row>
    <row r="21" spans="1:22" ht="17.25">
      <c r="A21" s="382" t="s">
        <v>202</v>
      </c>
      <c r="B21" s="394">
        <f t="shared" si="0"/>
        <v>355</v>
      </c>
      <c r="C21" s="395">
        <v>0</v>
      </c>
      <c r="D21" s="396">
        <v>0</v>
      </c>
      <c r="E21" s="396">
        <v>0</v>
      </c>
      <c r="F21" s="396">
        <v>263</v>
      </c>
      <c r="G21" s="396">
        <v>0</v>
      </c>
      <c r="H21" s="396">
        <v>0</v>
      </c>
      <c r="I21" s="396">
        <v>0</v>
      </c>
      <c r="J21" s="396">
        <v>0</v>
      </c>
      <c r="K21" s="396">
        <v>0</v>
      </c>
      <c r="L21" s="396">
        <v>0</v>
      </c>
      <c r="M21" s="396">
        <v>0</v>
      </c>
      <c r="N21" s="396">
        <v>0</v>
      </c>
      <c r="O21" s="396">
        <v>0</v>
      </c>
      <c r="P21" s="396">
        <v>0</v>
      </c>
      <c r="Q21" s="396">
        <v>0</v>
      </c>
      <c r="R21" s="396">
        <v>47</v>
      </c>
      <c r="S21" s="396">
        <v>0</v>
      </c>
      <c r="T21" s="396">
        <v>0</v>
      </c>
      <c r="U21" s="396">
        <v>0</v>
      </c>
      <c r="V21" s="401">
        <v>45</v>
      </c>
    </row>
    <row r="22" spans="1:22" ht="17.25">
      <c r="A22" s="83" t="s">
        <v>203</v>
      </c>
      <c r="B22" s="397">
        <f t="shared" si="0"/>
        <v>947</v>
      </c>
      <c r="C22" s="398">
        <v>0</v>
      </c>
      <c r="D22" s="399">
        <v>0</v>
      </c>
      <c r="E22" s="399">
        <v>0</v>
      </c>
      <c r="F22" s="399">
        <v>109</v>
      </c>
      <c r="G22" s="399">
        <v>390</v>
      </c>
      <c r="H22" s="399">
        <v>96</v>
      </c>
      <c r="I22" s="399">
        <v>0</v>
      </c>
      <c r="J22" s="399">
        <v>352</v>
      </c>
      <c r="K22" s="399">
        <v>0</v>
      </c>
      <c r="L22" s="399">
        <v>0</v>
      </c>
      <c r="M22" s="399">
        <v>0</v>
      </c>
      <c r="N22" s="399">
        <v>0</v>
      </c>
      <c r="O22" s="399">
        <v>0</v>
      </c>
      <c r="P22" s="399">
        <v>0</v>
      </c>
      <c r="Q22" s="399">
        <v>0</v>
      </c>
      <c r="R22" s="399">
        <v>0</v>
      </c>
      <c r="S22" s="399">
        <v>0</v>
      </c>
      <c r="T22" s="399">
        <v>0</v>
      </c>
      <c r="U22" s="399">
        <v>0</v>
      </c>
      <c r="V22" s="400">
        <v>0</v>
      </c>
    </row>
    <row r="23" spans="1:22" ht="17.25">
      <c r="A23" s="83" t="s">
        <v>204</v>
      </c>
      <c r="B23" s="397">
        <f t="shared" si="0"/>
        <v>6579</v>
      </c>
      <c r="C23" s="398">
        <v>1529</v>
      </c>
      <c r="D23" s="399">
        <v>21</v>
      </c>
      <c r="E23" s="399">
        <v>327</v>
      </c>
      <c r="F23" s="399">
        <v>364</v>
      </c>
      <c r="G23" s="399">
        <v>544</v>
      </c>
      <c r="H23" s="399">
        <v>229</v>
      </c>
      <c r="I23" s="399">
        <v>20</v>
      </c>
      <c r="J23" s="399">
        <v>452</v>
      </c>
      <c r="K23" s="399">
        <v>795</v>
      </c>
      <c r="L23" s="399">
        <v>137</v>
      </c>
      <c r="M23" s="399">
        <v>0</v>
      </c>
      <c r="N23" s="399">
        <v>0</v>
      </c>
      <c r="O23" s="399">
        <v>649</v>
      </c>
      <c r="P23" s="399">
        <v>338</v>
      </c>
      <c r="Q23" s="399">
        <v>0</v>
      </c>
      <c r="R23" s="399">
        <v>0</v>
      </c>
      <c r="S23" s="399">
        <v>0</v>
      </c>
      <c r="T23" s="399">
        <v>0</v>
      </c>
      <c r="U23" s="399">
        <v>3</v>
      </c>
      <c r="V23" s="400">
        <v>1171</v>
      </c>
    </row>
    <row r="24" spans="1:22" ht="17.25">
      <c r="A24" s="83" t="s">
        <v>205</v>
      </c>
      <c r="B24" s="397">
        <f t="shared" si="0"/>
        <v>5964</v>
      </c>
      <c r="C24" s="398">
        <v>0</v>
      </c>
      <c r="D24" s="399">
        <v>0</v>
      </c>
      <c r="E24" s="399">
        <v>0</v>
      </c>
      <c r="F24" s="399">
        <v>1021</v>
      </c>
      <c r="G24" s="399">
        <v>844</v>
      </c>
      <c r="H24" s="399">
        <v>338</v>
      </c>
      <c r="I24" s="399">
        <v>0</v>
      </c>
      <c r="J24" s="399">
        <v>2143</v>
      </c>
      <c r="K24" s="399">
        <v>1413</v>
      </c>
      <c r="L24" s="399">
        <v>0</v>
      </c>
      <c r="M24" s="399">
        <v>0</v>
      </c>
      <c r="N24" s="399">
        <v>0</v>
      </c>
      <c r="O24" s="399">
        <v>0</v>
      </c>
      <c r="P24" s="399">
        <v>0</v>
      </c>
      <c r="Q24" s="399">
        <v>0</v>
      </c>
      <c r="R24" s="399">
        <v>189</v>
      </c>
      <c r="S24" s="399">
        <v>0</v>
      </c>
      <c r="T24" s="399">
        <v>0</v>
      </c>
      <c r="U24" s="399">
        <v>0</v>
      </c>
      <c r="V24" s="400">
        <v>16</v>
      </c>
    </row>
    <row r="25" spans="1:22" ht="17.25">
      <c r="A25" s="155" t="s">
        <v>206</v>
      </c>
      <c r="B25" s="390">
        <f t="shared" si="0"/>
        <v>2784</v>
      </c>
      <c r="C25" s="388">
        <v>0</v>
      </c>
      <c r="D25" s="376">
        <v>0</v>
      </c>
      <c r="E25" s="376">
        <v>0</v>
      </c>
      <c r="F25" s="376">
        <v>582</v>
      </c>
      <c r="G25" s="376">
        <v>0</v>
      </c>
      <c r="H25" s="376">
        <v>0</v>
      </c>
      <c r="I25" s="376">
        <v>0</v>
      </c>
      <c r="J25" s="376">
        <v>1882</v>
      </c>
      <c r="K25" s="376">
        <v>0</v>
      </c>
      <c r="L25" s="376">
        <v>0</v>
      </c>
      <c r="M25" s="376">
        <v>0</v>
      </c>
      <c r="N25" s="376">
        <v>0</v>
      </c>
      <c r="O25" s="376">
        <v>289</v>
      </c>
      <c r="P25" s="376">
        <v>0</v>
      </c>
      <c r="Q25" s="376">
        <v>0</v>
      </c>
      <c r="R25" s="376">
        <v>0</v>
      </c>
      <c r="S25" s="376">
        <v>0</v>
      </c>
      <c r="T25" s="376">
        <v>0</v>
      </c>
      <c r="U25" s="376">
        <v>0</v>
      </c>
      <c r="V25" s="389">
        <v>31</v>
      </c>
    </row>
    <row r="26" spans="1:22" ht="17.25">
      <c r="A26" s="382" t="s">
        <v>207</v>
      </c>
      <c r="B26" s="394">
        <f t="shared" si="0"/>
        <v>32</v>
      </c>
      <c r="C26" s="395">
        <v>0</v>
      </c>
      <c r="D26" s="396">
        <v>0</v>
      </c>
      <c r="E26" s="396">
        <v>0</v>
      </c>
      <c r="F26" s="396">
        <v>0</v>
      </c>
      <c r="G26" s="396">
        <v>0</v>
      </c>
      <c r="H26" s="396">
        <v>0</v>
      </c>
      <c r="I26" s="396">
        <v>0</v>
      </c>
      <c r="J26" s="396">
        <v>0</v>
      </c>
      <c r="K26" s="396">
        <v>0</v>
      </c>
      <c r="L26" s="396">
        <v>0</v>
      </c>
      <c r="M26" s="396">
        <v>0</v>
      </c>
      <c r="N26" s="396">
        <v>0</v>
      </c>
      <c r="O26" s="396">
        <v>0</v>
      </c>
      <c r="P26" s="396">
        <v>0</v>
      </c>
      <c r="Q26" s="396">
        <v>0</v>
      </c>
      <c r="R26" s="396">
        <v>0</v>
      </c>
      <c r="S26" s="396">
        <v>0</v>
      </c>
      <c r="T26" s="396">
        <v>0</v>
      </c>
      <c r="U26" s="396">
        <v>0</v>
      </c>
      <c r="V26" s="401">
        <v>32</v>
      </c>
    </row>
    <row r="27" spans="1:22" ht="17.25">
      <c r="A27" s="83" t="s">
        <v>208</v>
      </c>
      <c r="B27" s="397">
        <f t="shared" si="0"/>
        <v>5604</v>
      </c>
      <c r="C27" s="398">
        <v>7</v>
      </c>
      <c r="D27" s="399">
        <v>0</v>
      </c>
      <c r="E27" s="399">
        <v>24</v>
      </c>
      <c r="F27" s="399">
        <v>1076</v>
      </c>
      <c r="G27" s="399">
        <v>105</v>
      </c>
      <c r="H27" s="399">
        <v>284</v>
      </c>
      <c r="I27" s="399">
        <v>0</v>
      </c>
      <c r="J27" s="399">
        <v>0</v>
      </c>
      <c r="K27" s="399">
        <v>0</v>
      </c>
      <c r="L27" s="399">
        <v>0</v>
      </c>
      <c r="M27" s="399">
        <v>0</v>
      </c>
      <c r="N27" s="399">
        <v>0</v>
      </c>
      <c r="O27" s="399">
        <v>4042</v>
      </c>
      <c r="P27" s="399">
        <v>0</v>
      </c>
      <c r="Q27" s="399">
        <v>0</v>
      </c>
      <c r="R27" s="399">
        <v>0</v>
      </c>
      <c r="S27" s="399">
        <v>0</v>
      </c>
      <c r="T27" s="399">
        <v>0</v>
      </c>
      <c r="U27" s="399">
        <v>0</v>
      </c>
      <c r="V27" s="400">
        <v>66</v>
      </c>
    </row>
    <row r="28" spans="1:22" ht="17.25">
      <c r="A28" s="83" t="s">
        <v>209</v>
      </c>
      <c r="B28" s="397">
        <f t="shared" si="0"/>
        <v>368</v>
      </c>
      <c r="C28" s="398">
        <v>0</v>
      </c>
      <c r="D28" s="399">
        <v>0</v>
      </c>
      <c r="E28" s="399">
        <v>0</v>
      </c>
      <c r="F28" s="399">
        <v>353</v>
      </c>
      <c r="G28" s="399">
        <v>0</v>
      </c>
      <c r="H28" s="399">
        <v>0</v>
      </c>
      <c r="I28" s="399">
        <v>0</v>
      </c>
      <c r="J28" s="399">
        <v>0</v>
      </c>
      <c r="K28" s="399">
        <v>0</v>
      </c>
      <c r="L28" s="399">
        <v>0</v>
      </c>
      <c r="M28" s="399">
        <v>0</v>
      </c>
      <c r="N28" s="399">
        <v>0</v>
      </c>
      <c r="O28" s="399">
        <v>0</v>
      </c>
      <c r="P28" s="399">
        <v>0</v>
      </c>
      <c r="Q28" s="399">
        <v>0</v>
      </c>
      <c r="R28" s="399">
        <v>0</v>
      </c>
      <c r="S28" s="399">
        <v>0</v>
      </c>
      <c r="T28" s="399">
        <v>0</v>
      </c>
      <c r="U28" s="399">
        <v>0</v>
      </c>
      <c r="V28" s="400">
        <v>15</v>
      </c>
    </row>
    <row r="29" spans="1:22" ht="17.25">
      <c r="A29" s="83" t="s">
        <v>210</v>
      </c>
      <c r="B29" s="397">
        <f t="shared" si="0"/>
        <v>4091</v>
      </c>
      <c r="C29" s="398">
        <v>2335</v>
      </c>
      <c r="D29" s="399">
        <v>22</v>
      </c>
      <c r="E29" s="399">
        <v>454</v>
      </c>
      <c r="F29" s="399">
        <v>742</v>
      </c>
      <c r="G29" s="399">
        <v>268</v>
      </c>
      <c r="H29" s="399">
        <v>95</v>
      </c>
      <c r="I29" s="399">
        <v>5</v>
      </c>
      <c r="J29" s="399">
        <v>0</v>
      </c>
      <c r="K29" s="399">
        <v>0</v>
      </c>
      <c r="L29" s="399">
        <v>113</v>
      </c>
      <c r="M29" s="399">
        <v>0</v>
      </c>
      <c r="N29" s="399">
        <v>0</v>
      </c>
      <c r="O29" s="399">
        <v>18</v>
      </c>
      <c r="P29" s="399">
        <v>0</v>
      </c>
      <c r="Q29" s="399">
        <v>0</v>
      </c>
      <c r="R29" s="399">
        <v>0</v>
      </c>
      <c r="S29" s="399">
        <v>0</v>
      </c>
      <c r="T29" s="399">
        <v>0</v>
      </c>
      <c r="U29" s="399">
        <v>13</v>
      </c>
      <c r="V29" s="400">
        <v>26</v>
      </c>
    </row>
    <row r="30" spans="1:22" ht="17.25">
      <c r="A30" s="155" t="s">
        <v>211</v>
      </c>
      <c r="B30" s="390">
        <f t="shared" si="0"/>
        <v>3145</v>
      </c>
      <c r="C30" s="388">
        <v>0</v>
      </c>
      <c r="D30" s="376">
        <v>0</v>
      </c>
      <c r="E30" s="376">
        <v>0</v>
      </c>
      <c r="F30" s="376">
        <v>313</v>
      </c>
      <c r="G30" s="376">
        <v>0</v>
      </c>
      <c r="H30" s="376">
        <v>158</v>
      </c>
      <c r="I30" s="376">
        <v>0</v>
      </c>
      <c r="J30" s="376">
        <v>391</v>
      </c>
      <c r="K30" s="376">
        <v>0</v>
      </c>
      <c r="L30" s="376">
        <v>0</v>
      </c>
      <c r="M30" s="376">
        <v>0</v>
      </c>
      <c r="N30" s="376">
        <v>0</v>
      </c>
      <c r="O30" s="376">
        <v>2171</v>
      </c>
      <c r="P30" s="376">
        <v>0</v>
      </c>
      <c r="Q30" s="376">
        <v>0</v>
      </c>
      <c r="R30" s="376">
        <v>0</v>
      </c>
      <c r="S30" s="376">
        <v>0</v>
      </c>
      <c r="T30" s="376">
        <v>0</v>
      </c>
      <c r="U30" s="376">
        <v>0</v>
      </c>
      <c r="V30" s="389">
        <v>112</v>
      </c>
    </row>
    <row r="31" spans="1:22" ht="17.25">
      <c r="A31" s="382" t="s">
        <v>212</v>
      </c>
      <c r="B31" s="394">
        <f t="shared" si="0"/>
        <v>374</v>
      </c>
      <c r="C31" s="395">
        <v>14</v>
      </c>
      <c r="D31" s="396">
        <v>0</v>
      </c>
      <c r="E31" s="396">
        <v>0</v>
      </c>
      <c r="F31" s="396">
        <v>360</v>
      </c>
      <c r="G31" s="396">
        <v>0</v>
      </c>
      <c r="H31" s="396">
        <v>0</v>
      </c>
      <c r="I31" s="396">
        <v>0</v>
      </c>
      <c r="J31" s="396">
        <v>0</v>
      </c>
      <c r="K31" s="396">
        <v>0</v>
      </c>
      <c r="L31" s="396">
        <v>0</v>
      </c>
      <c r="M31" s="396">
        <v>0</v>
      </c>
      <c r="N31" s="396">
        <v>0</v>
      </c>
      <c r="O31" s="396">
        <v>0</v>
      </c>
      <c r="P31" s="396">
        <v>0</v>
      </c>
      <c r="Q31" s="396">
        <v>0</v>
      </c>
      <c r="R31" s="396">
        <v>0</v>
      </c>
      <c r="S31" s="396">
        <v>0</v>
      </c>
      <c r="T31" s="396">
        <v>0</v>
      </c>
      <c r="U31" s="396">
        <v>0</v>
      </c>
      <c r="V31" s="401">
        <v>0</v>
      </c>
    </row>
    <row r="32" spans="1:22" ht="17.25">
      <c r="A32" s="83" t="s">
        <v>213</v>
      </c>
      <c r="B32" s="397">
        <f t="shared" si="0"/>
        <v>617</v>
      </c>
      <c r="C32" s="398">
        <v>0</v>
      </c>
      <c r="D32" s="399">
        <v>0</v>
      </c>
      <c r="E32" s="399">
        <v>0</v>
      </c>
      <c r="F32" s="399">
        <v>255</v>
      </c>
      <c r="G32" s="399">
        <v>0</v>
      </c>
      <c r="H32" s="399">
        <v>0</v>
      </c>
      <c r="I32" s="399">
        <v>0</v>
      </c>
      <c r="J32" s="399">
        <v>0</v>
      </c>
      <c r="K32" s="399">
        <v>0</v>
      </c>
      <c r="L32" s="399">
        <v>0</v>
      </c>
      <c r="M32" s="399">
        <v>0</v>
      </c>
      <c r="N32" s="399">
        <v>0</v>
      </c>
      <c r="O32" s="399">
        <v>0</v>
      </c>
      <c r="P32" s="399">
        <v>0</v>
      </c>
      <c r="Q32" s="399">
        <v>0</v>
      </c>
      <c r="R32" s="399">
        <v>0</v>
      </c>
      <c r="S32" s="399">
        <v>0</v>
      </c>
      <c r="T32" s="399">
        <v>0</v>
      </c>
      <c r="U32" s="399">
        <v>0</v>
      </c>
      <c r="V32" s="400">
        <v>362</v>
      </c>
    </row>
    <row r="33" spans="1:22" ht="17.25">
      <c r="A33" s="83" t="s">
        <v>214</v>
      </c>
      <c r="B33" s="397">
        <f t="shared" si="0"/>
        <v>954</v>
      </c>
      <c r="C33" s="398">
        <v>0</v>
      </c>
      <c r="D33" s="399">
        <v>0</v>
      </c>
      <c r="E33" s="399">
        <v>0</v>
      </c>
      <c r="F33" s="399">
        <v>100</v>
      </c>
      <c r="G33" s="399">
        <v>0</v>
      </c>
      <c r="H33" s="399">
        <v>63</v>
      </c>
      <c r="I33" s="399">
        <v>0</v>
      </c>
      <c r="J33" s="399">
        <v>672</v>
      </c>
      <c r="K33" s="399">
        <v>0</v>
      </c>
      <c r="L33" s="399">
        <v>0</v>
      </c>
      <c r="M33" s="399">
        <v>0</v>
      </c>
      <c r="N33" s="399">
        <v>0</v>
      </c>
      <c r="O33" s="399">
        <v>0</v>
      </c>
      <c r="P33" s="399">
        <v>0</v>
      </c>
      <c r="Q33" s="399">
        <v>0</v>
      </c>
      <c r="R33" s="399">
        <v>86</v>
      </c>
      <c r="S33" s="399">
        <v>0</v>
      </c>
      <c r="T33" s="399">
        <v>0</v>
      </c>
      <c r="U33" s="399">
        <v>0</v>
      </c>
      <c r="V33" s="400">
        <v>33</v>
      </c>
    </row>
    <row r="34" spans="1:22" ht="17.25">
      <c r="A34" s="83" t="s">
        <v>215</v>
      </c>
      <c r="B34" s="397">
        <f t="shared" si="0"/>
        <v>2511</v>
      </c>
      <c r="C34" s="398">
        <v>0</v>
      </c>
      <c r="D34" s="399">
        <v>18</v>
      </c>
      <c r="E34" s="399">
        <v>199</v>
      </c>
      <c r="F34" s="399">
        <v>391</v>
      </c>
      <c r="G34" s="399">
        <v>504</v>
      </c>
      <c r="H34" s="399">
        <v>153</v>
      </c>
      <c r="I34" s="399">
        <v>0</v>
      </c>
      <c r="J34" s="399">
        <v>738</v>
      </c>
      <c r="K34" s="399">
        <v>0</v>
      </c>
      <c r="L34" s="399">
        <v>174</v>
      </c>
      <c r="M34" s="399">
        <v>328</v>
      </c>
      <c r="N34" s="399">
        <v>0</v>
      </c>
      <c r="O34" s="399">
        <v>0</v>
      </c>
      <c r="P34" s="399">
        <v>0</v>
      </c>
      <c r="Q34" s="399">
        <v>0</v>
      </c>
      <c r="R34" s="399">
        <v>0</v>
      </c>
      <c r="S34" s="399">
        <v>0</v>
      </c>
      <c r="T34" s="399">
        <v>0</v>
      </c>
      <c r="U34" s="399">
        <v>6</v>
      </c>
      <c r="V34" s="400">
        <v>0</v>
      </c>
    </row>
    <row r="35" spans="1:22" ht="17.25">
      <c r="A35" s="155" t="s">
        <v>216</v>
      </c>
      <c r="B35" s="410">
        <f t="shared" si="0"/>
        <v>3713</v>
      </c>
      <c r="C35" s="411">
        <v>2256</v>
      </c>
      <c r="D35" s="412">
        <v>16</v>
      </c>
      <c r="E35" s="412">
        <v>3</v>
      </c>
      <c r="F35" s="412">
        <v>597</v>
      </c>
      <c r="G35" s="412">
        <v>516</v>
      </c>
      <c r="H35" s="412">
        <v>44</v>
      </c>
      <c r="I35" s="412">
        <v>2</v>
      </c>
      <c r="J35" s="412">
        <v>0</v>
      </c>
      <c r="K35" s="412">
        <v>0</v>
      </c>
      <c r="L35" s="412">
        <v>171</v>
      </c>
      <c r="M35" s="412">
        <v>3</v>
      </c>
      <c r="N35" s="412">
        <v>0</v>
      </c>
      <c r="O35" s="412">
        <v>0</v>
      </c>
      <c r="P35" s="412">
        <v>0</v>
      </c>
      <c r="Q35" s="412">
        <v>0</v>
      </c>
      <c r="R35" s="412">
        <v>0</v>
      </c>
      <c r="S35" s="412">
        <v>0</v>
      </c>
      <c r="T35" s="412">
        <v>0</v>
      </c>
      <c r="U35" s="412">
        <v>11</v>
      </c>
      <c r="V35" s="414">
        <v>94</v>
      </c>
    </row>
    <row r="36" spans="1:22" ht="17.25">
      <c r="A36" s="83" t="s">
        <v>217</v>
      </c>
      <c r="B36" s="397">
        <f t="shared" si="0"/>
        <v>781</v>
      </c>
      <c r="C36" s="398">
        <v>0</v>
      </c>
      <c r="D36" s="399">
        <v>0</v>
      </c>
      <c r="E36" s="399">
        <v>0</v>
      </c>
      <c r="F36" s="399">
        <v>0</v>
      </c>
      <c r="G36" s="399">
        <v>0</v>
      </c>
      <c r="H36" s="399">
        <v>0</v>
      </c>
      <c r="I36" s="399">
        <v>0</v>
      </c>
      <c r="J36" s="399">
        <v>0</v>
      </c>
      <c r="K36" s="399">
        <v>0</v>
      </c>
      <c r="L36" s="399">
        <v>0</v>
      </c>
      <c r="M36" s="399">
        <v>0</v>
      </c>
      <c r="N36" s="399">
        <v>0</v>
      </c>
      <c r="O36" s="399">
        <v>0</v>
      </c>
      <c r="P36" s="399">
        <v>0</v>
      </c>
      <c r="Q36" s="399">
        <v>0</v>
      </c>
      <c r="R36" s="399">
        <v>0</v>
      </c>
      <c r="S36" s="399">
        <v>0</v>
      </c>
      <c r="T36" s="399">
        <v>0</v>
      </c>
      <c r="U36" s="399">
        <v>0</v>
      </c>
      <c r="V36" s="400">
        <v>781</v>
      </c>
    </row>
    <row r="37" spans="1:22" ht="17.25">
      <c r="A37" s="83" t="s">
        <v>218</v>
      </c>
      <c r="B37" s="397">
        <f t="shared" si="0"/>
        <v>435</v>
      </c>
      <c r="C37" s="398">
        <v>0</v>
      </c>
      <c r="D37" s="399">
        <v>0</v>
      </c>
      <c r="E37" s="399">
        <v>0</v>
      </c>
      <c r="F37" s="399">
        <v>408</v>
      </c>
      <c r="G37" s="399">
        <v>0</v>
      </c>
      <c r="H37" s="399">
        <v>0</v>
      </c>
      <c r="I37" s="399">
        <v>0</v>
      </c>
      <c r="J37" s="399">
        <v>0</v>
      </c>
      <c r="K37" s="399">
        <v>0</v>
      </c>
      <c r="L37" s="399">
        <v>0</v>
      </c>
      <c r="M37" s="399">
        <v>0</v>
      </c>
      <c r="N37" s="399">
        <v>0</v>
      </c>
      <c r="O37" s="399">
        <v>2</v>
      </c>
      <c r="P37" s="399">
        <v>0</v>
      </c>
      <c r="Q37" s="399">
        <v>0</v>
      </c>
      <c r="R37" s="399">
        <v>0</v>
      </c>
      <c r="S37" s="399">
        <v>0</v>
      </c>
      <c r="T37" s="399">
        <v>0</v>
      </c>
      <c r="U37" s="399">
        <v>0</v>
      </c>
      <c r="V37" s="400">
        <v>25</v>
      </c>
    </row>
    <row r="38" spans="1:22" ht="17.25">
      <c r="A38" s="83" t="s">
        <v>219</v>
      </c>
      <c r="B38" s="397">
        <f t="shared" si="0"/>
        <v>1090</v>
      </c>
      <c r="C38" s="398">
        <v>0</v>
      </c>
      <c r="D38" s="399">
        <v>0</v>
      </c>
      <c r="E38" s="399">
        <v>0</v>
      </c>
      <c r="F38" s="399">
        <v>189</v>
      </c>
      <c r="G38" s="399">
        <v>0</v>
      </c>
      <c r="H38" s="399">
        <v>0</v>
      </c>
      <c r="I38" s="399">
        <v>0</v>
      </c>
      <c r="J38" s="399">
        <v>901</v>
      </c>
      <c r="K38" s="399">
        <v>0</v>
      </c>
      <c r="L38" s="399">
        <v>0</v>
      </c>
      <c r="M38" s="399">
        <v>0</v>
      </c>
      <c r="N38" s="399">
        <v>0</v>
      </c>
      <c r="O38" s="399">
        <v>0</v>
      </c>
      <c r="P38" s="399">
        <v>0</v>
      </c>
      <c r="Q38" s="399">
        <v>0</v>
      </c>
      <c r="R38" s="399">
        <v>0</v>
      </c>
      <c r="S38" s="399">
        <v>0</v>
      </c>
      <c r="T38" s="399">
        <v>0</v>
      </c>
      <c r="U38" s="399">
        <v>0</v>
      </c>
      <c r="V38" s="400">
        <v>0</v>
      </c>
    </row>
    <row r="39" spans="1:22" ht="17.25">
      <c r="A39" s="83" t="s">
        <v>220</v>
      </c>
      <c r="B39" s="397">
        <f t="shared" si="0"/>
        <v>3354</v>
      </c>
      <c r="C39" s="398">
        <v>1586</v>
      </c>
      <c r="D39" s="399">
        <v>24</v>
      </c>
      <c r="E39" s="399">
        <v>398</v>
      </c>
      <c r="F39" s="399">
        <v>0</v>
      </c>
      <c r="G39" s="399">
        <v>0</v>
      </c>
      <c r="H39" s="399">
        <v>206</v>
      </c>
      <c r="I39" s="399">
        <v>15</v>
      </c>
      <c r="J39" s="399">
        <v>942</v>
      </c>
      <c r="K39" s="399">
        <v>0</v>
      </c>
      <c r="L39" s="399">
        <v>162</v>
      </c>
      <c r="M39" s="399">
        <v>6</v>
      </c>
      <c r="N39" s="399">
        <v>0</v>
      </c>
      <c r="O39" s="399">
        <v>0</v>
      </c>
      <c r="P39" s="399">
        <v>0</v>
      </c>
      <c r="Q39" s="399">
        <v>0</v>
      </c>
      <c r="R39" s="399">
        <v>0</v>
      </c>
      <c r="S39" s="399">
        <v>0</v>
      </c>
      <c r="T39" s="399">
        <v>0</v>
      </c>
      <c r="U39" s="399">
        <v>0</v>
      </c>
      <c r="V39" s="400">
        <v>15</v>
      </c>
    </row>
    <row r="40" spans="1:22" ht="17.25">
      <c r="A40" s="155" t="s">
        <v>171</v>
      </c>
      <c r="B40" s="390">
        <f t="shared" si="0"/>
        <v>54</v>
      </c>
      <c r="C40" s="388">
        <v>0</v>
      </c>
      <c r="D40" s="376">
        <v>0</v>
      </c>
      <c r="E40" s="376">
        <v>0</v>
      </c>
      <c r="F40" s="376">
        <v>32</v>
      </c>
      <c r="G40" s="376">
        <v>0</v>
      </c>
      <c r="H40" s="376">
        <v>21</v>
      </c>
      <c r="I40" s="376">
        <v>0</v>
      </c>
      <c r="J40" s="376">
        <v>0</v>
      </c>
      <c r="K40" s="376">
        <v>0</v>
      </c>
      <c r="L40" s="376">
        <v>0</v>
      </c>
      <c r="M40" s="376">
        <v>0</v>
      </c>
      <c r="N40" s="376">
        <v>0</v>
      </c>
      <c r="O40" s="376">
        <v>1</v>
      </c>
      <c r="P40" s="376">
        <v>0</v>
      </c>
      <c r="Q40" s="376">
        <v>0</v>
      </c>
      <c r="R40" s="376">
        <v>0</v>
      </c>
      <c r="S40" s="376">
        <v>0</v>
      </c>
      <c r="T40" s="376">
        <v>0</v>
      </c>
      <c r="U40" s="376">
        <v>0</v>
      </c>
      <c r="V40" s="389">
        <v>0</v>
      </c>
    </row>
    <row r="41" spans="1:22" ht="17.25">
      <c r="A41" s="83" t="s">
        <v>275</v>
      </c>
      <c r="B41" s="394">
        <f t="shared" si="0"/>
        <v>3049</v>
      </c>
      <c r="C41" s="395">
        <v>1768</v>
      </c>
      <c r="D41" s="396">
        <v>21</v>
      </c>
      <c r="E41" s="396">
        <v>0</v>
      </c>
      <c r="F41" s="396">
        <v>380</v>
      </c>
      <c r="G41" s="396">
        <v>234</v>
      </c>
      <c r="H41" s="396">
        <v>111</v>
      </c>
      <c r="I41" s="396">
        <v>6</v>
      </c>
      <c r="J41" s="396">
        <v>107</v>
      </c>
      <c r="K41" s="396">
        <v>0</v>
      </c>
      <c r="L41" s="396">
        <v>100</v>
      </c>
      <c r="M41" s="396">
        <v>24</v>
      </c>
      <c r="N41" s="396">
        <v>229</v>
      </c>
      <c r="O41" s="396">
        <v>0</v>
      </c>
      <c r="P41" s="396">
        <v>0</v>
      </c>
      <c r="Q41" s="396">
        <v>0</v>
      </c>
      <c r="R41" s="396">
        <v>0</v>
      </c>
      <c r="S41" s="396">
        <v>0</v>
      </c>
      <c r="T41" s="396">
        <v>0</v>
      </c>
      <c r="U41" s="396">
        <v>0</v>
      </c>
      <c r="V41" s="401">
        <v>69</v>
      </c>
    </row>
    <row r="42" spans="1:22" ht="17.25">
      <c r="A42" s="83" t="s">
        <v>276</v>
      </c>
      <c r="B42" s="397">
        <f t="shared" si="0"/>
        <v>41</v>
      </c>
      <c r="C42" s="398">
        <v>0</v>
      </c>
      <c r="D42" s="399">
        <v>0</v>
      </c>
      <c r="E42" s="399">
        <v>0</v>
      </c>
      <c r="F42" s="399">
        <v>40</v>
      </c>
      <c r="G42" s="399">
        <v>0</v>
      </c>
      <c r="H42" s="399">
        <v>0</v>
      </c>
      <c r="I42" s="399">
        <v>0</v>
      </c>
      <c r="J42" s="399">
        <v>0</v>
      </c>
      <c r="K42" s="399">
        <v>0</v>
      </c>
      <c r="L42" s="399">
        <v>0</v>
      </c>
      <c r="M42" s="399">
        <v>0</v>
      </c>
      <c r="N42" s="399">
        <v>0</v>
      </c>
      <c r="O42" s="399">
        <v>1</v>
      </c>
      <c r="P42" s="399">
        <v>0</v>
      </c>
      <c r="Q42" s="399">
        <v>0</v>
      </c>
      <c r="R42" s="399">
        <v>0</v>
      </c>
      <c r="S42" s="399">
        <v>0</v>
      </c>
      <c r="T42" s="399">
        <v>0</v>
      </c>
      <c r="U42" s="399">
        <v>0</v>
      </c>
      <c r="V42" s="400">
        <v>0</v>
      </c>
    </row>
    <row r="43" spans="1:22" ht="17.25">
      <c r="A43" s="83" t="s">
        <v>221</v>
      </c>
      <c r="B43" s="397">
        <f t="shared" si="0"/>
        <v>1207</v>
      </c>
      <c r="C43" s="398">
        <v>557</v>
      </c>
      <c r="D43" s="399">
        <v>7</v>
      </c>
      <c r="E43" s="399">
        <v>41</v>
      </c>
      <c r="F43" s="399">
        <v>296</v>
      </c>
      <c r="G43" s="399">
        <v>110</v>
      </c>
      <c r="H43" s="399">
        <v>38</v>
      </c>
      <c r="I43" s="399">
        <v>3</v>
      </c>
      <c r="J43" s="399">
        <v>52</v>
      </c>
      <c r="K43" s="399">
        <v>1</v>
      </c>
      <c r="L43" s="399">
        <v>40</v>
      </c>
      <c r="M43" s="399">
        <v>1</v>
      </c>
      <c r="N43" s="399">
        <v>0</v>
      </c>
      <c r="O43" s="399">
        <v>0</v>
      </c>
      <c r="P43" s="399">
        <v>0</v>
      </c>
      <c r="Q43" s="399">
        <v>0</v>
      </c>
      <c r="R43" s="399">
        <v>0</v>
      </c>
      <c r="S43" s="399">
        <v>0</v>
      </c>
      <c r="T43" s="399">
        <v>0</v>
      </c>
      <c r="U43" s="399">
        <v>0</v>
      </c>
      <c r="V43" s="400">
        <v>61</v>
      </c>
    </row>
    <row r="44" spans="1:22" ht="17.25">
      <c r="A44" s="83" t="s">
        <v>222</v>
      </c>
      <c r="B44" s="397">
        <f t="shared" si="0"/>
        <v>324</v>
      </c>
      <c r="C44" s="398">
        <v>12</v>
      </c>
      <c r="D44" s="399">
        <v>0</v>
      </c>
      <c r="E44" s="399">
        <v>0</v>
      </c>
      <c r="F44" s="399">
        <v>299</v>
      </c>
      <c r="G44" s="399">
        <v>0</v>
      </c>
      <c r="H44" s="399">
        <v>0</v>
      </c>
      <c r="I44" s="399">
        <v>0</v>
      </c>
      <c r="J44" s="399">
        <v>0</v>
      </c>
      <c r="K44" s="399">
        <v>0</v>
      </c>
      <c r="L44" s="399">
        <v>0</v>
      </c>
      <c r="M44" s="399">
        <v>0</v>
      </c>
      <c r="N44" s="399">
        <v>0</v>
      </c>
      <c r="O44" s="399">
        <v>0</v>
      </c>
      <c r="P44" s="399">
        <v>0</v>
      </c>
      <c r="Q44" s="399">
        <v>0</v>
      </c>
      <c r="R44" s="399">
        <v>0</v>
      </c>
      <c r="S44" s="399">
        <v>0</v>
      </c>
      <c r="T44" s="399">
        <v>0</v>
      </c>
      <c r="U44" s="399">
        <v>0</v>
      </c>
      <c r="V44" s="400">
        <v>13</v>
      </c>
    </row>
    <row r="45" spans="1:22" ht="17.25">
      <c r="A45" s="155" t="s">
        <v>223</v>
      </c>
      <c r="B45" s="390">
        <f t="shared" si="0"/>
        <v>0</v>
      </c>
      <c r="C45" s="388">
        <v>0</v>
      </c>
      <c r="D45" s="376">
        <v>0</v>
      </c>
      <c r="E45" s="376">
        <v>0</v>
      </c>
      <c r="F45" s="376">
        <v>0</v>
      </c>
      <c r="G45" s="376">
        <v>0</v>
      </c>
      <c r="H45" s="376">
        <v>0</v>
      </c>
      <c r="I45" s="376">
        <v>0</v>
      </c>
      <c r="J45" s="376">
        <v>0</v>
      </c>
      <c r="K45" s="376">
        <v>0</v>
      </c>
      <c r="L45" s="376">
        <v>0</v>
      </c>
      <c r="M45" s="376">
        <v>0</v>
      </c>
      <c r="N45" s="376">
        <v>0</v>
      </c>
      <c r="O45" s="376">
        <v>0</v>
      </c>
      <c r="P45" s="376">
        <v>0</v>
      </c>
      <c r="Q45" s="376">
        <v>0</v>
      </c>
      <c r="R45" s="376">
        <v>0</v>
      </c>
      <c r="S45" s="376">
        <v>0</v>
      </c>
      <c r="T45" s="376">
        <v>0</v>
      </c>
      <c r="U45" s="376">
        <v>0</v>
      </c>
      <c r="V45" s="389">
        <v>0</v>
      </c>
    </row>
    <row r="46" spans="1:22" ht="17.25">
      <c r="A46" s="83" t="s">
        <v>224</v>
      </c>
      <c r="B46" s="394">
        <f t="shared" si="0"/>
        <v>2666</v>
      </c>
      <c r="C46" s="395">
        <v>776</v>
      </c>
      <c r="D46" s="396">
        <v>13</v>
      </c>
      <c r="E46" s="396">
        <v>98</v>
      </c>
      <c r="F46" s="396">
        <v>78</v>
      </c>
      <c r="G46" s="396">
        <v>141</v>
      </c>
      <c r="H46" s="396">
        <v>50</v>
      </c>
      <c r="I46" s="396">
        <v>13</v>
      </c>
      <c r="J46" s="396">
        <v>134</v>
      </c>
      <c r="K46" s="396">
        <v>172</v>
      </c>
      <c r="L46" s="396">
        <v>71</v>
      </c>
      <c r="M46" s="396">
        <v>0</v>
      </c>
      <c r="N46" s="396">
        <v>0</v>
      </c>
      <c r="O46" s="396">
        <v>180</v>
      </c>
      <c r="P46" s="396">
        <v>47</v>
      </c>
      <c r="Q46" s="396">
        <v>0</v>
      </c>
      <c r="R46" s="396">
        <v>0</v>
      </c>
      <c r="S46" s="396">
        <v>0</v>
      </c>
      <c r="T46" s="396">
        <v>0</v>
      </c>
      <c r="U46" s="396">
        <v>0</v>
      </c>
      <c r="V46" s="401">
        <v>893</v>
      </c>
    </row>
    <row r="47" spans="1:22" ht="17.25">
      <c r="A47" s="83" t="s">
        <v>225</v>
      </c>
      <c r="B47" s="397">
        <f t="shared" si="0"/>
        <v>1574</v>
      </c>
      <c r="C47" s="398">
        <v>279</v>
      </c>
      <c r="D47" s="399">
        <v>2</v>
      </c>
      <c r="E47" s="399">
        <v>5</v>
      </c>
      <c r="F47" s="399">
        <v>68</v>
      </c>
      <c r="G47" s="399">
        <v>161</v>
      </c>
      <c r="H47" s="399">
        <v>28</v>
      </c>
      <c r="I47" s="399">
        <v>9</v>
      </c>
      <c r="J47" s="399">
        <v>119</v>
      </c>
      <c r="K47" s="399">
        <v>296</v>
      </c>
      <c r="L47" s="399">
        <v>26</v>
      </c>
      <c r="M47" s="399">
        <v>351</v>
      </c>
      <c r="N47" s="399">
        <v>0</v>
      </c>
      <c r="O47" s="399">
        <v>86</v>
      </c>
      <c r="P47" s="399">
        <v>38</v>
      </c>
      <c r="Q47" s="399">
        <v>14</v>
      </c>
      <c r="R47" s="399">
        <v>84</v>
      </c>
      <c r="S47" s="399">
        <v>0</v>
      </c>
      <c r="T47" s="399">
        <v>0</v>
      </c>
      <c r="U47" s="399">
        <v>0</v>
      </c>
      <c r="V47" s="400">
        <v>8</v>
      </c>
    </row>
    <row r="48" spans="1:22" ht="17.25">
      <c r="A48" s="83" t="s">
        <v>226</v>
      </c>
      <c r="B48" s="397">
        <f t="shared" si="0"/>
        <v>661</v>
      </c>
      <c r="C48" s="398">
        <v>351</v>
      </c>
      <c r="D48" s="399">
        <v>2</v>
      </c>
      <c r="E48" s="399">
        <v>0</v>
      </c>
      <c r="F48" s="399">
        <v>191</v>
      </c>
      <c r="G48" s="399">
        <v>0</v>
      </c>
      <c r="H48" s="399">
        <v>42</v>
      </c>
      <c r="I48" s="399">
        <v>0</v>
      </c>
      <c r="J48" s="399">
        <v>0</v>
      </c>
      <c r="K48" s="399">
        <v>0</v>
      </c>
      <c r="L48" s="399">
        <v>67</v>
      </c>
      <c r="M48" s="399">
        <v>0</v>
      </c>
      <c r="N48" s="399">
        <v>0</v>
      </c>
      <c r="O48" s="399">
        <v>1</v>
      </c>
      <c r="P48" s="399">
        <v>0</v>
      </c>
      <c r="Q48" s="399">
        <v>0</v>
      </c>
      <c r="R48" s="399">
        <v>0</v>
      </c>
      <c r="S48" s="399">
        <v>0</v>
      </c>
      <c r="T48" s="399">
        <v>0</v>
      </c>
      <c r="U48" s="399">
        <v>0</v>
      </c>
      <c r="V48" s="400">
        <v>7</v>
      </c>
    </row>
    <row r="49" spans="1:22" ht="17.25">
      <c r="A49" s="83" t="s">
        <v>227</v>
      </c>
      <c r="B49" s="397">
        <f t="shared" si="0"/>
        <v>82</v>
      </c>
      <c r="C49" s="398">
        <v>0</v>
      </c>
      <c r="D49" s="399">
        <v>0</v>
      </c>
      <c r="E49" s="399">
        <v>0</v>
      </c>
      <c r="F49" s="399">
        <v>82</v>
      </c>
      <c r="G49" s="399">
        <v>0</v>
      </c>
      <c r="H49" s="399">
        <v>0</v>
      </c>
      <c r="I49" s="399">
        <v>0</v>
      </c>
      <c r="J49" s="399">
        <v>0</v>
      </c>
      <c r="K49" s="399">
        <v>0</v>
      </c>
      <c r="L49" s="399">
        <v>0</v>
      </c>
      <c r="M49" s="399">
        <v>0</v>
      </c>
      <c r="N49" s="399">
        <v>0</v>
      </c>
      <c r="O49" s="399">
        <v>0</v>
      </c>
      <c r="P49" s="399">
        <v>0</v>
      </c>
      <c r="Q49" s="399">
        <v>0</v>
      </c>
      <c r="R49" s="399">
        <v>0</v>
      </c>
      <c r="S49" s="399">
        <v>0</v>
      </c>
      <c r="T49" s="399">
        <v>0</v>
      </c>
      <c r="U49" s="399">
        <v>0</v>
      </c>
      <c r="V49" s="400">
        <v>0</v>
      </c>
    </row>
    <row r="50" spans="1:22" ht="17.25">
      <c r="A50" s="155" t="s">
        <v>228</v>
      </c>
      <c r="B50" s="390">
        <f t="shared" si="0"/>
        <v>271</v>
      </c>
      <c r="C50" s="388">
        <v>0</v>
      </c>
      <c r="D50" s="376">
        <v>0</v>
      </c>
      <c r="E50" s="376">
        <v>0</v>
      </c>
      <c r="F50" s="376">
        <v>41</v>
      </c>
      <c r="G50" s="376">
        <v>0</v>
      </c>
      <c r="H50" s="376">
        <v>0</v>
      </c>
      <c r="I50" s="376">
        <v>0</v>
      </c>
      <c r="J50" s="376">
        <v>0</v>
      </c>
      <c r="K50" s="376">
        <v>0</v>
      </c>
      <c r="L50" s="376">
        <v>0</v>
      </c>
      <c r="M50" s="376">
        <v>0</v>
      </c>
      <c r="N50" s="376">
        <v>0</v>
      </c>
      <c r="O50" s="376">
        <v>0</v>
      </c>
      <c r="P50" s="376">
        <v>0</v>
      </c>
      <c r="Q50" s="376">
        <v>0</v>
      </c>
      <c r="R50" s="376">
        <v>0</v>
      </c>
      <c r="S50" s="376">
        <v>0</v>
      </c>
      <c r="T50" s="376">
        <v>0</v>
      </c>
      <c r="U50" s="376">
        <v>0</v>
      </c>
      <c r="V50" s="389">
        <v>230</v>
      </c>
    </row>
    <row r="51" spans="1:22" ht="17.25">
      <c r="A51" s="83" t="s">
        <v>229</v>
      </c>
      <c r="B51" s="394">
        <f t="shared" si="0"/>
        <v>0</v>
      </c>
      <c r="C51" s="395">
        <v>0</v>
      </c>
      <c r="D51" s="396">
        <v>0</v>
      </c>
      <c r="E51" s="396">
        <v>0</v>
      </c>
      <c r="F51" s="396">
        <v>0</v>
      </c>
      <c r="G51" s="396">
        <v>0</v>
      </c>
      <c r="H51" s="396">
        <v>0</v>
      </c>
      <c r="I51" s="396">
        <v>0</v>
      </c>
      <c r="J51" s="396">
        <v>0</v>
      </c>
      <c r="K51" s="396">
        <v>0</v>
      </c>
      <c r="L51" s="396">
        <v>0</v>
      </c>
      <c r="M51" s="396">
        <v>0</v>
      </c>
      <c r="N51" s="396">
        <v>0</v>
      </c>
      <c r="O51" s="396">
        <v>0</v>
      </c>
      <c r="P51" s="396">
        <v>0</v>
      </c>
      <c r="Q51" s="396">
        <v>0</v>
      </c>
      <c r="R51" s="396">
        <v>0</v>
      </c>
      <c r="S51" s="396">
        <v>0</v>
      </c>
      <c r="T51" s="396">
        <v>0</v>
      </c>
      <c r="U51" s="396">
        <v>0</v>
      </c>
      <c r="V51" s="401">
        <v>0</v>
      </c>
    </row>
    <row r="52" spans="1:22" ht="17.25">
      <c r="A52" s="83" t="s">
        <v>230</v>
      </c>
      <c r="B52" s="397">
        <f t="shared" si="0"/>
        <v>1020</v>
      </c>
      <c r="C52" s="398">
        <v>0</v>
      </c>
      <c r="D52" s="399">
        <v>0</v>
      </c>
      <c r="E52" s="399">
        <v>0</v>
      </c>
      <c r="F52" s="399">
        <v>162</v>
      </c>
      <c r="G52" s="399">
        <v>355</v>
      </c>
      <c r="H52" s="399">
        <v>136</v>
      </c>
      <c r="I52" s="399">
        <v>4</v>
      </c>
      <c r="J52" s="399">
        <v>351</v>
      </c>
      <c r="K52" s="399">
        <v>0</v>
      </c>
      <c r="L52" s="399">
        <v>0</v>
      </c>
      <c r="M52" s="399">
        <v>0</v>
      </c>
      <c r="N52" s="399">
        <v>0</v>
      </c>
      <c r="O52" s="399">
        <v>0</v>
      </c>
      <c r="P52" s="399">
        <v>0</v>
      </c>
      <c r="Q52" s="399">
        <v>0</v>
      </c>
      <c r="R52" s="399">
        <v>0</v>
      </c>
      <c r="S52" s="399">
        <v>0</v>
      </c>
      <c r="T52" s="399">
        <v>0</v>
      </c>
      <c r="U52" s="399">
        <v>0</v>
      </c>
      <c r="V52" s="400">
        <v>12</v>
      </c>
    </row>
    <row r="53" spans="1:22" ht="17.25">
      <c r="A53" s="83" t="s">
        <v>231</v>
      </c>
      <c r="B53" s="397">
        <f t="shared" si="0"/>
        <v>295</v>
      </c>
      <c r="C53" s="398">
        <v>0</v>
      </c>
      <c r="D53" s="399">
        <v>0</v>
      </c>
      <c r="E53" s="399">
        <v>0</v>
      </c>
      <c r="F53" s="399">
        <v>260</v>
      </c>
      <c r="G53" s="399">
        <v>0</v>
      </c>
      <c r="H53" s="399">
        <v>35</v>
      </c>
      <c r="I53" s="399">
        <v>0</v>
      </c>
      <c r="J53" s="399">
        <v>0</v>
      </c>
      <c r="K53" s="399">
        <v>0</v>
      </c>
      <c r="L53" s="399">
        <v>0</v>
      </c>
      <c r="M53" s="399">
        <v>0</v>
      </c>
      <c r="N53" s="399">
        <v>0</v>
      </c>
      <c r="O53" s="399">
        <v>0</v>
      </c>
      <c r="P53" s="399">
        <v>0</v>
      </c>
      <c r="Q53" s="399">
        <v>0</v>
      </c>
      <c r="R53" s="399">
        <v>0</v>
      </c>
      <c r="S53" s="399">
        <v>0</v>
      </c>
      <c r="T53" s="399">
        <v>0</v>
      </c>
      <c r="U53" s="399">
        <v>0</v>
      </c>
      <c r="V53" s="400">
        <v>0</v>
      </c>
    </row>
    <row r="54" spans="1:22" ht="17.25">
      <c r="A54" s="83" t="s">
        <v>232</v>
      </c>
      <c r="B54" s="397">
        <f t="shared" si="0"/>
        <v>384</v>
      </c>
      <c r="C54" s="398">
        <v>0</v>
      </c>
      <c r="D54" s="399">
        <v>0</v>
      </c>
      <c r="E54" s="399">
        <v>0</v>
      </c>
      <c r="F54" s="399">
        <v>321</v>
      </c>
      <c r="G54" s="399">
        <v>0</v>
      </c>
      <c r="H54" s="399">
        <v>63</v>
      </c>
      <c r="I54" s="399">
        <v>0</v>
      </c>
      <c r="J54" s="399">
        <v>0</v>
      </c>
      <c r="K54" s="399">
        <v>0</v>
      </c>
      <c r="L54" s="399">
        <v>0</v>
      </c>
      <c r="M54" s="399">
        <v>0</v>
      </c>
      <c r="N54" s="399">
        <v>0</v>
      </c>
      <c r="O54" s="399">
        <v>0</v>
      </c>
      <c r="P54" s="399">
        <v>0</v>
      </c>
      <c r="Q54" s="399">
        <v>0</v>
      </c>
      <c r="R54" s="399">
        <v>0</v>
      </c>
      <c r="S54" s="399">
        <v>0</v>
      </c>
      <c r="T54" s="399">
        <v>0</v>
      </c>
      <c r="U54" s="399">
        <v>0</v>
      </c>
      <c r="V54" s="400">
        <v>0</v>
      </c>
    </row>
    <row r="55" spans="1:22" ht="17.25">
      <c r="A55" s="155" t="s">
        <v>233</v>
      </c>
      <c r="B55" s="390">
        <f t="shared" si="0"/>
        <v>1570</v>
      </c>
      <c r="C55" s="388">
        <v>0</v>
      </c>
      <c r="D55" s="376">
        <v>0</v>
      </c>
      <c r="E55" s="376">
        <v>200</v>
      </c>
      <c r="F55" s="376">
        <v>249</v>
      </c>
      <c r="G55" s="376">
        <v>273</v>
      </c>
      <c r="H55" s="376">
        <v>141</v>
      </c>
      <c r="I55" s="376">
        <v>0</v>
      </c>
      <c r="J55" s="376">
        <v>426</v>
      </c>
      <c r="K55" s="376">
        <v>0</v>
      </c>
      <c r="L55" s="376">
        <v>0</v>
      </c>
      <c r="M55" s="376">
        <v>281</v>
      </c>
      <c r="N55" s="376">
        <v>0</v>
      </c>
      <c r="O55" s="376">
        <v>0</v>
      </c>
      <c r="P55" s="376">
        <v>0</v>
      </c>
      <c r="Q55" s="376">
        <v>0</v>
      </c>
      <c r="R55" s="376">
        <v>0</v>
      </c>
      <c r="S55" s="376">
        <v>0</v>
      </c>
      <c r="T55" s="376">
        <v>0</v>
      </c>
      <c r="U55" s="376">
        <v>0</v>
      </c>
      <c r="V55" s="389">
        <v>0</v>
      </c>
    </row>
    <row r="56" spans="1:22" ht="17.25">
      <c r="A56" s="83" t="s">
        <v>234</v>
      </c>
      <c r="B56" s="394">
        <f t="shared" si="0"/>
        <v>525</v>
      </c>
      <c r="C56" s="395">
        <v>51</v>
      </c>
      <c r="D56" s="396">
        <v>0</v>
      </c>
      <c r="E56" s="396">
        <v>0</v>
      </c>
      <c r="F56" s="396">
        <v>63</v>
      </c>
      <c r="G56" s="396">
        <v>172</v>
      </c>
      <c r="H56" s="396">
        <v>60</v>
      </c>
      <c r="I56" s="396">
        <v>7</v>
      </c>
      <c r="J56" s="396">
        <v>164</v>
      </c>
      <c r="K56" s="396">
        <v>0</v>
      </c>
      <c r="L56" s="396">
        <v>0</v>
      </c>
      <c r="M56" s="396">
        <v>0</v>
      </c>
      <c r="N56" s="396">
        <v>0</v>
      </c>
      <c r="O56" s="396">
        <v>0</v>
      </c>
      <c r="P56" s="396">
        <v>0</v>
      </c>
      <c r="Q56" s="396">
        <v>0</v>
      </c>
      <c r="R56" s="396">
        <v>0</v>
      </c>
      <c r="S56" s="396">
        <v>0</v>
      </c>
      <c r="T56" s="396">
        <v>0</v>
      </c>
      <c r="U56" s="396">
        <v>0</v>
      </c>
      <c r="V56" s="401">
        <v>8</v>
      </c>
    </row>
    <row r="57" spans="1:22" ht="17.25">
      <c r="A57" s="83" t="s">
        <v>235</v>
      </c>
      <c r="B57" s="397">
        <f t="shared" si="0"/>
        <v>324</v>
      </c>
      <c r="C57" s="398">
        <v>47</v>
      </c>
      <c r="D57" s="399">
        <v>0</v>
      </c>
      <c r="E57" s="399">
        <v>0</v>
      </c>
      <c r="F57" s="399">
        <v>70</v>
      </c>
      <c r="G57" s="399">
        <v>3</v>
      </c>
      <c r="H57" s="399">
        <v>70</v>
      </c>
      <c r="I57" s="399">
        <v>8</v>
      </c>
      <c r="J57" s="399">
        <v>126</v>
      </c>
      <c r="K57" s="399">
        <v>0</v>
      </c>
      <c r="L57" s="399">
        <v>0</v>
      </c>
      <c r="M57" s="399">
        <v>0</v>
      </c>
      <c r="N57" s="399">
        <v>0</v>
      </c>
      <c r="O57" s="399">
        <v>0</v>
      </c>
      <c r="P57" s="399">
        <v>0</v>
      </c>
      <c r="Q57" s="399">
        <v>0</v>
      </c>
      <c r="R57" s="399">
        <v>0</v>
      </c>
      <c r="S57" s="399">
        <v>0</v>
      </c>
      <c r="T57" s="399">
        <v>0</v>
      </c>
      <c r="U57" s="399">
        <v>0</v>
      </c>
      <c r="V57" s="400">
        <v>0</v>
      </c>
    </row>
    <row r="58" spans="1:22" ht="17.25">
      <c r="A58" s="83" t="s">
        <v>236</v>
      </c>
      <c r="B58" s="397">
        <f t="shared" si="0"/>
        <v>174</v>
      </c>
      <c r="C58" s="398">
        <v>23</v>
      </c>
      <c r="D58" s="399">
        <v>0</v>
      </c>
      <c r="E58" s="399">
        <v>0</v>
      </c>
      <c r="F58" s="399">
        <v>40</v>
      </c>
      <c r="G58" s="399">
        <v>2</v>
      </c>
      <c r="H58" s="399">
        <v>29</v>
      </c>
      <c r="I58" s="399">
        <v>3</v>
      </c>
      <c r="J58" s="399">
        <v>77</v>
      </c>
      <c r="K58" s="399">
        <v>0</v>
      </c>
      <c r="L58" s="399">
        <v>0</v>
      </c>
      <c r="M58" s="399">
        <v>0</v>
      </c>
      <c r="N58" s="399">
        <v>0</v>
      </c>
      <c r="O58" s="399">
        <v>0</v>
      </c>
      <c r="P58" s="399">
        <v>0</v>
      </c>
      <c r="Q58" s="399">
        <v>0</v>
      </c>
      <c r="R58" s="399">
        <v>0</v>
      </c>
      <c r="S58" s="399">
        <v>0</v>
      </c>
      <c r="T58" s="399">
        <v>0</v>
      </c>
      <c r="U58" s="399">
        <v>0</v>
      </c>
      <c r="V58" s="400">
        <v>0</v>
      </c>
    </row>
    <row r="59" spans="1:22" ht="17.25">
      <c r="A59" s="83" t="s">
        <v>237</v>
      </c>
      <c r="B59" s="397">
        <f t="shared" si="0"/>
        <v>1429</v>
      </c>
      <c r="C59" s="398">
        <v>250</v>
      </c>
      <c r="D59" s="399">
        <v>1</v>
      </c>
      <c r="E59" s="399">
        <v>176</v>
      </c>
      <c r="F59" s="399">
        <v>269</v>
      </c>
      <c r="G59" s="399">
        <v>259</v>
      </c>
      <c r="H59" s="399">
        <v>103</v>
      </c>
      <c r="I59" s="399">
        <v>9</v>
      </c>
      <c r="J59" s="399">
        <v>258</v>
      </c>
      <c r="K59" s="399">
        <v>66</v>
      </c>
      <c r="L59" s="399">
        <v>17</v>
      </c>
      <c r="M59" s="399">
        <v>17</v>
      </c>
      <c r="N59" s="399">
        <v>0</v>
      </c>
      <c r="O59" s="399">
        <v>4</v>
      </c>
      <c r="P59" s="399">
        <v>0</v>
      </c>
      <c r="Q59" s="399">
        <v>0</v>
      </c>
      <c r="R59" s="399">
        <v>0</v>
      </c>
      <c r="S59" s="399">
        <v>0</v>
      </c>
      <c r="T59" s="399">
        <v>0</v>
      </c>
      <c r="U59" s="399">
        <v>0</v>
      </c>
      <c r="V59" s="400">
        <v>0</v>
      </c>
    </row>
    <row r="60" spans="1:22" ht="17.25">
      <c r="A60" s="155" t="s">
        <v>238</v>
      </c>
      <c r="B60" s="390">
        <f t="shared" si="0"/>
        <v>126</v>
      </c>
      <c r="C60" s="388">
        <v>0</v>
      </c>
      <c r="D60" s="376">
        <v>0</v>
      </c>
      <c r="E60" s="376">
        <v>0</v>
      </c>
      <c r="F60" s="376">
        <v>58</v>
      </c>
      <c r="G60" s="376">
        <v>59</v>
      </c>
      <c r="H60" s="376">
        <v>9</v>
      </c>
      <c r="I60" s="376">
        <v>0</v>
      </c>
      <c r="J60" s="376">
        <v>0</v>
      </c>
      <c r="K60" s="376">
        <v>0</v>
      </c>
      <c r="L60" s="376">
        <v>0</v>
      </c>
      <c r="M60" s="376">
        <v>0</v>
      </c>
      <c r="N60" s="376">
        <v>0</v>
      </c>
      <c r="O60" s="376">
        <v>0</v>
      </c>
      <c r="P60" s="376">
        <v>0</v>
      </c>
      <c r="Q60" s="376">
        <v>0</v>
      </c>
      <c r="R60" s="376">
        <v>0</v>
      </c>
      <c r="S60" s="376">
        <v>0</v>
      </c>
      <c r="T60" s="376">
        <v>0</v>
      </c>
      <c r="U60" s="376">
        <v>0</v>
      </c>
      <c r="V60" s="389">
        <v>0</v>
      </c>
    </row>
    <row r="61" spans="1:22" ht="17.25">
      <c r="A61" s="83" t="s">
        <v>239</v>
      </c>
      <c r="B61" s="394">
        <f t="shared" si="0"/>
        <v>83</v>
      </c>
      <c r="C61" s="395">
        <v>0</v>
      </c>
      <c r="D61" s="396">
        <v>0</v>
      </c>
      <c r="E61" s="396">
        <v>0</v>
      </c>
      <c r="F61" s="396">
        <v>36</v>
      </c>
      <c r="G61" s="396">
        <v>41</v>
      </c>
      <c r="H61" s="396">
        <v>6</v>
      </c>
      <c r="I61" s="396">
        <v>0</v>
      </c>
      <c r="J61" s="396">
        <v>0</v>
      </c>
      <c r="K61" s="396">
        <v>0</v>
      </c>
      <c r="L61" s="396">
        <v>0</v>
      </c>
      <c r="M61" s="396">
        <v>0</v>
      </c>
      <c r="N61" s="396">
        <v>0</v>
      </c>
      <c r="O61" s="396">
        <v>0</v>
      </c>
      <c r="P61" s="396">
        <v>0</v>
      </c>
      <c r="Q61" s="396">
        <v>0</v>
      </c>
      <c r="R61" s="396">
        <v>0</v>
      </c>
      <c r="S61" s="396">
        <v>0</v>
      </c>
      <c r="T61" s="396">
        <v>0</v>
      </c>
      <c r="U61" s="396">
        <v>0</v>
      </c>
      <c r="V61" s="401">
        <v>0</v>
      </c>
    </row>
    <row r="62" spans="1:22" ht="18" thickBot="1">
      <c r="A62" s="289" t="s">
        <v>240</v>
      </c>
      <c r="B62" s="402">
        <f t="shared" si="0"/>
        <v>37</v>
      </c>
      <c r="C62" s="403">
        <v>0</v>
      </c>
      <c r="D62" s="404">
        <v>0</v>
      </c>
      <c r="E62" s="404">
        <v>0</v>
      </c>
      <c r="F62" s="404">
        <v>16</v>
      </c>
      <c r="G62" s="404">
        <v>19</v>
      </c>
      <c r="H62" s="404">
        <v>2</v>
      </c>
      <c r="I62" s="404">
        <v>0</v>
      </c>
      <c r="J62" s="404">
        <v>0</v>
      </c>
      <c r="K62" s="404">
        <v>0</v>
      </c>
      <c r="L62" s="404">
        <v>0</v>
      </c>
      <c r="M62" s="404">
        <v>0</v>
      </c>
      <c r="N62" s="404">
        <v>0</v>
      </c>
      <c r="O62" s="404">
        <v>0</v>
      </c>
      <c r="P62" s="404">
        <v>0</v>
      </c>
      <c r="Q62" s="404">
        <v>0</v>
      </c>
      <c r="R62" s="404">
        <v>0</v>
      </c>
      <c r="S62" s="404">
        <v>0</v>
      </c>
      <c r="T62" s="404">
        <v>0</v>
      </c>
      <c r="U62" s="404">
        <v>0</v>
      </c>
      <c r="V62" s="405">
        <v>0</v>
      </c>
    </row>
    <row r="63" spans="1:22" ht="18" thickBot="1">
      <c r="A63" s="289" t="s">
        <v>323</v>
      </c>
      <c r="B63" s="406">
        <f aca="true" t="shared" si="1" ref="B63:L63">SUM(B6:B62)</f>
        <v>274635</v>
      </c>
      <c r="C63" s="407">
        <f t="shared" si="1"/>
        <v>31658</v>
      </c>
      <c r="D63" s="408">
        <f t="shared" si="1"/>
        <v>412</v>
      </c>
      <c r="E63" s="408">
        <f t="shared" si="1"/>
        <v>14644</v>
      </c>
      <c r="F63" s="408">
        <f t="shared" si="1"/>
        <v>40260</v>
      </c>
      <c r="G63" s="408">
        <f t="shared" si="1"/>
        <v>36067</v>
      </c>
      <c r="H63" s="408">
        <f t="shared" si="1"/>
        <v>15460</v>
      </c>
      <c r="I63" s="408">
        <f t="shared" si="1"/>
        <v>227</v>
      </c>
      <c r="J63" s="408">
        <f t="shared" si="1"/>
        <v>54336</v>
      </c>
      <c r="K63" s="408">
        <f t="shared" si="1"/>
        <v>3626</v>
      </c>
      <c r="L63" s="408">
        <f t="shared" si="1"/>
        <v>2104</v>
      </c>
      <c r="M63" s="408">
        <f aca="true" t="shared" si="2" ref="M63:T63">SUM(M6:M62)</f>
        <v>3664</v>
      </c>
      <c r="N63" s="408">
        <f t="shared" si="2"/>
        <v>332</v>
      </c>
      <c r="O63" s="408">
        <f t="shared" si="2"/>
        <v>63146</v>
      </c>
      <c r="P63" s="408">
        <f t="shared" si="2"/>
        <v>423</v>
      </c>
      <c r="Q63" s="408">
        <f t="shared" si="2"/>
        <v>14</v>
      </c>
      <c r="R63" s="408">
        <f t="shared" si="2"/>
        <v>602</v>
      </c>
      <c r="S63" s="408">
        <f t="shared" si="2"/>
        <v>0</v>
      </c>
      <c r="T63" s="408">
        <f t="shared" si="2"/>
        <v>1622</v>
      </c>
      <c r="U63" s="408">
        <f>SUM(U6:U62)</f>
        <v>45</v>
      </c>
      <c r="V63" s="409">
        <f>SUM(V6:V62)</f>
        <v>5993</v>
      </c>
    </row>
    <row r="64" spans="1:22" ht="14.25">
      <c r="A64" s="1"/>
      <c r="B64" s="1" t="s">
        <v>325</v>
      </c>
      <c r="C64" s="1"/>
      <c r="D64" s="1"/>
      <c r="E64" s="1"/>
      <c r="F64" s="1" t="s">
        <v>326</v>
      </c>
      <c r="G64" s="1"/>
      <c r="H64" s="1"/>
      <c r="J64" s="1"/>
      <c r="K64" s="1"/>
      <c r="L64" s="1" t="s">
        <v>327</v>
      </c>
      <c r="M64" s="1"/>
      <c r="N64" s="1"/>
      <c r="O64" s="1"/>
      <c r="P64" s="1"/>
      <c r="Q64" s="1"/>
      <c r="R64" s="1"/>
      <c r="S64" s="1"/>
      <c r="T64" s="1"/>
      <c r="U64" s="1"/>
      <c r="V64" s="1"/>
    </row>
  </sheetData>
  <printOptions/>
  <pageMargins left="0.7874015748031497" right="0.7874015748031497" top="0.54" bottom="0.57" header="0.5118110236220472" footer="0.5118110236220472"/>
  <pageSetup fitToWidth="2" horizontalDpi="600" verticalDpi="600" orientation="portrait" paperSize="9" scale="70" r:id="rId1"/>
  <colBreaks count="1" manualBreakCount="1">
    <brk id="10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tabColor indexed="40"/>
  </sheetPr>
  <dimension ref="B1:S45"/>
  <sheetViews>
    <sheetView view="pageBreakPreview" zoomScale="75" zoomScaleNormal="75" zoomScaleSheetLayoutView="75" workbookViewId="0" topLeftCell="A1">
      <selection activeCell="H57" sqref="H57"/>
    </sheetView>
  </sheetViews>
  <sheetFormatPr defaultColWidth="8.796875" defaultRowHeight="15"/>
  <cols>
    <col min="1" max="1" width="3.59765625" style="1" customWidth="1"/>
    <col min="2" max="2" width="2.69921875" style="1" customWidth="1"/>
    <col min="3" max="3" width="14.69921875" style="1" customWidth="1"/>
    <col min="4" max="4" width="18" style="1" customWidth="1"/>
    <col min="5" max="7" width="2.69921875" style="1" customWidth="1"/>
    <col min="8" max="8" width="21.59765625" style="1" customWidth="1"/>
    <col min="9" max="10" width="2.69921875" style="1" customWidth="1"/>
    <col min="11" max="11" width="13.69921875" style="1" customWidth="1"/>
    <col min="12" max="12" width="2.69921875" style="1" customWidth="1"/>
    <col min="13" max="13" width="14.09765625" style="1" customWidth="1"/>
    <col min="14" max="16" width="2.69921875" style="1" customWidth="1"/>
    <col min="17" max="17" width="16.59765625" style="1" customWidth="1"/>
    <col min="18" max="18" width="6.3984375" style="1" customWidth="1"/>
    <col min="19" max="19" width="7.3984375" style="1" customWidth="1"/>
    <col min="20" max="32" width="7.5" style="1" customWidth="1"/>
    <col min="33" max="16384" width="11" style="1" customWidth="1"/>
  </cols>
  <sheetData>
    <row r="1" ht="66" customHeight="1">
      <c r="B1" s="25" t="s">
        <v>14</v>
      </c>
    </row>
    <row r="2" ht="42" customHeight="1"/>
    <row r="3" spans="3:17" ht="24.75" customHeight="1">
      <c r="C3" s="453" t="s">
        <v>3</v>
      </c>
      <c r="D3" s="453"/>
      <c r="H3" s="453" t="s">
        <v>70</v>
      </c>
      <c r="I3" s="453"/>
      <c r="J3" s="453"/>
      <c r="K3" s="453"/>
      <c r="L3" s="453"/>
      <c r="M3" s="453"/>
      <c r="N3" s="453"/>
      <c r="O3" s="453"/>
      <c r="P3" s="453"/>
      <c r="Q3" s="453"/>
    </row>
    <row r="4" s="32" customFormat="1" ht="24.75" customHeight="1"/>
    <row r="5" spans="3:17" s="32" customFormat="1" ht="24.75" customHeight="1">
      <c r="C5" s="54" t="s">
        <v>71</v>
      </c>
      <c r="D5" s="55">
        <f>D22+D24+D26+D28+D30</f>
        <v>2199392</v>
      </c>
      <c r="H5" s="32" t="s">
        <v>72</v>
      </c>
      <c r="Q5" s="281">
        <f>'ウ 最終処分'!B70</f>
        <v>235960</v>
      </c>
    </row>
    <row r="6" spans="3:17" s="32" customFormat="1" ht="24.75" customHeight="1">
      <c r="C6" s="126" t="s">
        <v>51</v>
      </c>
      <c r="D6" s="127">
        <f>D32</f>
        <v>198601</v>
      </c>
      <c r="G6" s="34"/>
      <c r="H6" s="282">
        <f>'ウ 最終処分'!C70</f>
        <v>17717</v>
      </c>
      <c r="I6" s="34"/>
      <c r="J6" s="34"/>
      <c r="K6" s="34"/>
      <c r="L6" s="34"/>
      <c r="M6" s="34"/>
      <c r="N6" s="34"/>
      <c r="O6" s="36"/>
      <c r="P6" s="456" t="s">
        <v>73</v>
      </c>
      <c r="Q6" s="457"/>
    </row>
    <row r="7" spans="3:17" s="32" customFormat="1" ht="24.75" customHeight="1">
      <c r="C7" s="126" t="s">
        <v>5</v>
      </c>
      <c r="D7" s="127">
        <f>D35</f>
        <v>12</v>
      </c>
      <c r="G7" s="37"/>
      <c r="P7" s="143"/>
      <c r="Q7" s="143"/>
    </row>
    <row r="8" spans="3:17" s="32" customFormat="1" ht="24.75" customHeight="1">
      <c r="C8" s="56" t="s">
        <v>6</v>
      </c>
      <c r="D8" s="57">
        <f>D40</f>
        <v>209249</v>
      </c>
      <c r="G8" s="37"/>
      <c r="P8" s="129"/>
      <c r="Q8" s="129"/>
    </row>
    <row r="9" spans="3:17" s="32" customFormat="1" ht="24.75" customHeight="1">
      <c r="C9" s="58" t="s">
        <v>167</v>
      </c>
      <c r="D9" s="55">
        <f>D5+D6+D7+D8</f>
        <v>2607254</v>
      </c>
      <c r="G9" s="37"/>
      <c r="M9" s="32" t="s">
        <v>74</v>
      </c>
      <c r="P9" s="129"/>
      <c r="Q9" s="129"/>
    </row>
    <row r="10" spans="7:17" s="32" customFormat="1" ht="24.75" customHeight="1">
      <c r="G10" s="37"/>
      <c r="H10" s="32" t="s">
        <v>75</v>
      </c>
      <c r="L10" s="34"/>
      <c r="M10" s="282">
        <f>'ウ 最終処分'!D70</f>
        <v>198539</v>
      </c>
      <c r="N10" s="34"/>
      <c r="O10" s="34"/>
      <c r="P10" s="144"/>
      <c r="Q10" s="129"/>
    </row>
    <row r="11" spans="7:17" s="32" customFormat="1" ht="24.75" customHeight="1">
      <c r="G11" s="134"/>
      <c r="H11" s="35">
        <f>'ウ 中間処理'!L70</f>
        <v>1875215</v>
      </c>
      <c r="I11" s="145"/>
      <c r="J11" s="461" t="s">
        <v>76</v>
      </c>
      <c r="K11" s="427"/>
      <c r="L11" s="142"/>
      <c r="M11" s="142"/>
      <c r="Q11" s="129"/>
    </row>
    <row r="12" spans="7:17" s="32" customFormat="1" ht="24.75" customHeight="1">
      <c r="G12" s="37"/>
      <c r="H12" s="33"/>
      <c r="I12" s="33"/>
      <c r="J12" s="428"/>
      <c r="K12" s="429"/>
      <c r="L12" s="45"/>
      <c r="M12" s="139">
        <f>'ウ 資源 計'!E72</f>
        <v>73635</v>
      </c>
      <c r="Q12" s="129"/>
    </row>
    <row r="13" spans="2:17" s="32" customFormat="1" ht="24.75" customHeight="1">
      <c r="B13" s="36"/>
      <c r="C13" s="36"/>
      <c r="D13" s="36"/>
      <c r="E13" s="36"/>
      <c r="G13" s="37"/>
      <c r="J13" s="143"/>
      <c r="M13" s="43"/>
      <c r="Q13" s="129"/>
    </row>
    <row r="14" spans="2:17" s="32" customFormat="1" ht="24.75" customHeight="1">
      <c r="B14" s="36"/>
      <c r="C14" s="36"/>
      <c r="D14" s="36"/>
      <c r="E14" s="36"/>
      <c r="G14" s="37"/>
      <c r="J14" s="129"/>
      <c r="M14" s="43"/>
      <c r="Q14" s="129"/>
    </row>
    <row r="15" spans="2:17" s="32" customFormat="1" ht="24.75" customHeight="1">
      <c r="B15" s="36"/>
      <c r="C15" s="36"/>
      <c r="D15" s="36"/>
      <c r="E15" s="36"/>
      <c r="G15" s="37"/>
      <c r="J15" s="129"/>
      <c r="K15" s="32" t="s">
        <v>77</v>
      </c>
      <c r="M15" s="43"/>
      <c r="O15" s="32" t="s">
        <v>78</v>
      </c>
      <c r="Q15" s="129"/>
    </row>
    <row r="16" spans="2:17" s="32" customFormat="1" ht="24.75" customHeight="1">
      <c r="B16" s="36"/>
      <c r="C16" s="137"/>
      <c r="D16" s="138"/>
      <c r="E16" s="36"/>
      <c r="G16" s="37"/>
      <c r="J16" s="129"/>
      <c r="K16" s="35">
        <f>'ウ 中間処理'!M70</f>
        <v>150590</v>
      </c>
      <c r="L16" s="34"/>
      <c r="M16" s="44"/>
      <c r="N16" s="34"/>
      <c r="O16" s="34"/>
      <c r="P16" s="34"/>
      <c r="Q16" s="283">
        <f>'ウ 最終処分'!E70</f>
        <v>19704</v>
      </c>
    </row>
    <row r="17" spans="2:13" s="32" customFormat="1" ht="24.75" customHeight="1">
      <c r="B17" s="36"/>
      <c r="C17" s="36"/>
      <c r="D17" s="36"/>
      <c r="E17" s="36"/>
      <c r="G17" s="37"/>
      <c r="H17" s="33"/>
      <c r="L17" s="143"/>
      <c r="M17" s="43"/>
    </row>
    <row r="18" spans="2:13" s="32" customFormat="1" ht="24.75" customHeight="1">
      <c r="B18" s="36"/>
      <c r="C18" s="36"/>
      <c r="D18" s="36"/>
      <c r="E18" s="36"/>
      <c r="G18" s="37"/>
      <c r="L18" s="129"/>
      <c r="M18" s="43"/>
    </row>
    <row r="19" spans="2:13" s="32" customFormat="1" ht="24.75" customHeight="1">
      <c r="B19" s="36"/>
      <c r="C19" s="36"/>
      <c r="D19" s="36"/>
      <c r="E19" s="36"/>
      <c r="G19" s="134"/>
      <c r="L19" s="129"/>
      <c r="M19" s="43"/>
    </row>
    <row r="20" spans="2:13" s="32" customFormat="1" ht="24.75" customHeight="1" thickBot="1">
      <c r="B20" s="50"/>
      <c r="C20" s="50"/>
      <c r="D20" s="50"/>
      <c r="E20" s="50"/>
      <c r="G20" s="130"/>
      <c r="H20" s="32" t="s">
        <v>9</v>
      </c>
      <c r="L20" s="129"/>
      <c r="M20" s="43"/>
    </row>
    <row r="21" spans="2:13" s="32" customFormat="1" ht="24.75" customHeight="1">
      <c r="B21" s="146"/>
      <c r="C21" s="147"/>
      <c r="D21" s="147"/>
      <c r="E21" s="148"/>
      <c r="G21" s="130"/>
      <c r="H21" s="33">
        <f>'ウ 中間処理'!$D$70</f>
        <v>381530</v>
      </c>
      <c r="L21" s="129"/>
      <c r="M21" s="43"/>
    </row>
    <row r="22" spans="2:13" s="32" customFormat="1" ht="24.75" customHeight="1">
      <c r="B22" s="38"/>
      <c r="C22" s="39" t="s">
        <v>34</v>
      </c>
      <c r="D22" s="40">
        <f>'イ 排出 総括表'!E63</f>
        <v>1752634</v>
      </c>
      <c r="E22" s="41"/>
      <c r="G22" s="130"/>
      <c r="K22" s="34"/>
      <c r="L22" s="144"/>
      <c r="M22" s="43"/>
    </row>
    <row r="23" spans="2:13" s="32" customFormat="1" ht="24.75" customHeight="1">
      <c r="B23" s="38"/>
      <c r="C23" s="36"/>
      <c r="D23" s="36"/>
      <c r="E23" s="42"/>
      <c r="G23" s="130"/>
      <c r="H23" s="40">
        <f>'ウ 中間処理'!E70</f>
        <v>173941</v>
      </c>
      <c r="I23" s="144"/>
      <c r="J23" s="454" t="s">
        <v>79</v>
      </c>
      <c r="K23" s="458"/>
      <c r="L23" s="45"/>
      <c r="M23" s="46">
        <f>'ウ 資源 計'!F72</f>
        <v>20618</v>
      </c>
    </row>
    <row r="24" spans="2:13" s="32" customFormat="1" ht="24.75" customHeight="1">
      <c r="B24" s="38"/>
      <c r="C24" s="39" t="s">
        <v>35</v>
      </c>
      <c r="D24" s="40">
        <f>'イ 排出 総括表'!F63</f>
        <v>127635</v>
      </c>
      <c r="E24" s="42"/>
      <c r="F24" s="129"/>
      <c r="G24" s="130"/>
      <c r="H24" s="36"/>
      <c r="K24" s="34"/>
      <c r="L24" s="34"/>
      <c r="M24" s="48"/>
    </row>
    <row r="25" spans="2:13" s="32" customFormat="1" ht="24.75" customHeight="1">
      <c r="B25" s="38"/>
      <c r="C25" s="36"/>
      <c r="D25" s="36"/>
      <c r="E25" s="42"/>
      <c r="G25" s="37"/>
      <c r="H25" s="40">
        <f>'ウ 中間処理'!F70</f>
        <v>6644</v>
      </c>
      <c r="I25" s="144"/>
      <c r="J25" s="454" t="s">
        <v>2</v>
      </c>
      <c r="K25" s="458"/>
      <c r="L25" s="45"/>
      <c r="M25" s="46">
        <f>'ウ 資源 計'!G72</f>
        <v>3322</v>
      </c>
    </row>
    <row r="26" spans="2:13" s="32" customFormat="1" ht="24.75" customHeight="1">
      <c r="B26" s="38"/>
      <c r="C26" s="39" t="s">
        <v>36</v>
      </c>
      <c r="D26" s="40">
        <f>'イ 排出 総括表'!G63</f>
        <v>289989</v>
      </c>
      <c r="E26" s="47"/>
      <c r="F26" s="144"/>
      <c r="G26" s="130"/>
      <c r="H26" s="36"/>
      <c r="K26" s="36"/>
      <c r="L26" s="131"/>
      <c r="M26" s="48"/>
    </row>
    <row r="27" spans="2:13" s="32" customFormat="1" ht="24.75" customHeight="1">
      <c r="B27" s="38"/>
      <c r="C27" s="36"/>
      <c r="D27" s="36"/>
      <c r="E27" s="42"/>
      <c r="G27" s="37"/>
      <c r="H27" s="40">
        <f>'ウ 中間処理'!G70</f>
        <v>221</v>
      </c>
      <c r="I27" s="144"/>
      <c r="J27" s="454" t="s">
        <v>284</v>
      </c>
      <c r="K27" s="458"/>
      <c r="L27" s="45"/>
      <c r="M27" s="46">
        <f>'ウ 資源 計'!H72</f>
        <v>221</v>
      </c>
    </row>
    <row r="28" spans="2:13" s="32" customFormat="1" ht="24.75" customHeight="1">
      <c r="B28" s="38"/>
      <c r="C28" s="39" t="s">
        <v>4</v>
      </c>
      <c r="D28" s="40">
        <f>'イ 排出 総括表'!H63</f>
        <v>8911</v>
      </c>
      <c r="E28" s="42"/>
      <c r="G28" s="37"/>
      <c r="H28" s="37"/>
      <c r="J28" s="124"/>
      <c r="K28" s="125"/>
      <c r="L28" s="131"/>
      <c r="M28" s="48"/>
    </row>
    <row r="29" spans="2:19" s="32" customFormat="1" ht="24.75" customHeight="1">
      <c r="B29" s="38"/>
      <c r="C29" s="36"/>
      <c r="D29" s="36"/>
      <c r="E29" s="42"/>
      <c r="G29" s="37"/>
      <c r="H29" s="40">
        <f>'ウ 中間処理'!H70</f>
        <v>470</v>
      </c>
      <c r="I29" s="144"/>
      <c r="J29" s="454" t="s">
        <v>80</v>
      </c>
      <c r="K29" s="458"/>
      <c r="L29" s="133"/>
      <c r="M29" s="132">
        <f>'ウ 資源 計'!I72</f>
        <v>470</v>
      </c>
      <c r="N29" s="333"/>
      <c r="O29" s="36"/>
      <c r="P29" s="36"/>
      <c r="R29" s="140"/>
      <c r="S29" s="140"/>
    </row>
    <row r="30" spans="2:17" s="32" customFormat="1" ht="24.75" customHeight="1">
      <c r="B30" s="38"/>
      <c r="C30" s="39" t="s">
        <v>30</v>
      </c>
      <c r="D30" s="40">
        <f>'イ 排出 総括表'!I63</f>
        <v>20223</v>
      </c>
      <c r="E30" s="42"/>
      <c r="G30" s="37"/>
      <c r="H30" s="37"/>
      <c r="K30" s="34"/>
      <c r="L30" s="131"/>
      <c r="M30" s="334"/>
      <c r="N30" s="36"/>
      <c r="O30" s="36"/>
      <c r="P30" s="36"/>
      <c r="Q30" s="36"/>
    </row>
    <row r="31" spans="2:17" s="32" customFormat="1" ht="24.75" customHeight="1">
      <c r="B31" s="38"/>
      <c r="C31" s="36"/>
      <c r="D31" s="36"/>
      <c r="E31" s="42"/>
      <c r="G31" s="37"/>
      <c r="H31" s="40">
        <f>'ウ 中間処理'!I70</f>
        <v>198293</v>
      </c>
      <c r="I31" s="144"/>
      <c r="J31" s="459" t="s">
        <v>241</v>
      </c>
      <c r="K31" s="460"/>
      <c r="L31" s="133"/>
      <c r="M31" s="132">
        <f>'ウ 資源 計'!J72</f>
        <v>176369</v>
      </c>
      <c r="N31" s="135"/>
      <c r="O31" s="126" t="s">
        <v>100</v>
      </c>
      <c r="P31" s="36"/>
      <c r="Q31" s="36"/>
    </row>
    <row r="32" spans="2:17" s="32" customFormat="1" ht="24.75" customHeight="1">
      <c r="B32" s="38"/>
      <c r="C32" s="39" t="s">
        <v>51</v>
      </c>
      <c r="D32" s="40">
        <f>'イ 排出 総括表'!J63</f>
        <v>198601</v>
      </c>
      <c r="E32" s="42"/>
      <c r="G32" s="130"/>
      <c r="L32" s="131"/>
      <c r="M32" s="36"/>
      <c r="N32" s="43"/>
      <c r="O32" s="36"/>
      <c r="P32" s="36"/>
      <c r="Q32" s="123">
        <f>M12+M23+M25+M27+M29+M31</f>
        <v>274635</v>
      </c>
    </row>
    <row r="33" spans="2:17" s="32" customFormat="1" ht="24.75" customHeight="1">
      <c r="B33" s="38"/>
      <c r="C33" s="122"/>
      <c r="D33" s="123"/>
      <c r="E33" s="41"/>
      <c r="G33" s="37"/>
      <c r="H33" s="40">
        <f>'ウ 中間処理'!J70</f>
        <v>1961</v>
      </c>
      <c r="I33" s="144"/>
      <c r="J33" s="454" t="s">
        <v>242</v>
      </c>
      <c r="K33" s="458"/>
      <c r="L33" s="335"/>
      <c r="M33" s="36"/>
      <c r="N33" s="43"/>
      <c r="P33" s="36"/>
      <c r="Q33" s="36"/>
    </row>
    <row r="34" spans="2:17" s="32" customFormat="1" ht="24.75" customHeight="1">
      <c r="B34" s="38"/>
      <c r="E34" s="41"/>
      <c r="G34" s="37"/>
      <c r="M34" s="36"/>
      <c r="N34" s="43"/>
      <c r="P34" s="36"/>
      <c r="Q34" s="36"/>
    </row>
    <row r="35" spans="2:16" s="32" customFormat="1" ht="24.75" customHeight="1">
      <c r="B35" s="38"/>
      <c r="C35" s="39" t="s">
        <v>82</v>
      </c>
      <c r="D35" s="123">
        <f>'イ 排出 総括表'!K63</f>
        <v>12</v>
      </c>
      <c r="E35" s="41"/>
      <c r="G35" s="37"/>
      <c r="H35" s="32" t="s">
        <v>10</v>
      </c>
      <c r="K35" s="34"/>
      <c r="L35" s="36"/>
      <c r="M35" s="36"/>
      <c r="N35" s="43"/>
      <c r="P35" s="36"/>
    </row>
    <row r="36" spans="2:17" s="32" customFormat="1" ht="24.75" customHeight="1">
      <c r="B36" s="38"/>
      <c r="C36" s="36"/>
      <c r="D36" s="123"/>
      <c r="E36" s="41"/>
      <c r="G36" s="134"/>
      <c r="H36" s="35">
        <f>'ウ 資源 計'!C72</f>
        <v>130548</v>
      </c>
      <c r="I36" s="144"/>
      <c r="J36" s="454" t="s">
        <v>53</v>
      </c>
      <c r="K36" s="455"/>
      <c r="L36" s="45"/>
      <c r="M36" s="139">
        <f>H36</f>
        <v>130548</v>
      </c>
      <c r="N36" s="150"/>
      <c r="O36" s="53"/>
      <c r="P36" s="53"/>
      <c r="Q36" s="126" t="s">
        <v>101</v>
      </c>
    </row>
    <row r="37" spans="2:17" s="32" customFormat="1" ht="24.75" customHeight="1" thickBot="1">
      <c r="B37" s="49"/>
      <c r="C37" s="50"/>
      <c r="D37" s="149"/>
      <c r="E37" s="51"/>
      <c r="G37" s="36"/>
      <c r="H37" s="33"/>
      <c r="J37" s="124"/>
      <c r="K37" s="124"/>
      <c r="L37" s="36"/>
      <c r="M37" s="123"/>
      <c r="N37" s="36"/>
      <c r="P37" s="141"/>
      <c r="Q37" s="123">
        <f>Q32+M36</f>
        <v>405183</v>
      </c>
    </row>
    <row r="38" spans="2:16" s="32" customFormat="1" ht="24.75" customHeight="1">
      <c r="B38" s="38"/>
      <c r="C38" s="36"/>
      <c r="D38" s="123"/>
      <c r="E38" s="41"/>
      <c r="G38" s="36"/>
      <c r="H38" s="33"/>
      <c r="J38" s="124"/>
      <c r="K38" s="124"/>
      <c r="L38" s="36"/>
      <c r="M38" s="123"/>
      <c r="N38" s="36"/>
      <c r="P38" s="43"/>
    </row>
    <row r="39" spans="2:17" s="32" customFormat="1" ht="24.75" customHeight="1">
      <c r="B39" s="38"/>
      <c r="C39" s="36"/>
      <c r="D39" s="123"/>
      <c r="E39" s="41"/>
      <c r="G39" s="36"/>
      <c r="H39" s="33"/>
      <c r="J39" s="124"/>
      <c r="K39" s="124"/>
      <c r="L39" s="36"/>
      <c r="M39" s="123"/>
      <c r="N39" s="36"/>
      <c r="P39" s="43"/>
      <c r="Q39" s="35">
        <f>Q32+M36+D40</f>
        <v>614432</v>
      </c>
    </row>
    <row r="40" spans="2:17" s="32" customFormat="1" ht="24.75" customHeight="1">
      <c r="B40" s="38"/>
      <c r="C40" s="39" t="s">
        <v>81</v>
      </c>
      <c r="D40" s="52">
        <f>'イ 排出 総括表'!L63</f>
        <v>209249</v>
      </c>
      <c r="E40" s="128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136"/>
      <c r="Q40" s="39" t="s">
        <v>152</v>
      </c>
    </row>
    <row r="41" spans="2:17" s="32" customFormat="1" ht="24.75" customHeight="1">
      <c r="B41" s="38"/>
      <c r="C41" s="122"/>
      <c r="D41" s="123"/>
      <c r="E41" s="41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122"/>
    </row>
    <row r="42" spans="2:5" s="32" customFormat="1" ht="24.75" customHeight="1" thickBot="1">
      <c r="B42" s="49"/>
      <c r="C42" s="50"/>
      <c r="D42" s="50"/>
      <c r="E42" s="51"/>
    </row>
    <row r="43" s="32" customFormat="1" ht="24.75" customHeight="1"/>
    <row r="44" ht="14.25">
      <c r="C44" s="1" t="s">
        <v>8</v>
      </c>
    </row>
    <row r="45" ht="14.25">
      <c r="C45" s="1" t="s">
        <v>7</v>
      </c>
    </row>
  </sheetData>
  <mergeCells count="11">
    <mergeCell ref="J33:K33"/>
    <mergeCell ref="C3:D3"/>
    <mergeCell ref="H3:Q3"/>
    <mergeCell ref="J36:K36"/>
    <mergeCell ref="P6:Q6"/>
    <mergeCell ref="J25:K25"/>
    <mergeCell ref="J27:K27"/>
    <mergeCell ref="J31:K31"/>
    <mergeCell ref="J23:K23"/>
    <mergeCell ref="J11:K12"/>
    <mergeCell ref="J29:K29"/>
  </mergeCells>
  <printOptions horizontalCentered="1"/>
  <pageMargins left="0.7874015748031497" right="0.7874015748031497" top="0.7874015748031497" bottom="0.7874015748031497" header="0.5905511811023623" footer="0.5905511811023623"/>
  <pageSetup firstPageNumber="16" useFirstPageNumber="1" horizontalDpi="600" verticalDpi="600" orientation="portrait" pageOrder="overThenDown" paperSize="9" scale="60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>
    <tabColor indexed="44"/>
  </sheetPr>
  <dimension ref="A1:M75"/>
  <sheetViews>
    <sheetView view="pageBreakPreview" zoomScale="75" zoomScaleNormal="75" zoomScaleSheetLayoutView="75" workbookViewId="0" topLeftCell="A1">
      <selection activeCell="L43" sqref="L43"/>
    </sheetView>
  </sheetViews>
  <sheetFormatPr defaultColWidth="8.796875" defaultRowHeight="15"/>
  <cols>
    <col min="1" max="1" width="3" style="1" customWidth="1"/>
    <col min="2" max="2" width="5.19921875" style="1" customWidth="1"/>
    <col min="3" max="3" width="3.09765625" style="1" customWidth="1"/>
    <col min="4" max="4" width="3.3984375" style="1" customWidth="1"/>
    <col min="5" max="5" width="4.69921875" style="1" bestFit="1" customWidth="1"/>
    <col min="6" max="6" width="18.19921875" style="1" customWidth="1"/>
    <col min="7" max="7" width="10.59765625" style="1" customWidth="1"/>
    <col min="8" max="8" width="16.59765625" style="1" customWidth="1"/>
    <col min="9" max="9" width="4.8984375" style="1" bestFit="1" customWidth="1"/>
    <col min="10" max="10" width="20.69921875" style="1" customWidth="1"/>
    <col min="11" max="11" width="11" style="1" customWidth="1"/>
    <col min="12" max="12" width="2.69921875" style="1" customWidth="1"/>
    <col min="13" max="13" width="16.69921875" style="1" customWidth="1"/>
    <col min="14" max="14" width="2.69921875" style="1" customWidth="1"/>
    <col min="15" max="15" width="11.69921875" style="1" customWidth="1"/>
    <col min="16" max="18" width="2.69921875" style="1" customWidth="1"/>
    <col min="19" max="19" width="13.59765625" style="1" bestFit="1" customWidth="1"/>
    <col min="20" max="20" width="8.5" style="1" customWidth="1"/>
    <col min="21" max="21" width="16.59765625" style="1" customWidth="1"/>
    <col min="22" max="22" width="16.19921875" style="1" customWidth="1"/>
    <col min="23" max="23" width="16.59765625" style="1" customWidth="1"/>
    <col min="24" max="38" width="7.5" style="1" customWidth="1"/>
    <col min="39" max="16384" width="11" style="1" customWidth="1"/>
  </cols>
  <sheetData>
    <row r="1" spans="1:10" ht="11.25" customHeight="1">
      <c r="A1" s="17"/>
      <c r="C1" s="18"/>
      <c r="D1" s="18"/>
      <c r="E1" s="18"/>
      <c r="F1" s="18"/>
      <c r="G1" s="18"/>
      <c r="H1" s="18"/>
      <c r="I1" s="18"/>
      <c r="J1" s="18"/>
    </row>
    <row r="2" spans="1:13" ht="30" customHeight="1">
      <c r="A2" s="26" t="s">
        <v>83</v>
      </c>
      <c r="B2" s="24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2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24" customHeight="1">
      <c r="A4" s="54"/>
      <c r="B4" s="54" t="s">
        <v>84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24" customHeight="1">
      <c r="A5" s="54"/>
      <c r="B5" s="218" t="s">
        <v>18</v>
      </c>
      <c r="C5" s="54" t="s">
        <v>180</v>
      </c>
      <c r="D5" s="54"/>
      <c r="E5" s="54"/>
      <c r="F5" s="54"/>
      <c r="G5" s="54"/>
      <c r="H5" s="217">
        <f>'イ 排出 総括表'!B63/1000</f>
        <v>2607.254</v>
      </c>
      <c r="I5" s="22" t="s">
        <v>287</v>
      </c>
      <c r="L5" s="54"/>
      <c r="M5" s="54"/>
    </row>
    <row r="6" spans="1:13" ht="24" customHeight="1">
      <c r="A6" s="54"/>
      <c r="B6" s="218" t="s">
        <v>18</v>
      </c>
      <c r="C6" s="54" t="s">
        <v>150</v>
      </c>
      <c r="D6" s="54"/>
      <c r="E6" s="54"/>
      <c r="F6" s="54"/>
      <c r="G6" s="54"/>
      <c r="H6" s="268">
        <f>'イ 排出 総括表'!C63</f>
        <v>954.428652338707</v>
      </c>
      <c r="I6" s="22" t="s">
        <v>288</v>
      </c>
      <c r="L6" s="54"/>
      <c r="M6" s="54"/>
    </row>
    <row r="7" spans="1:13" ht="24" customHeight="1">
      <c r="A7" s="54"/>
      <c r="B7" s="218" t="s">
        <v>18</v>
      </c>
      <c r="C7" s="54" t="s">
        <v>20</v>
      </c>
      <c r="D7" s="54"/>
      <c r="E7" s="54"/>
      <c r="F7" s="54"/>
      <c r="G7" s="54"/>
      <c r="H7" s="217">
        <f>'イ 排出 総括表'!N63/1000</f>
        <v>2090.081</v>
      </c>
      <c r="I7" s="22" t="s">
        <v>289</v>
      </c>
      <c r="L7" s="54"/>
      <c r="M7" s="54"/>
    </row>
    <row r="8" spans="1:13" ht="24" customHeight="1">
      <c r="A8" s="54"/>
      <c r="B8" s="218" t="s">
        <v>18</v>
      </c>
      <c r="C8" s="430" t="s">
        <v>19</v>
      </c>
      <c r="D8" s="430"/>
      <c r="E8" s="430"/>
      <c r="F8" s="430"/>
      <c r="G8" s="430"/>
      <c r="H8" s="268">
        <f>'イ 排出 総括表'!O63</f>
        <v>765.1088816466432</v>
      </c>
      <c r="I8" s="22" t="s">
        <v>290</v>
      </c>
      <c r="J8" s="219"/>
      <c r="L8" s="54"/>
      <c r="M8" s="54"/>
    </row>
    <row r="9" s="220" customFormat="1" ht="15" customHeight="1">
      <c r="B9" s="220" t="s">
        <v>339</v>
      </c>
    </row>
    <row r="10" s="220" customFormat="1" ht="15" customHeight="1">
      <c r="B10" s="220" t="s">
        <v>341</v>
      </c>
    </row>
    <row r="11" s="220" customFormat="1" ht="15" customHeight="1">
      <c r="B11" s="220" t="s">
        <v>342</v>
      </c>
    </row>
    <row r="12" s="220" customFormat="1" ht="15" customHeight="1">
      <c r="B12" s="220" t="s">
        <v>340</v>
      </c>
    </row>
    <row r="13" spans="1:13" ht="30" customHeight="1">
      <c r="A13" s="54"/>
      <c r="B13" s="54"/>
      <c r="C13" s="54"/>
      <c r="D13" s="54"/>
      <c r="E13" s="54"/>
      <c r="F13" s="54"/>
      <c r="G13" s="54"/>
      <c r="I13" s="54"/>
      <c r="J13" s="54"/>
      <c r="K13" s="54"/>
      <c r="L13" s="54"/>
      <c r="M13" s="54"/>
    </row>
    <row r="14" spans="1:13" ht="21" customHeight="1">
      <c r="A14" s="54"/>
      <c r="B14" s="54" t="s">
        <v>87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</row>
    <row r="15" spans="1:13" ht="21" customHeight="1">
      <c r="A15" s="54"/>
      <c r="B15" s="54" t="s">
        <v>88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</row>
    <row r="16" spans="1:13" ht="18" customHeight="1">
      <c r="A16" s="54"/>
      <c r="B16" s="54" t="s">
        <v>116</v>
      </c>
      <c r="C16" s="54"/>
      <c r="D16" s="54"/>
      <c r="E16" s="54"/>
      <c r="F16" s="54"/>
      <c r="G16" s="54"/>
      <c r="H16" s="216">
        <f>H22+H23</f>
        <v>0.9410974093752567</v>
      </c>
      <c r="I16" s="22" t="s">
        <v>293</v>
      </c>
      <c r="J16" s="22"/>
      <c r="K16" s="54"/>
      <c r="L16" s="54"/>
      <c r="M16" s="54"/>
    </row>
    <row r="17" spans="1:13" ht="18" customHeight="1">
      <c r="A17" s="54"/>
      <c r="B17" s="54"/>
      <c r="C17" s="54"/>
      <c r="D17" s="426" t="s">
        <v>117</v>
      </c>
      <c r="E17" s="426"/>
      <c r="F17" s="426"/>
      <c r="G17" s="422" t="s">
        <v>118</v>
      </c>
      <c r="H17" s="422" t="s">
        <v>139</v>
      </c>
      <c r="I17" s="422"/>
      <c r="J17" s="422"/>
      <c r="K17" s="424" t="s">
        <v>119</v>
      </c>
      <c r="L17" s="54"/>
      <c r="M17" s="54"/>
    </row>
    <row r="18" spans="1:13" ht="18" customHeight="1">
      <c r="A18" s="54"/>
      <c r="B18" s="54"/>
      <c r="C18" s="54"/>
      <c r="D18" s="426"/>
      <c r="E18" s="426"/>
      <c r="F18" s="426"/>
      <c r="G18" s="422"/>
      <c r="H18" s="425" t="s">
        <v>89</v>
      </c>
      <c r="I18" s="425"/>
      <c r="J18" s="425"/>
      <c r="K18" s="424"/>
      <c r="L18" s="54"/>
      <c r="M18" s="54"/>
    </row>
    <row r="19" spans="1:13" ht="9.7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</row>
    <row r="20" spans="1:13" ht="18" customHeight="1">
      <c r="A20" s="54"/>
      <c r="B20" s="54"/>
      <c r="C20" s="54"/>
      <c r="D20" s="54"/>
      <c r="E20" s="54"/>
      <c r="F20" s="54"/>
      <c r="G20" s="58" t="s">
        <v>120</v>
      </c>
      <c r="H20" s="54" t="s">
        <v>140</v>
      </c>
      <c r="I20" s="54"/>
      <c r="J20" s="54"/>
      <c r="K20" s="54"/>
      <c r="L20" s="54"/>
      <c r="M20" s="54"/>
    </row>
    <row r="21" spans="1:13" ht="18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</row>
    <row r="22" spans="1:13" ht="24" customHeight="1">
      <c r="A22" s="54"/>
      <c r="B22" s="54"/>
      <c r="C22" s="54"/>
      <c r="D22" s="54" t="s">
        <v>91</v>
      </c>
      <c r="E22" s="54"/>
      <c r="F22" s="54"/>
      <c r="G22" s="54"/>
      <c r="H22" s="284">
        <f>'ウ 中間処理'!C70/('イ 排出 総括表'!D63+'イ 排出 総括表'!J63)</f>
        <v>0.7819935254189649</v>
      </c>
      <c r="I22" s="22" t="s">
        <v>291</v>
      </c>
      <c r="J22" s="22"/>
      <c r="K22" s="22"/>
      <c r="L22" s="54"/>
      <c r="M22" s="54"/>
    </row>
    <row r="23" spans="1:13" ht="24" customHeight="1">
      <c r="A23" s="54"/>
      <c r="B23" s="54"/>
      <c r="C23" s="54"/>
      <c r="D23" s="54" t="s">
        <v>141</v>
      </c>
      <c r="E23" s="54"/>
      <c r="F23" s="54"/>
      <c r="G23" s="54"/>
      <c r="H23" s="284">
        <f>'ウ 中間処理'!D70/('イ 排出 総括表'!D63+'イ 排出 総括表'!J63)</f>
        <v>0.15910388395629177</v>
      </c>
      <c r="I23" s="22" t="s">
        <v>292</v>
      </c>
      <c r="J23" s="22"/>
      <c r="K23" s="22"/>
      <c r="L23" s="54"/>
      <c r="M23" s="54"/>
    </row>
    <row r="24" spans="1:13" ht="18" customHeight="1">
      <c r="A24" s="54"/>
      <c r="B24" s="54"/>
      <c r="C24" s="54"/>
      <c r="D24" s="54"/>
      <c r="E24" s="54"/>
      <c r="F24" s="54"/>
      <c r="G24" s="54"/>
      <c r="H24" s="22"/>
      <c r="I24" s="22"/>
      <c r="J24" s="22"/>
      <c r="K24" s="22"/>
      <c r="L24" s="54"/>
      <c r="M24" s="54"/>
    </row>
    <row r="25" spans="1:13" ht="18" customHeight="1">
      <c r="A25" s="54"/>
      <c r="B25" s="54" t="s">
        <v>107</v>
      </c>
      <c r="C25" s="54"/>
      <c r="D25" s="54"/>
      <c r="E25" s="54"/>
      <c r="F25" s="54"/>
      <c r="G25" s="54"/>
      <c r="H25" s="215">
        <f>'イ 排出 総括表'!P63</f>
        <v>23.56635862723905</v>
      </c>
      <c r="I25" s="22" t="s">
        <v>294</v>
      </c>
      <c r="J25" s="22"/>
      <c r="K25" s="22"/>
      <c r="L25" s="54"/>
      <c r="M25" s="54"/>
    </row>
    <row r="26" spans="1:13" ht="18" customHeight="1">
      <c r="A26" s="54"/>
      <c r="B26" s="54"/>
      <c r="C26" s="54"/>
      <c r="D26" s="426" t="s">
        <v>121</v>
      </c>
      <c r="E26" s="426"/>
      <c r="F26" s="426"/>
      <c r="G26" s="422" t="s">
        <v>118</v>
      </c>
      <c r="H26" s="423" t="s">
        <v>92</v>
      </c>
      <c r="I26" s="423"/>
      <c r="J26" s="423"/>
      <c r="K26" s="423"/>
      <c r="L26" s="424" t="s">
        <v>122</v>
      </c>
      <c r="M26" s="424"/>
    </row>
    <row r="27" spans="1:13" ht="18" customHeight="1">
      <c r="A27" s="54"/>
      <c r="B27" s="54"/>
      <c r="C27" s="54"/>
      <c r="D27" s="426"/>
      <c r="E27" s="426"/>
      <c r="F27" s="426"/>
      <c r="G27" s="422"/>
      <c r="H27" s="425" t="s">
        <v>94</v>
      </c>
      <c r="I27" s="425"/>
      <c r="J27" s="425"/>
      <c r="K27" s="425"/>
      <c r="L27" s="424"/>
      <c r="M27" s="424"/>
    </row>
    <row r="28" spans="1:13" ht="18" customHeight="1">
      <c r="A28" s="54"/>
      <c r="B28" s="54"/>
      <c r="C28" s="54"/>
      <c r="D28" s="54"/>
      <c r="E28" s="54"/>
      <c r="F28" s="54"/>
      <c r="G28" s="58"/>
      <c r="H28" s="58"/>
      <c r="I28" s="58"/>
      <c r="J28" s="58"/>
      <c r="K28" s="58"/>
      <c r="L28" s="54"/>
      <c r="M28" s="54"/>
    </row>
    <row r="29" s="220" customFormat="1" ht="15" customHeight="1">
      <c r="B29" s="220" t="s">
        <v>247</v>
      </c>
    </row>
    <row r="30" s="220" customFormat="1" ht="15" customHeight="1">
      <c r="B30" s="220" t="s">
        <v>153</v>
      </c>
    </row>
    <row r="31" s="220" customFormat="1" ht="15" customHeight="1">
      <c r="B31" s="220" t="s">
        <v>93</v>
      </c>
    </row>
    <row r="32" spans="1:13" ht="30" customHeight="1">
      <c r="A32" s="54"/>
      <c r="B32" s="54"/>
      <c r="C32" s="54"/>
      <c r="D32" s="54"/>
      <c r="E32" s="54"/>
      <c r="F32" s="54"/>
      <c r="G32" s="58"/>
      <c r="H32" s="58"/>
      <c r="I32" s="58"/>
      <c r="J32" s="58"/>
      <c r="K32" s="58"/>
      <c r="L32" s="54"/>
      <c r="M32" s="54"/>
    </row>
    <row r="33" spans="1:13" ht="21" customHeight="1">
      <c r="A33" s="54"/>
      <c r="B33" s="54" t="s">
        <v>46</v>
      </c>
      <c r="C33" s="54"/>
      <c r="D33" s="54"/>
      <c r="E33" s="54"/>
      <c r="F33" s="54"/>
      <c r="G33" s="54"/>
      <c r="K33" s="54"/>
      <c r="L33" s="54"/>
      <c r="M33" s="54"/>
    </row>
    <row r="34" spans="1:13" ht="21" customHeight="1">
      <c r="A34" s="54"/>
      <c r="B34" s="54" t="s">
        <v>43</v>
      </c>
      <c r="C34" s="54"/>
      <c r="D34" s="54"/>
      <c r="E34" s="54"/>
      <c r="F34" s="54"/>
      <c r="H34" s="223">
        <f>'ウ 最終処分'!B70/1000</f>
        <v>235.96</v>
      </c>
      <c r="I34" s="22" t="s">
        <v>295</v>
      </c>
      <c r="J34" s="22"/>
      <c r="K34" s="22"/>
      <c r="L34" s="22"/>
      <c r="M34" s="54"/>
    </row>
    <row r="35" spans="1:13" ht="21.75" customHeight="1">
      <c r="A35" s="54"/>
      <c r="B35" s="54" t="s">
        <v>42</v>
      </c>
      <c r="C35" s="54"/>
      <c r="D35" s="54"/>
      <c r="E35" s="54"/>
      <c r="F35" s="54"/>
      <c r="H35" s="284">
        <f>'ウ 最終処分'!C70/('イ 排出 総括表'!D63+'イ 排出 総括表'!J63)</f>
        <v>0.0073882617672361844</v>
      </c>
      <c r="I35" s="22" t="s">
        <v>283</v>
      </c>
      <c r="K35" s="54"/>
      <c r="L35" s="54"/>
      <c r="M35" s="54"/>
    </row>
    <row r="36" spans="1:13" ht="18" customHeight="1">
      <c r="A36" s="54"/>
      <c r="B36" s="54"/>
      <c r="C36" s="54"/>
      <c r="D36" s="426" t="s">
        <v>44</v>
      </c>
      <c r="E36" s="426"/>
      <c r="F36" s="426"/>
      <c r="G36" s="422" t="s">
        <v>118</v>
      </c>
      <c r="H36" s="423" t="s">
        <v>45</v>
      </c>
      <c r="I36" s="423"/>
      <c r="J36" s="423"/>
      <c r="K36" s="423"/>
      <c r="L36" s="424" t="s">
        <v>122</v>
      </c>
      <c r="M36" s="424"/>
    </row>
    <row r="37" spans="1:13" ht="18" customHeight="1">
      <c r="A37" s="54"/>
      <c r="B37" s="54"/>
      <c r="C37" s="54"/>
      <c r="D37" s="426"/>
      <c r="E37" s="426"/>
      <c r="F37" s="426"/>
      <c r="G37" s="422"/>
      <c r="H37" s="425" t="s">
        <v>89</v>
      </c>
      <c r="I37" s="425"/>
      <c r="J37" s="425"/>
      <c r="K37" s="425"/>
      <c r="L37" s="424"/>
      <c r="M37" s="424"/>
    </row>
    <row r="38" spans="1:13" ht="18" customHeight="1">
      <c r="A38" s="54"/>
      <c r="B38" s="54"/>
      <c r="C38" s="54"/>
      <c r="D38" s="54"/>
      <c r="E38" s="54"/>
      <c r="F38" s="54"/>
      <c r="G38" s="58"/>
      <c r="H38" s="58"/>
      <c r="I38" s="58"/>
      <c r="J38" s="58"/>
      <c r="K38" s="58"/>
      <c r="L38" s="54"/>
      <c r="M38" s="54"/>
    </row>
    <row r="39" spans="1:13" ht="21" customHeight="1">
      <c r="A39" s="54"/>
      <c r="B39" s="54" t="s">
        <v>47</v>
      </c>
      <c r="C39" s="54"/>
      <c r="D39" s="54"/>
      <c r="E39" s="54"/>
      <c r="F39" s="54"/>
      <c r="H39" s="418">
        <v>2708</v>
      </c>
      <c r="I39" s="22" t="s">
        <v>296</v>
      </c>
      <c r="J39" s="22"/>
      <c r="K39" s="22"/>
      <c r="L39" s="22"/>
      <c r="M39" s="54"/>
    </row>
    <row r="40" spans="1:13" ht="21.75" customHeight="1">
      <c r="A40" s="54"/>
      <c r="B40" s="54" t="s">
        <v>48</v>
      </c>
      <c r="C40" s="54"/>
      <c r="D40" s="54"/>
      <c r="E40" s="54"/>
      <c r="F40" s="54"/>
      <c r="H40" s="419">
        <v>19.5</v>
      </c>
      <c r="I40" s="22" t="s">
        <v>297</v>
      </c>
      <c r="J40" s="22"/>
      <c r="K40" s="54"/>
      <c r="L40" s="54"/>
      <c r="M40" s="54"/>
    </row>
    <row r="41" spans="1:13" ht="18" customHeight="1">
      <c r="A41" s="54"/>
      <c r="B41" s="54"/>
      <c r="C41" s="54"/>
      <c r="D41" s="426" t="s">
        <v>49</v>
      </c>
      <c r="E41" s="426"/>
      <c r="F41" s="426"/>
      <c r="G41" s="422" t="s">
        <v>118</v>
      </c>
      <c r="H41" s="423" t="s">
        <v>177</v>
      </c>
      <c r="I41" s="423"/>
      <c r="J41" s="423"/>
      <c r="K41" s="423"/>
      <c r="L41" s="54"/>
      <c r="M41" s="54"/>
    </row>
    <row r="42" spans="1:13" ht="18" customHeight="1">
      <c r="A42" s="54"/>
      <c r="B42" s="54"/>
      <c r="C42" s="54"/>
      <c r="D42" s="426"/>
      <c r="E42" s="426"/>
      <c r="F42" s="426"/>
      <c r="G42" s="422"/>
      <c r="H42" s="462" t="s">
        <v>178</v>
      </c>
      <c r="I42" s="462"/>
      <c r="J42" s="462"/>
      <c r="K42" s="462"/>
      <c r="L42" s="54"/>
      <c r="M42" s="54"/>
    </row>
    <row r="43" spans="1:13" ht="30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3" ht="20.25" customHeight="1">
      <c r="A44" s="54"/>
      <c r="B44" s="54" t="s">
        <v>95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</row>
    <row r="45" spans="1:13" ht="21" customHeight="1">
      <c r="A45" s="54"/>
      <c r="B45" s="54" t="s">
        <v>96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3" ht="21" customHeight="1">
      <c r="A46" s="54"/>
      <c r="B46" s="54" t="s">
        <v>108</v>
      </c>
      <c r="C46" s="54"/>
      <c r="D46" s="54"/>
      <c r="E46" s="54"/>
      <c r="F46" s="54"/>
      <c r="G46" s="54"/>
      <c r="H46" s="337">
        <v>1063.70179</v>
      </c>
      <c r="I46" s="22" t="s">
        <v>344</v>
      </c>
      <c r="J46" s="9"/>
      <c r="K46" s="22"/>
      <c r="L46" s="54"/>
      <c r="M46" s="54"/>
    </row>
    <row r="47" spans="1:13" ht="21" customHeight="1">
      <c r="A47" s="54"/>
      <c r="B47" s="54" t="s">
        <v>109</v>
      </c>
      <c r="C47" s="54"/>
      <c r="D47" s="54"/>
      <c r="E47" s="54"/>
      <c r="F47" s="54"/>
      <c r="G47" s="54"/>
      <c r="H47" s="337">
        <v>154.51523</v>
      </c>
      <c r="I47" s="22" t="s">
        <v>348</v>
      </c>
      <c r="J47" s="22"/>
      <c r="K47" s="22"/>
      <c r="L47" s="54"/>
      <c r="M47" s="54"/>
    </row>
    <row r="48" spans="1:13" ht="21" customHeight="1">
      <c r="A48" s="54"/>
      <c r="B48" s="54" t="s">
        <v>110</v>
      </c>
      <c r="C48" s="54"/>
      <c r="D48" s="54"/>
      <c r="E48" s="54"/>
      <c r="F48" s="54"/>
      <c r="G48" s="54"/>
      <c r="H48" s="337">
        <v>841.00668</v>
      </c>
      <c r="I48" s="22" t="s">
        <v>343</v>
      </c>
      <c r="J48" s="22"/>
      <c r="K48" s="22"/>
      <c r="L48" s="54"/>
      <c r="M48" s="54"/>
    </row>
    <row r="49" spans="1:13" ht="21" customHeight="1">
      <c r="A49" s="54"/>
      <c r="B49" s="54" t="s">
        <v>111</v>
      </c>
      <c r="C49" s="54"/>
      <c r="D49" s="54"/>
      <c r="E49" s="54"/>
      <c r="F49" s="54"/>
      <c r="G49" s="54"/>
      <c r="H49" s="337">
        <v>68.17988</v>
      </c>
      <c r="I49" s="22" t="s">
        <v>298</v>
      </c>
      <c r="J49" s="22"/>
      <c r="K49" s="22"/>
      <c r="L49" s="54"/>
      <c r="M49" s="54"/>
    </row>
    <row r="50" spans="1:13" ht="15" customHeight="1">
      <c r="A50" s="54"/>
      <c r="B50" s="54"/>
      <c r="C50" s="54"/>
      <c r="D50" s="54"/>
      <c r="E50" s="54"/>
      <c r="F50" s="54"/>
      <c r="G50" s="54"/>
      <c r="H50" s="22"/>
      <c r="I50" s="22"/>
      <c r="J50" s="22"/>
      <c r="K50" s="54"/>
      <c r="L50" s="54"/>
      <c r="M50" s="54"/>
    </row>
    <row r="51" spans="1:13" ht="21" customHeight="1">
      <c r="A51" s="54"/>
      <c r="B51" s="54" t="s">
        <v>97</v>
      </c>
      <c r="C51" s="54"/>
      <c r="D51" s="54"/>
      <c r="E51" s="54"/>
      <c r="F51" s="54"/>
      <c r="G51" s="54"/>
      <c r="H51" s="22"/>
      <c r="I51" s="22"/>
      <c r="J51" s="22"/>
      <c r="K51" s="54"/>
      <c r="L51" s="54"/>
      <c r="M51" s="54"/>
    </row>
    <row r="52" spans="1:13" ht="21" customHeight="1">
      <c r="A52" s="54"/>
      <c r="B52" s="54" t="s">
        <v>112</v>
      </c>
      <c r="C52" s="54"/>
      <c r="D52" s="54"/>
      <c r="E52" s="54"/>
      <c r="F52" s="54"/>
      <c r="G52" s="54"/>
      <c r="H52" s="338">
        <f>H46*100000000/'ア 処理現況１'!F6</f>
        <v>14212.578638705289</v>
      </c>
      <c r="I52" s="22" t="s">
        <v>345</v>
      </c>
      <c r="J52" s="9"/>
      <c r="K52" s="22"/>
      <c r="L52" s="54"/>
      <c r="M52" s="54"/>
    </row>
    <row r="53" spans="1:13" ht="21" customHeight="1">
      <c r="A53" s="54"/>
      <c r="B53" s="54" t="s">
        <v>113</v>
      </c>
      <c r="C53" s="54"/>
      <c r="D53" s="54"/>
      <c r="E53" s="54"/>
      <c r="F53" s="54"/>
      <c r="G53" s="54"/>
      <c r="H53" s="338">
        <f>H47*100000000/'ア 処理現況１'!F6</f>
        <v>2064.5446664639294</v>
      </c>
      <c r="I53" s="22" t="s">
        <v>347</v>
      </c>
      <c r="J53" s="22"/>
      <c r="K53" s="22"/>
      <c r="L53" s="54"/>
      <c r="M53" s="54"/>
    </row>
    <row r="54" spans="1:13" ht="21" customHeight="1">
      <c r="A54" s="54"/>
      <c r="B54" s="54" t="s">
        <v>114</v>
      </c>
      <c r="C54" s="54"/>
      <c r="D54" s="54"/>
      <c r="E54" s="54"/>
      <c r="F54" s="54"/>
      <c r="G54" s="54"/>
      <c r="H54" s="338">
        <f>H48*100000000/'ア 処理現況１'!F6</f>
        <v>11237.053173687385</v>
      </c>
      <c r="I54" s="22" t="s">
        <v>346</v>
      </c>
      <c r="J54" s="22"/>
      <c r="K54" s="22"/>
      <c r="L54" s="54"/>
      <c r="M54" s="54"/>
    </row>
    <row r="55" spans="1:13" ht="21" customHeight="1">
      <c r="A55" s="54"/>
      <c r="B55" s="54" t="s">
        <v>115</v>
      </c>
      <c r="C55" s="54"/>
      <c r="D55" s="54"/>
      <c r="E55" s="54"/>
      <c r="F55" s="54"/>
      <c r="G55" s="54"/>
      <c r="H55" s="338">
        <f>H49*100000000/'ア 処理現況１'!F6</f>
        <v>910.9807985539725</v>
      </c>
      <c r="I55" s="22" t="s">
        <v>299</v>
      </c>
      <c r="J55" s="22"/>
      <c r="K55" s="22"/>
      <c r="L55" s="54"/>
      <c r="M55" s="54"/>
    </row>
    <row r="56" spans="1:13" ht="1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</row>
    <row r="57" s="220" customFormat="1" ht="15" customHeight="1">
      <c r="B57" s="220" t="s">
        <v>126</v>
      </c>
    </row>
    <row r="58" s="220" customFormat="1" ht="15" customHeight="1">
      <c r="B58" s="220" t="s">
        <v>125</v>
      </c>
    </row>
    <row r="73" ht="14.25">
      <c r="B73" s="1" t="s">
        <v>16</v>
      </c>
    </row>
    <row r="74" ht="14.25">
      <c r="B74" s="1" t="s">
        <v>181</v>
      </c>
    </row>
    <row r="75" ht="14.25">
      <c r="B75" s="1" t="s">
        <v>246</v>
      </c>
    </row>
  </sheetData>
  <mergeCells count="20">
    <mergeCell ref="D41:F42"/>
    <mergeCell ref="G41:G42"/>
    <mergeCell ref="H41:K41"/>
    <mergeCell ref="H42:K42"/>
    <mergeCell ref="D36:F37"/>
    <mergeCell ref="G36:G37"/>
    <mergeCell ref="H36:K36"/>
    <mergeCell ref="L36:M37"/>
    <mergeCell ref="H37:K37"/>
    <mergeCell ref="L26:M27"/>
    <mergeCell ref="H27:K27"/>
    <mergeCell ref="D17:F18"/>
    <mergeCell ref="G17:G18"/>
    <mergeCell ref="H17:J17"/>
    <mergeCell ref="K17:K18"/>
    <mergeCell ref="H18:J18"/>
    <mergeCell ref="C8:G8"/>
    <mergeCell ref="D26:F27"/>
    <mergeCell ref="G26:G27"/>
    <mergeCell ref="H26:K26"/>
  </mergeCells>
  <printOptions horizontalCentered="1"/>
  <pageMargins left="0.5905511811023623" right="0.5905511811023623" top="0.7874015748031497" bottom="0.7874015748031497" header="0.3937007874015748" footer="0.3937007874015748"/>
  <pageSetup firstPageNumber="17" useFirstPageNumber="1" horizontalDpi="600" verticalDpi="600" orientation="portrait" pageOrder="overThenDown" paperSize="9" scale="70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44"/>
  </sheetPr>
  <dimension ref="A3:AP74"/>
  <sheetViews>
    <sheetView view="pageBreakPreview" zoomScale="75" zoomScaleNormal="75" zoomScaleSheetLayoutView="75" workbookViewId="0" topLeftCell="A40">
      <selection activeCell="AE68" sqref="AE68"/>
    </sheetView>
  </sheetViews>
  <sheetFormatPr defaultColWidth="9" defaultRowHeight="15"/>
  <cols>
    <col min="1" max="1" width="3" style="1" customWidth="1"/>
    <col min="2" max="2" width="7.59765625" style="1" customWidth="1"/>
    <col min="3" max="3" width="7.5" style="1" customWidth="1"/>
    <col min="4" max="4" width="7.09765625" style="1" customWidth="1"/>
    <col min="5" max="14" width="7.5" style="1" customWidth="1"/>
    <col min="15" max="15" width="6.3984375" style="1" customWidth="1"/>
    <col min="16" max="16" width="6.5" style="1" customWidth="1"/>
    <col min="17" max="17" width="5.8984375" style="1" customWidth="1"/>
    <col min="18" max="18" width="10.5" style="1" customWidth="1"/>
    <col min="19" max="33" width="7.59765625" style="1" customWidth="1"/>
    <col min="34" max="34" width="8" style="1" bestFit="1" customWidth="1"/>
    <col min="35" max="38" width="7.59765625" style="1" customWidth="1"/>
    <col min="39" max="39" width="7" style="1" bestFit="1" customWidth="1"/>
    <col min="40" max="40" width="7" style="1" customWidth="1"/>
    <col min="41" max="41" width="8.5" style="1" customWidth="1"/>
    <col min="42" max="42" width="8.59765625" style="1" customWidth="1"/>
    <col min="43" max="16384" width="11" style="1" customWidth="1"/>
  </cols>
  <sheetData>
    <row r="3" ht="18.75">
      <c r="A3" s="24"/>
    </row>
    <row r="5" ht="15">
      <c r="R5" s="1" t="s">
        <v>154</v>
      </c>
    </row>
    <row r="6" spans="18:42" ht="15">
      <c r="R6" s="1" t="s">
        <v>85</v>
      </c>
      <c r="S6" s="16">
        <v>62</v>
      </c>
      <c r="T6" s="16">
        <v>63</v>
      </c>
      <c r="U6" s="16" t="s">
        <v>86</v>
      </c>
      <c r="V6" s="16">
        <v>2</v>
      </c>
      <c r="W6" s="16">
        <v>3</v>
      </c>
      <c r="X6" s="16">
        <v>4</v>
      </c>
      <c r="Y6" s="16">
        <v>5</v>
      </c>
      <c r="Z6" s="16">
        <v>6</v>
      </c>
      <c r="AA6" s="16">
        <v>7</v>
      </c>
      <c r="AB6" s="16">
        <v>8</v>
      </c>
      <c r="AC6" s="16">
        <v>9</v>
      </c>
      <c r="AD6" s="16">
        <v>10</v>
      </c>
      <c r="AE6" s="16">
        <v>11</v>
      </c>
      <c r="AF6" s="16">
        <v>12</v>
      </c>
      <c r="AG6" s="16">
        <v>13</v>
      </c>
      <c r="AH6" s="16">
        <v>14</v>
      </c>
      <c r="AI6" s="16">
        <v>15</v>
      </c>
      <c r="AJ6" s="16">
        <v>16</v>
      </c>
      <c r="AK6" s="16">
        <v>17</v>
      </c>
      <c r="AL6" s="16">
        <v>18</v>
      </c>
      <c r="AM6" s="16">
        <v>19</v>
      </c>
      <c r="AN6" s="16">
        <v>20</v>
      </c>
      <c r="AO6" s="16">
        <v>21</v>
      </c>
      <c r="AP6" s="16">
        <v>22</v>
      </c>
    </row>
    <row r="7" spans="18:42" s="19" customFormat="1" ht="15">
      <c r="R7" s="19" t="s">
        <v>180</v>
      </c>
      <c r="S7" s="19">
        <v>2251</v>
      </c>
      <c r="T7" s="19">
        <v>2324</v>
      </c>
      <c r="U7" s="19">
        <v>2445</v>
      </c>
      <c r="V7" s="19">
        <v>2475</v>
      </c>
      <c r="W7" s="19">
        <v>2503</v>
      </c>
      <c r="X7" s="19">
        <v>2694</v>
      </c>
      <c r="Y7" s="19">
        <v>2710</v>
      </c>
      <c r="Z7" s="19">
        <v>2796</v>
      </c>
      <c r="AA7" s="19">
        <v>2804</v>
      </c>
      <c r="AB7" s="19">
        <v>2848</v>
      </c>
      <c r="AC7" s="19">
        <v>2897</v>
      </c>
      <c r="AD7" s="19">
        <v>2974</v>
      </c>
      <c r="AE7" s="19">
        <v>2899</v>
      </c>
      <c r="AF7" s="19">
        <v>2927</v>
      </c>
      <c r="AG7" s="19">
        <v>2896</v>
      </c>
      <c r="AH7" s="19">
        <v>2929</v>
      </c>
      <c r="AI7" s="19">
        <v>2971</v>
      </c>
      <c r="AJ7" s="19">
        <v>2926.031</v>
      </c>
      <c r="AK7" s="19">
        <v>2925</v>
      </c>
      <c r="AL7" s="19">
        <v>2945</v>
      </c>
      <c r="AM7" s="172">
        <v>2895.033</v>
      </c>
      <c r="AN7" s="172">
        <v>2801.446</v>
      </c>
      <c r="AO7" s="172">
        <v>2668.511</v>
      </c>
      <c r="AP7" s="172">
        <v>2607.254</v>
      </c>
    </row>
    <row r="8" spans="18:42" ht="15">
      <c r="R8" s="1" t="s">
        <v>151</v>
      </c>
      <c r="S8" s="19">
        <v>637</v>
      </c>
      <c r="T8" s="19">
        <v>631</v>
      </c>
      <c r="U8" s="19">
        <v>720</v>
      </c>
      <c r="V8" s="19">
        <v>711</v>
      </c>
      <c r="W8" s="19">
        <v>767</v>
      </c>
      <c r="X8" s="19">
        <v>750</v>
      </c>
      <c r="Y8" s="19">
        <v>723</v>
      </c>
      <c r="Z8" s="19">
        <v>713</v>
      </c>
      <c r="AA8" s="19">
        <v>661</v>
      </c>
      <c r="AB8" s="19">
        <v>646</v>
      </c>
      <c r="AC8" s="19">
        <v>612</v>
      </c>
      <c r="AD8" s="19">
        <v>612</v>
      </c>
      <c r="AE8" s="19">
        <v>550</v>
      </c>
      <c r="AF8" s="19">
        <v>490</v>
      </c>
      <c r="AG8" s="19">
        <v>438</v>
      </c>
      <c r="AH8" s="19">
        <v>409</v>
      </c>
      <c r="AI8" s="19">
        <v>392</v>
      </c>
      <c r="AJ8" s="1">
        <v>371</v>
      </c>
      <c r="AK8" s="1">
        <v>342</v>
      </c>
      <c r="AL8" s="1">
        <v>334</v>
      </c>
      <c r="AM8" s="173">
        <v>316.369</v>
      </c>
      <c r="AN8" s="173">
        <v>298.294</v>
      </c>
      <c r="AO8" s="173">
        <v>258.67</v>
      </c>
      <c r="AP8" s="173">
        <v>235.96</v>
      </c>
    </row>
    <row r="9" spans="18:42" s="19" customFormat="1" ht="15">
      <c r="R9" s="19" t="s">
        <v>150</v>
      </c>
      <c r="S9" s="19">
        <v>949</v>
      </c>
      <c r="T9" s="19">
        <v>974</v>
      </c>
      <c r="U9" s="19">
        <v>1019</v>
      </c>
      <c r="V9" s="19">
        <v>1026</v>
      </c>
      <c r="W9" s="19">
        <v>1023</v>
      </c>
      <c r="X9" s="19">
        <v>1092</v>
      </c>
      <c r="Y9" s="19">
        <v>1093</v>
      </c>
      <c r="Z9" s="19">
        <v>1123</v>
      </c>
      <c r="AA9" s="19">
        <v>1120</v>
      </c>
      <c r="AB9" s="19">
        <v>1136</v>
      </c>
      <c r="AC9" s="19">
        <v>1150</v>
      </c>
      <c r="AD9" s="19">
        <v>1184</v>
      </c>
      <c r="AE9" s="19">
        <v>1148</v>
      </c>
      <c r="AF9" s="19">
        <v>1153</v>
      </c>
      <c r="AG9" s="19">
        <v>1124</v>
      </c>
      <c r="AH9" s="19">
        <v>1128</v>
      </c>
      <c r="AI9" s="19">
        <v>1142</v>
      </c>
      <c r="AJ9" s="19">
        <v>1117</v>
      </c>
      <c r="AK9" s="19">
        <v>1116</v>
      </c>
      <c r="AL9" s="19">
        <v>1115</v>
      </c>
      <c r="AM9" s="172">
        <v>1064.739630975866</v>
      </c>
      <c r="AN9" s="172">
        <v>1026.7531677773752</v>
      </c>
      <c r="AO9" s="323">
        <f>AO7*1000000000/AO18/365</f>
        <v>980.2036430884131</v>
      </c>
      <c r="AP9" s="323">
        <f>AP7*1000000000/AP18/365</f>
        <v>954.428652338707</v>
      </c>
    </row>
    <row r="10" spans="18:42" s="19" customFormat="1" ht="15">
      <c r="R10" s="1" t="s">
        <v>142</v>
      </c>
      <c r="S10" s="19">
        <v>935</v>
      </c>
      <c r="T10" s="19">
        <v>957</v>
      </c>
      <c r="U10" s="19">
        <v>1004</v>
      </c>
      <c r="V10" s="19">
        <v>1010</v>
      </c>
      <c r="W10" s="19">
        <v>1002</v>
      </c>
      <c r="X10" s="19">
        <v>1006</v>
      </c>
      <c r="Y10" s="19">
        <v>1004</v>
      </c>
      <c r="Z10" s="19">
        <v>1024</v>
      </c>
      <c r="AA10" s="19">
        <v>1010</v>
      </c>
      <c r="AB10" s="19">
        <v>1023</v>
      </c>
      <c r="AC10" s="19">
        <v>1031</v>
      </c>
      <c r="AD10" s="19">
        <v>1060</v>
      </c>
      <c r="AE10" s="19">
        <v>1007</v>
      </c>
      <c r="AF10" s="19">
        <v>980</v>
      </c>
      <c r="AG10" s="19">
        <v>930</v>
      </c>
      <c r="AH10" s="19">
        <v>929</v>
      </c>
      <c r="AI10" s="19">
        <v>936</v>
      </c>
      <c r="AJ10" s="19">
        <v>913</v>
      </c>
      <c r="AK10" s="19">
        <v>909</v>
      </c>
      <c r="AL10" s="19">
        <v>895</v>
      </c>
      <c r="AM10" s="172">
        <v>854.6848948690389</v>
      </c>
      <c r="AN10" s="172">
        <v>822.1656777720332</v>
      </c>
      <c r="AO10" s="172">
        <f>AO17/AO18/365*1000000000</f>
        <v>791.5671038761562</v>
      </c>
      <c r="AP10" s="172">
        <f>AP17/AP18/365*1000000000</f>
        <v>765.1088816466433</v>
      </c>
    </row>
    <row r="11" ht="15"/>
    <row r="12" ht="15"/>
    <row r="13" spans="39:42" ht="15">
      <c r="AM13" s="1" t="s">
        <v>336</v>
      </c>
      <c r="AO13" s="1">
        <v>300.412</v>
      </c>
      <c r="AP13" s="1">
        <v>289.989</v>
      </c>
    </row>
    <row r="14" spans="39:42" ht="15">
      <c r="AM14" s="1" t="s">
        <v>337</v>
      </c>
      <c r="AP14" s="1">
        <v>12.295</v>
      </c>
    </row>
    <row r="15" spans="39:42" ht="15">
      <c r="AM15" s="1" t="s">
        <v>338</v>
      </c>
      <c r="AP15" s="1">
        <v>5.64</v>
      </c>
    </row>
    <row r="16" spans="39:42" ht="15">
      <c r="AM16" s="1" t="s">
        <v>81</v>
      </c>
      <c r="AO16" s="1">
        <v>213.133</v>
      </c>
      <c r="AP16" s="1">
        <v>209.249</v>
      </c>
    </row>
    <row r="17" spans="39:42" ht="15">
      <c r="AM17" s="1" t="s">
        <v>20</v>
      </c>
      <c r="AO17" s="290">
        <f>AO7-AO13-AO16</f>
        <v>2154.9660000000003</v>
      </c>
      <c r="AP17" s="290">
        <f>AP7-SUM(AP13:AP16)</f>
        <v>2090.081</v>
      </c>
    </row>
    <row r="18" spans="39:42" ht="15">
      <c r="AM18" s="1" t="s">
        <v>267</v>
      </c>
      <c r="AO18" s="1">
        <v>7458643</v>
      </c>
      <c r="AP18" s="1">
        <v>7484228</v>
      </c>
    </row>
    <row r="19" ht="15"/>
    <row r="20" spans="40:42" ht="15">
      <c r="AN20" s="1" t="s">
        <v>282</v>
      </c>
      <c r="AO20" s="1">
        <f>1-(AN7-AO7)/AN7</f>
        <v>0.9525477199988863</v>
      </c>
      <c r="AP20" s="1">
        <f>1-(AO7-AP7)/AO7</f>
        <v>0.9770445015965833</v>
      </c>
    </row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4.25">
      <c r="B36" s="174" t="s">
        <v>148</v>
      </c>
    </row>
    <row r="37" ht="14.25">
      <c r="B37" s="174" t="s">
        <v>149</v>
      </c>
    </row>
    <row r="40" ht="14.25">
      <c r="R40" s="1" t="s">
        <v>155</v>
      </c>
    </row>
    <row r="41" spans="18:37" ht="14.25">
      <c r="R41" s="1" t="s">
        <v>85</v>
      </c>
      <c r="S41" s="16">
        <v>4</v>
      </c>
      <c r="T41" s="16">
        <v>5</v>
      </c>
      <c r="U41" s="16">
        <v>6</v>
      </c>
      <c r="V41" s="16">
        <v>7</v>
      </c>
      <c r="W41" s="16">
        <v>8</v>
      </c>
      <c r="X41" s="16">
        <v>9</v>
      </c>
      <c r="Y41" s="16">
        <v>10</v>
      </c>
      <c r="Z41" s="16">
        <v>11</v>
      </c>
      <c r="AA41" s="16">
        <v>12</v>
      </c>
      <c r="AB41" s="16">
        <v>13</v>
      </c>
      <c r="AC41" s="16">
        <v>14</v>
      </c>
      <c r="AD41" s="16">
        <v>15</v>
      </c>
      <c r="AE41" s="16">
        <v>16</v>
      </c>
      <c r="AF41" s="16">
        <v>17</v>
      </c>
      <c r="AG41" s="16">
        <v>18</v>
      </c>
      <c r="AH41" s="16">
        <v>19</v>
      </c>
      <c r="AI41" s="16">
        <v>20</v>
      </c>
      <c r="AJ41" s="1">
        <v>21</v>
      </c>
      <c r="AK41" s="1">
        <v>22</v>
      </c>
    </row>
    <row r="42" spans="18:37" ht="15">
      <c r="R42" s="1" t="s">
        <v>103</v>
      </c>
      <c r="S42" s="246">
        <v>86.922</v>
      </c>
      <c r="T42" s="246">
        <v>98.22</v>
      </c>
      <c r="U42" s="246">
        <v>110.579</v>
      </c>
      <c r="V42" s="246">
        <v>118.815</v>
      </c>
      <c r="W42" s="246">
        <v>141.011</v>
      </c>
      <c r="X42" s="246">
        <v>162.24</v>
      </c>
      <c r="Y42" s="246">
        <v>185.059</v>
      </c>
      <c r="Z42" s="246">
        <v>214.488</v>
      </c>
      <c r="AA42" s="246">
        <v>282.386</v>
      </c>
      <c r="AB42" s="246">
        <v>302.78</v>
      </c>
      <c r="AC42" s="246">
        <v>314.924</v>
      </c>
      <c r="AD42" s="246">
        <v>344.241</v>
      </c>
      <c r="AE42" s="246">
        <v>368.899</v>
      </c>
      <c r="AF42" s="246">
        <v>396.454</v>
      </c>
      <c r="AG42" s="246">
        <v>394.228</v>
      </c>
      <c r="AH42" s="246">
        <v>404.897</v>
      </c>
      <c r="AI42" s="246">
        <v>400.416</v>
      </c>
      <c r="AJ42" s="246">
        <v>414.406</v>
      </c>
      <c r="AK42" s="246">
        <v>405.183</v>
      </c>
    </row>
    <row r="43" spans="18:37" ht="15">
      <c r="R43" s="1" t="s">
        <v>90</v>
      </c>
      <c r="S43" s="246">
        <v>163.711</v>
      </c>
      <c r="T43" s="246">
        <v>162.055</v>
      </c>
      <c r="U43" s="246">
        <v>178.021</v>
      </c>
      <c r="V43" s="246">
        <v>201.024</v>
      </c>
      <c r="W43" s="246">
        <v>191.815</v>
      </c>
      <c r="X43" s="246">
        <v>192.383</v>
      </c>
      <c r="Y43" s="246">
        <v>185.431</v>
      </c>
      <c r="Z43" s="246">
        <v>194.937</v>
      </c>
      <c r="AA43" s="246">
        <v>222.172</v>
      </c>
      <c r="AB43" s="246">
        <v>250.977</v>
      </c>
      <c r="AC43" s="246">
        <v>250.051</v>
      </c>
      <c r="AD43" s="246">
        <v>255.271</v>
      </c>
      <c r="AE43" s="246">
        <v>247.536</v>
      </c>
      <c r="AF43" s="246">
        <v>247.363</v>
      </c>
      <c r="AG43" s="246">
        <v>255.157</v>
      </c>
      <c r="AH43" s="246">
        <v>250.235</v>
      </c>
      <c r="AI43" s="246">
        <v>237.903</v>
      </c>
      <c r="AJ43" s="246">
        <v>213.133</v>
      </c>
      <c r="AK43" s="246">
        <v>209.249</v>
      </c>
    </row>
    <row r="44" spans="18:37" ht="15">
      <c r="R44" s="1" t="s">
        <v>156</v>
      </c>
      <c r="S44" s="246">
        <f>SUM(S42:S43)</f>
        <v>250.633</v>
      </c>
      <c r="T44" s="246">
        <f aca="true" t="shared" si="0" ref="T44:AD44">SUM(T42:T43)</f>
        <v>260.275</v>
      </c>
      <c r="U44" s="246">
        <f t="shared" si="0"/>
        <v>288.59999999999997</v>
      </c>
      <c r="V44" s="246">
        <f t="shared" si="0"/>
        <v>319.839</v>
      </c>
      <c r="W44" s="246">
        <f t="shared" si="0"/>
        <v>332.826</v>
      </c>
      <c r="X44" s="246">
        <f t="shared" si="0"/>
        <v>354.62300000000005</v>
      </c>
      <c r="Y44" s="246">
        <f t="shared" si="0"/>
        <v>370.49</v>
      </c>
      <c r="Z44" s="246">
        <f t="shared" si="0"/>
        <v>409.425</v>
      </c>
      <c r="AA44" s="246">
        <f t="shared" si="0"/>
        <v>504.558</v>
      </c>
      <c r="AB44" s="246">
        <f t="shared" si="0"/>
        <v>553.757</v>
      </c>
      <c r="AC44" s="246">
        <f t="shared" si="0"/>
        <v>564.9749999999999</v>
      </c>
      <c r="AD44" s="246">
        <f t="shared" si="0"/>
        <v>599.512</v>
      </c>
      <c r="AE44" s="246">
        <f aca="true" t="shared" si="1" ref="AE44:AJ44">SUM(AE42:AE43)</f>
        <v>616.435</v>
      </c>
      <c r="AF44" s="246">
        <f t="shared" si="1"/>
        <v>643.817</v>
      </c>
      <c r="AG44" s="246">
        <f t="shared" si="1"/>
        <v>649.385</v>
      </c>
      <c r="AH44" s="246">
        <f t="shared" si="1"/>
        <v>655.1320000000001</v>
      </c>
      <c r="AI44" s="246">
        <f t="shared" si="1"/>
        <v>638.319</v>
      </c>
      <c r="AJ44" s="246">
        <f t="shared" si="1"/>
        <v>627.539</v>
      </c>
      <c r="AK44" s="246">
        <f>SUM(AK42:AK43)</f>
        <v>614.432</v>
      </c>
    </row>
    <row r="45" spans="18:37" ht="15">
      <c r="R45" s="1" t="s">
        <v>29</v>
      </c>
      <c r="S45" s="16">
        <v>9.4</v>
      </c>
      <c r="T45" s="16">
        <v>9.8</v>
      </c>
      <c r="U45" s="16">
        <v>10.5</v>
      </c>
      <c r="V45" s="16">
        <v>11.6</v>
      </c>
      <c r="W45" s="16">
        <v>11.9</v>
      </c>
      <c r="X45" s="16">
        <v>12.4</v>
      </c>
      <c r="Y45" s="16">
        <v>12.6</v>
      </c>
      <c r="Z45" s="16">
        <v>14.2</v>
      </c>
      <c r="AA45" s="16">
        <v>17.4</v>
      </c>
      <c r="AB45" s="16">
        <v>19.2</v>
      </c>
      <c r="AC45" s="16">
        <v>19.4</v>
      </c>
      <c r="AD45" s="16">
        <v>20.3</v>
      </c>
      <c r="AE45" s="16">
        <v>21.1</v>
      </c>
      <c r="AF45" s="247">
        <v>22</v>
      </c>
      <c r="AG45" s="247">
        <v>22.1</v>
      </c>
      <c r="AH45" s="247">
        <v>22.64119383177699</v>
      </c>
      <c r="AI45" s="286">
        <v>22.800510933417918</v>
      </c>
      <c r="AJ45" s="286">
        <f>AJ44/2668498*100000</f>
        <v>23.516562500702644</v>
      </c>
      <c r="AK45" s="286">
        <f>AK44/2607242*100000</f>
        <v>23.56635862723905</v>
      </c>
    </row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>
      <c r="B71" s="174" t="s">
        <v>17</v>
      </c>
    </row>
    <row r="72" ht="14.25">
      <c r="B72" s="174" t="s">
        <v>16</v>
      </c>
    </row>
    <row r="73" ht="14.25">
      <c r="B73" s="174" t="s">
        <v>21</v>
      </c>
    </row>
    <row r="74" ht="14.25">
      <c r="B74" s="174" t="s">
        <v>246</v>
      </c>
    </row>
  </sheetData>
  <printOptions horizontalCentered="1"/>
  <pageMargins left="0.5905511811023623" right="0.5905511811023623" top="0.5905511811023623" bottom="0.5905511811023623" header="0.3937007874015748" footer="0.3937007874015748"/>
  <pageSetup firstPageNumber="18" useFirstPageNumber="1" horizontalDpi="600" verticalDpi="600" orientation="portrait" pageOrder="overThenDown" paperSize="9" scale="71" r:id="rId2"/>
  <headerFooter alignWithMargins="0">
    <oddFooter xml:space="preserve">&amp;C&amp;P </oddFooter>
  </headerFooter>
  <colBreaks count="1" manualBreakCount="1">
    <brk id="17" min="1" max="7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indexed="15"/>
  </sheetPr>
  <dimension ref="A1:X580"/>
  <sheetViews>
    <sheetView view="pageBreakPreview" zoomScale="75" zoomScaleNormal="75" zoomScaleSheetLayoutView="75" workbookViewId="0" topLeftCell="A1">
      <pane xSplit="1" ySplit="5" topLeftCell="B6" activePane="bottomRight" state="frozen"/>
      <selection pane="topLeft" activeCell="I50" sqref="I50:I75"/>
      <selection pane="topRight" activeCell="I50" sqref="I50:I75"/>
      <selection pane="bottomLeft" activeCell="I50" sqref="I50:I75"/>
      <selection pane="bottomRight" activeCell="Q1" sqref="Q1"/>
    </sheetView>
  </sheetViews>
  <sheetFormatPr defaultColWidth="8.796875" defaultRowHeight="27.75" customHeight="1"/>
  <cols>
    <col min="1" max="2" width="16" style="9" customWidth="1"/>
    <col min="3" max="3" width="11.8984375" style="9" customWidth="1"/>
    <col min="4" max="4" width="14.59765625" style="9" customWidth="1"/>
    <col min="5" max="5" width="13" style="9" customWidth="1"/>
    <col min="6" max="7" width="13" style="2" customWidth="1"/>
    <col min="8" max="9" width="10.5" style="2" customWidth="1"/>
    <col min="10" max="10" width="13" style="2" customWidth="1"/>
    <col min="11" max="11" width="8.59765625" style="2" customWidth="1"/>
    <col min="12" max="12" width="13.19921875" style="2" customWidth="1"/>
    <col min="13" max="13" width="2.59765625" style="9" customWidth="1"/>
    <col min="14" max="14" width="15.3984375" style="2" customWidth="1"/>
    <col min="15" max="15" width="12.8984375" style="2" customWidth="1"/>
    <col min="16" max="16" width="11.59765625" style="2" customWidth="1"/>
    <col min="17" max="17" width="4.3984375" style="2" customWidth="1"/>
    <col min="18" max="18" width="16.3984375" style="106" customWidth="1"/>
    <col min="19" max="19" width="12" style="106" customWidth="1"/>
    <col min="20" max="20" width="14" style="106" customWidth="1"/>
    <col min="21" max="21" width="16.19921875" style="106" customWidth="1"/>
    <col min="22" max="22" width="3.8984375" style="106" customWidth="1"/>
    <col min="23" max="23" width="14.69921875" style="106" customWidth="1"/>
    <col min="24" max="16384" width="9" style="9" customWidth="1"/>
  </cols>
  <sheetData>
    <row r="1" spans="1:23" s="12" customFormat="1" ht="30.75" customHeight="1">
      <c r="A1" s="59" t="s">
        <v>176</v>
      </c>
      <c r="F1" s="11"/>
      <c r="G1" s="11"/>
      <c r="H1" s="11"/>
      <c r="I1" s="11"/>
      <c r="J1" s="11"/>
      <c r="K1" s="11"/>
      <c r="L1" s="11"/>
      <c r="N1" s="11"/>
      <c r="O1" s="11"/>
      <c r="P1" s="11"/>
      <c r="Q1" s="11"/>
      <c r="R1" s="105"/>
      <c r="S1" s="105"/>
      <c r="T1" s="105"/>
      <c r="U1" s="105"/>
      <c r="V1" s="105"/>
      <c r="W1" s="105"/>
    </row>
    <row r="2" spans="1:23" s="12" customFormat="1" ht="30" customHeight="1" thickBot="1">
      <c r="A2" s="59" t="s">
        <v>286</v>
      </c>
      <c r="F2" s="5"/>
      <c r="G2" s="5"/>
      <c r="H2" s="5"/>
      <c r="I2" s="60"/>
      <c r="K2" s="6"/>
      <c r="L2" s="23" t="s">
        <v>104</v>
      </c>
      <c r="N2" s="6"/>
      <c r="O2" s="6"/>
      <c r="P2" s="6"/>
      <c r="Q2" s="6"/>
      <c r="R2" s="339"/>
      <c r="S2" s="339"/>
      <c r="T2" s="339"/>
      <c r="U2" s="339"/>
      <c r="V2" s="105"/>
      <c r="W2" s="105"/>
    </row>
    <row r="3" spans="1:23" s="13" customFormat="1" ht="21.75" customHeight="1" thickBot="1">
      <c r="A3" s="463" t="s">
        <v>28</v>
      </c>
      <c r="B3" s="113" t="s">
        <v>168</v>
      </c>
      <c r="C3" s="111"/>
      <c r="D3" s="98"/>
      <c r="E3" s="98"/>
      <c r="F3" s="98"/>
      <c r="G3" s="98"/>
      <c r="H3" s="98"/>
      <c r="I3" s="98"/>
      <c r="J3" s="98"/>
      <c r="K3" s="98"/>
      <c r="L3" s="99"/>
      <c r="N3" s="467" t="s">
        <v>170</v>
      </c>
      <c r="O3" s="467" t="s">
        <v>137</v>
      </c>
      <c r="P3" s="478" t="s">
        <v>105</v>
      </c>
      <c r="Q3" s="236"/>
      <c r="R3" s="484" t="s">
        <v>40</v>
      </c>
      <c r="S3" s="485"/>
      <c r="T3" s="485"/>
      <c r="U3" s="482"/>
      <c r="V3" s="365"/>
      <c r="W3" s="475" t="s">
        <v>39</v>
      </c>
    </row>
    <row r="4" spans="1:23" s="13" customFormat="1" ht="22.5" customHeight="1">
      <c r="A4" s="464"/>
      <c r="B4" s="465" t="s">
        <v>127</v>
      </c>
      <c r="C4" s="469" t="s">
        <v>255</v>
      </c>
      <c r="D4" s="113" t="s">
        <v>144</v>
      </c>
      <c r="E4" s="114"/>
      <c r="F4" s="114"/>
      <c r="G4" s="114"/>
      <c r="H4" s="114"/>
      <c r="I4" s="114"/>
      <c r="J4" s="471" t="s">
        <v>145</v>
      </c>
      <c r="K4" s="473" t="s">
        <v>146</v>
      </c>
      <c r="L4" s="473" t="s">
        <v>147</v>
      </c>
      <c r="N4" s="468"/>
      <c r="O4" s="468"/>
      <c r="P4" s="479"/>
      <c r="Q4" s="236"/>
      <c r="R4" s="480" t="s">
        <v>136</v>
      </c>
      <c r="S4" s="481"/>
      <c r="T4" s="482" t="s">
        <v>124</v>
      </c>
      <c r="U4" s="486" t="s">
        <v>27</v>
      </c>
      <c r="V4" s="365"/>
      <c r="W4" s="476"/>
    </row>
    <row r="5" spans="1:23" s="13" customFormat="1" ht="39.75" customHeight="1" thickBot="1">
      <c r="A5" s="464"/>
      <c r="B5" s="466"/>
      <c r="C5" s="470"/>
      <c r="D5" s="107" t="s">
        <v>27</v>
      </c>
      <c r="E5" s="103" t="s">
        <v>135</v>
      </c>
      <c r="F5" s="102" t="s">
        <v>134</v>
      </c>
      <c r="G5" s="102" t="s">
        <v>133</v>
      </c>
      <c r="H5" s="101" t="s">
        <v>138</v>
      </c>
      <c r="I5" s="112" t="s">
        <v>132</v>
      </c>
      <c r="J5" s="472"/>
      <c r="K5" s="474"/>
      <c r="L5" s="474"/>
      <c r="N5" s="468"/>
      <c r="O5" s="468"/>
      <c r="P5" s="479"/>
      <c r="Q5" s="236"/>
      <c r="R5" s="366" t="s">
        <v>285</v>
      </c>
      <c r="S5" s="367" t="s">
        <v>41</v>
      </c>
      <c r="T5" s="483"/>
      <c r="U5" s="487"/>
      <c r="V5" s="365"/>
      <c r="W5" s="477"/>
    </row>
    <row r="6" spans="1:23" ht="27.75" customHeight="1">
      <c r="A6" s="153" t="s">
        <v>187</v>
      </c>
      <c r="B6" s="64">
        <f>SUM(D6,J6,K6,L6)</f>
        <v>804694</v>
      </c>
      <c r="C6" s="264">
        <f aca="true" t="shared" si="0" ref="C6:C37">(B6*1000000)/(U6*365)</f>
        <v>981.5811576486351</v>
      </c>
      <c r="D6" s="64">
        <f>SUM(E6:I6)</f>
        <v>674202</v>
      </c>
      <c r="E6" s="269">
        <f>SUM('イ 生活　排出収集形態別'!E7,'イ 事業　排出収集形態別'!E7)</f>
        <v>530993</v>
      </c>
      <c r="F6" s="269">
        <f>SUM('イ 生活　排出収集形態別'!I7,'イ 事業　排出収集形態別'!I7)</f>
        <v>62397</v>
      </c>
      <c r="G6" s="269">
        <f>SUM('イ 生活　排出収集形態別'!M7,'イ 事業　排出収集形態別'!M7)</f>
        <v>70851</v>
      </c>
      <c r="H6" s="269">
        <f>SUM('イ 生活　排出収集形態別'!Q7,'イ 事業　排出収集形態別'!Q7)</f>
        <v>2233</v>
      </c>
      <c r="I6" s="274">
        <f>SUM('イ 生活　排出収集形態別'!U7,'イ 事業　排出収集形態別'!U7)</f>
        <v>7728</v>
      </c>
      <c r="J6" s="279">
        <f>SUM('イ 生活　排出収集形態別'!Y7,'イ 事業　排出収集形態別'!Y7)</f>
        <v>18677</v>
      </c>
      <c r="K6" s="279">
        <v>0</v>
      </c>
      <c r="L6" s="279">
        <v>111815</v>
      </c>
      <c r="M6" s="420"/>
      <c r="N6" s="64">
        <f>B6-G6-L6-'イ 生活　排出収集形態別'!AC7-'イ 事業　排出収集形態別'!AC7</f>
        <v>622028</v>
      </c>
      <c r="O6" s="64">
        <f>(N6*1000000)/(U6*365)</f>
        <v>758.7616713059439</v>
      </c>
      <c r="P6" s="65">
        <f aca="true" t="shared" si="1" ref="P6:P37">(W6/(D6+J6+L6))*100</f>
        <v>27.911976478015244</v>
      </c>
      <c r="Q6" s="353"/>
      <c r="R6" s="347">
        <v>2178707</v>
      </c>
      <c r="S6" s="348">
        <v>0</v>
      </c>
      <c r="T6" s="349">
        <v>67303</v>
      </c>
      <c r="U6" s="368">
        <f>SUM(R6:T6)</f>
        <v>2246010</v>
      </c>
      <c r="W6" s="362">
        <f>'ウ 資源 計'!B8</f>
        <v>224606</v>
      </c>
    </row>
    <row r="7" spans="1:23" ht="27.75" customHeight="1">
      <c r="A7" s="154" t="s">
        <v>188</v>
      </c>
      <c r="B7" s="66">
        <f aca="true" t="shared" si="2" ref="B7:B34">SUM(D7,J7,K7,L7)</f>
        <v>147882</v>
      </c>
      <c r="C7" s="87">
        <f t="shared" si="0"/>
        <v>1059.2068797951463</v>
      </c>
      <c r="D7" s="66">
        <f aca="true" t="shared" si="3" ref="D7:D34">SUM(E7:I7)</f>
        <v>116911</v>
      </c>
      <c r="E7" s="270">
        <f>SUM('イ 生活　排出収集形態別'!E8,'イ 事業　排出収集形態別'!E8)</f>
        <v>101165</v>
      </c>
      <c r="F7" s="270">
        <f>SUM('イ 生活　排出収集形態別'!I8,'イ 事業　排出収集形態別'!I8)</f>
        <v>4175</v>
      </c>
      <c r="G7" s="270">
        <f>SUM('イ 生活　排出収集形態別'!M8,'イ 事業　排出収集形態別'!M8)</f>
        <v>11160</v>
      </c>
      <c r="H7" s="270">
        <f>SUM('イ 生活　排出収集形態別'!Q8,'イ 事業　排出収集形態別'!Q8)</f>
        <v>157</v>
      </c>
      <c r="I7" s="275">
        <f>SUM('イ 生活　排出収集形態別'!U8,'イ 事業　排出収集形態別'!U8)</f>
        <v>254</v>
      </c>
      <c r="J7" s="222">
        <f>SUM('イ 生活　排出収集形態別'!Y8,'イ 事業　排出収集形態別'!Y8)</f>
        <v>21458</v>
      </c>
      <c r="K7" s="222">
        <v>0</v>
      </c>
      <c r="L7" s="222">
        <v>9513</v>
      </c>
      <c r="M7" s="420"/>
      <c r="N7" s="66">
        <f>B7-G7-L7-'イ 生活　排出収集形態別'!AC8-'イ 事業　排出収集形態別'!AC8</f>
        <v>125145</v>
      </c>
      <c r="O7" s="66">
        <f aca="true" t="shared" si="4" ref="O7:O35">(N7*1000000)/(U7*365)</f>
        <v>896.3528013684127</v>
      </c>
      <c r="P7" s="67">
        <f t="shared" si="1"/>
        <v>17.999486076736858</v>
      </c>
      <c r="Q7" s="353"/>
      <c r="R7" s="350">
        <v>365853</v>
      </c>
      <c r="S7" s="351">
        <v>0</v>
      </c>
      <c r="T7" s="352">
        <v>16656</v>
      </c>
      <c r="U7" s="369">
        <f>SUM(R7:T7)</f>
        <v>382509</v>
      </c>
      <c r="W7" s="345">
        <f>'ウ 資源 計'!B9</f>
        <v>26618</v>
      </c>
    </row>
    <row r="8" spans="1:23" ht="27.75" customHeight="1">
      <c r="A8" s="154" t="s">
        <v>189</v>
      </c>
      <c r="B8" s="66">
        <f>SUM(D8,J8,K8,L8)</f>
        <v>137198</v>
      </c>
      <c r="C8" s="87">
        <f t="shared" si="0"/>
        <v>972.0173245484924</v>
      </c>
      <c r="D8" s="66">
        <f t="shared" si="3"/>
        <v>107484</v>
      </c>
      <c r="E8" s="270">
        <f>SUM('イ 生活　排出収集形態別'!E9,'イ 事業　排出収集形態別'!E9)</f>
        <v>90411</v>
      </c>
      <c r="F8" s="270">
        <f>SUM('イ 生活　排出収集形態別'!I9,'イ 事業　排出収集形態別'!I9)</f>
        <v>4112</v>
      </c>
      <c r="G8" s="270">
        <f>SUM('イ 生活　排出収集形態別'!M9,'イ 事業　排出収集形態別'!M9)</f>
        <v>12554</v>
      </c>
      <c r="H8" s="270">
        <f>SUM('イ 生活　排出収集形態別'!Q9,'イ 事業　排出収集形態別'!Q9)</f>
        <v>167</v>
      </c>
      <c r="I8" s="275">
        <f>SUM('イ 生活　排出収集形態別'!U9,'イ 事業　排出収集形態別'!U9)</f>
        <v>240</v>
      </c>
      <c r="J8" s="222">
        <f>SUM('イ 生活　排出収集形態別'!Y9,'イ 事業　排出収集形態別'!Y9)</f>
        <v>18433</v>
      </c>
      <c r="K8" s="222">
        <v>0</v>
      </c>
      <c r="L8" s="222">
        <v>11281</v>
      </c>
      <c r="M8" s="420"/>
      <c r="N8" s="66">
        <f>B8-G8-L8-'イ 生活　排出収集形態別'!AC9-'イ 事業　排出収集形態別'!AC9</f>
        <v>113313</v>
      </c>
      <c r="O8" s="66">
        <f t="shared" si="4"/>
        <v>802.7974102870546</v>
      </c>
      <c r="P8" s="67">
        <f t="shared" si="1"/>
        <v>19.327541217802008</v>
      </c>
      <c r="Q8" s="353"/>
      <c r="R8" s="350">
        <v>376387</v>
      </c>
      <c r="S8" s="351">
        <v>0</v>
      </c>
      <c r="T8" s="352">
        <v>10319</v>
      </c>
      <c r="U8" s="369">
        <f aca="true" t="shared" si="5" ref="U8:U35">SUM(R8:T8)</f>
        <v>386706</v>
      </c>
      <c r="W8" s="345">
        <f>'ウ 資源 計'!B10</f>
        <v>26517</v>
      </c>
    </row>
    <row r="9" spans="1:23" ht="27.75" customHeight="1">
      <c r="A9" s="154" t="s">
        <v>190</v>
      </c>
      <c r="B9" s="66">
        <f t="shared" si="2"/>
        <v>127875</v>
      </c>
      <c r="C9" s="87">
        <f t="shared" si="0"/>
        <v>907.3502930555187</v>
      </c>
      <c r="D9" s="66">
        <f t="shared" si="3"/>
        <v>115733</v>
      </c>
      <c r="E9" s="270">
        <f>SUM('イ 生活　排出収集形態別'!E10,'イ 事業　排出収集形態別'!E10)</f>
        <v>88141</v>
      </c>
      <c r="F9" s="270">
        <f>SUM('イ 生活　排出収集形態別'!I10,'イ 事業　排出収集形態別'!I10)</f>
        <v>4420</v>
      </c>
      <c r="G9" s="270">
        <f>SUM('イ 生活　排出収集形態別'!M10,'イ 事業　排出収集形態別'!M10)</f>
        <v>22645</v>
      </c>
      <c r="H9" s="270">
        <f>SUM('イ 生活　排出収集形態別'!Q10,'イ 事業　排出収集形態別'!Q10)</f>
        <v>119</v>
      </c>
      <c r="I9" s="275">
        <f>SUM('イ 生活　排出収集形態別'!U10,'イ 事業　排出収集形態別'!U10)</f>
        <v>408</v>
      </c>
      <c r="J9" s="222">
        <f>SUM('イ 生活　排出収集形態別'!Y10,'イ 事業　排出収集形態別'!Y10)</f>
        <v>10499</v>
      </c>
      <c r="K9" s="222">
        <v>0</v>
      </c>
      <c r="L9" s="222">
        <v>1643</v>
      </c>
      <c r="M9" s="420"/>
      <c r="N9" s="66">
        <f>B9-G9-L9-'イ 生活　排出収集形態別'!AC10-'イ 事業　排出収集形態別'!AC10</f>
        <v>103587</v>
      </c>
      <c r="O9" s="66">
        <f t="shared" si="4"/>
        <v>735.0122761035544</v>
      </c>
      <c r="P9" s="67">
        <f t="shared" si="1"/>
        <v>20.480156402737048</v>
      </c>
      <c r="Q9" s="353"/>
      <c r="R9" s="350">
        <v>381153</v>
      </c>
      <c r="S9" s="351">
        <v>0</v>
      </c>
      <c r="T9" s="352">
        <v>4963</v>
      </c>
      <c r="U9" s="369">
        <f t="shared" si="5"/>
        <v>386116</v>
      </c>
      <c r="W9" s="345">
        <f>'ウ 資源 計'!B11</f>
        <v>26189</v>
      </c>
    </row>
    <row r="10" spans="1:23" ht="27.75" customHeight="1">
      <c r="A10" s="152" t="s">
        <v>191</v>
      </c>
      <c r="B10" s="69">
        <f t="shared" si="2"/>
        <v>45475</v>
      </c>
      <c r="C10" s="265">
        <f t="shared" si="0"/>
        <v>933.600907425181</v>
      </c>
      <c r="D10" s="69">
        <f t="shared" si="3"/>
        <v>41019</v>
      </c>
      <c r="E10" s="271">
        <f>SUM('イ 生活　排出収集形態別'!E11,'イ 事業　排出収集形態別'!E11)</f>
        <v>32166</v>
      </c>
      <c r="F10" s="271">
        <f>SUM('イ 生活　排出収集形態別'!I11,'イ 事業　排出収集形態別'!I11)</f>
        <v>1372</v>
      </c>
      <c r="G10" s="271">
        <f>SUM('イ 生活　排出収集形態別'!M11,'イ 事業　排出収集形態別'!M11)</f>
        <v>5784</v>
      </c>
      <c r="H10" s="271">
        <f>SUM('イ 生活　排出収集形態別'!Q11,'イ 事業　排出収集形態別'!Q11)</f>
        <v>49</v>
      </c>
      <c r="I10" s="276">
        <f>SUM('イ 生活　排出収集形態別'!U11,'イ 事業　排出収集形態別'!U11)</f>
        <v>1648</v>
      </c>
      <c r="J10" s="68">
        <f>SUM('イ 生活　排出収集形態別'!Y11,'イ 事業　排出収集形態別'!Y11)</f>
        <v>2744</v>
      </c>
      <c r="K10" s="68">
        <v>0</v>
      </c>
      <c r="L10" s="68">
        <v>1712</v>
      </c>
      <c r="M10" s="420"/>
      <c r="N10" s="69">
        <f>B10-G10-L10-'イ 生活　排出収集形態別'!AC11-'イ 事業　排出収集形態別'!AC11</f>
        <v>37979</v>
      </c>
      <c r="O10" s="69">
        <f t="shared" si="4"/>
        <v>779.7081663133799</v>
      </c>
      <c r="P10" s="70">
        <f t="shared" si="1"/>
        <v>18.41231445849368</v>
      </c>
      <c r="Q10" s="354"/>
      <c r="R10" s="343">
        <v>129754</v>
      </c>
      <c r="S10" s="288">
        <v>0</v>
      </c>
      <c r="T10" s="344">
        <v>3696</v>
      </c>
      <c r="U10" s="370">
        <f t="shared" si="5"/>
        <v>133450</v>
      </c>
      <c r="W10" s="345">
        <f>'ウ 資源 計'!B12</f>
        <v>8373</v>
      </c>
    </row>
    <row r="11" spans="1:23" ht="27.75" customHeight="1">
      <c r="A11" s="151" t="s">
        <v>192</v>
      </c>
      <c r="B11" s="82">
        <f t="shared" si="2"/>
        <v>44457</v>
      </c>
      <c r="C11" s="266">
        <f t="shared" si="0"/>
        <v>989.6726279952222</v>
      </c>
      <c r="D11" s="82">
        <f t="shared" si="3"/>
        <v>33436</v>
      </c>
      <c r="E11" s="272">
        <f>SUM('イ 生活　排出収集形態別'!E12,'イ 事業　排出収集形態別'!E12)</f>
        <v>28957</v>
      </c>
      <c r="F11" s="272">
        <f>SUM('イ 生活　排出収集形態別'!I12,'イ 事業　排出収集形態別'!I12)</f>
        <v>2833</v>
      </c>
      <c r="G11" s="272">
        <f>SUM('イ 生活　排出収集形態別'!M12,'イ 事業　排出収集形態別'!M12)</f>
        <v>1628</v>
      </c>
      <c r="H11" s="272">
        <f>SUM('イ 生活　排出収集形態別'!Q12,'イ 事業　排出収集形態別'!Q12)</f>
        <v>0</v>
      </c>
      <c r="I11" s="277">
        <f>SUM('イ 生活　排出収集形態別'!U12,'イ 事業　排出収集形態別'!U12)</f>
        <v>18</v>
      </c>
      <c r="J11" s="221">
        <f>SUM('イ 生活　排出収集形態別'!Y12,'イ 事業　排出収集形態別'!Y12)</f>
        <v>5113</v>
      </c>
      <c r="K11" s="221">
        <v>0</v>
      </c>
      <c r="L11" s="221">
        <v>5908</v>
      </c>
      <c r="M11" s="420"/>
      <c r="N11" s="82">
        <f>B11-G11-L11-'イ 生活　排出収集形態別'!AC12-'イ 事業　排出収集形態別'!AC12</f>
        <v>36253</v>
      </c>
      <c r="O11" s="82">
        <f t="shared" si="4"/>
        <v>807.0405511552915</v>
      </c>
      <c r="P11" s="71">
        <f t="shared" si="1"/>
        <v>19.079110151382235</v>
      </c>
      <c r="Q11" s="354"/>
      <c r="R11" s="350">
        <v>120375</v>
      </c>
      <c r="S11" s="351">
        <v>0</v>
      </c>
      <c r="T11" s="352">
        <v>2696</v>
      </c>
      <c r="U11" s="369">
        <f t="shared" si="5"/>
        <v>123071</v>
      </c>
      <c r="W11" s="358">
        <f>'ウ 資源 計'!B13</f>
        <v>8482</v>
      </c>
    </row>
    <row r="12" spans="1:23" ht="27.75" customHeight="1">
      <c r="A12" s="154" t="s">
        <v>193</v>
      </c>
      <c r="B12" s="66">
        <f t="shared" si="2"/>
        <v>105311</v>
      </c>
      <c r="C12" s="87">
        <f t="shared" si="0"/>
        <v>937.579737145415</v>
      </c>
      <c r="D12" s="66">
        <f t="shared" si="3"/>
        <v>95000</v>
      </c>
      <c r="E12" s="270">
        <f>SUM('イ 生活　排出収集形態別'!E13,'イ 事業　排出収集形態別'!E13)</f>
        <v>70074</v>
      </c>
      <c r="F12" s="270">
        <f>SUM('イ 生活　排出収集形態別'!I13,'イ 事業　排出収集形態別'!I13)</f>
        <v>12883</v>
      </c>
      <c r="G12" s="270">
        <f>SUM('イ 生活　排出収集形態別'!M13,'イ 事業　排出収集形態別'!M13)</f>
        <v>11553</v>
      </c>
      <c r="H12" s="270">
        <f>SUM('イ 生活　排出収集形態別'!Q13,'イ 事業　排出収集形態別'!Q13)</f>
        <v>125</v>
      </c>
      <c r="I12" s="275">
        <f>SUM('イ 生活　排出収集形態別'!U13,'イ 事業　排出収集形態別'!U13)</f>
        <v>365</v>
      </c>
      <c r="J12" s="222">
        <f>SUM('イ 生活　排出収集形態別'!Y13,'イ 事業　排出収集形態別'!Y13)</f>
        <v>6264</v>
      </c>
      <c r="K12" s="222">
        <v>0</v>
      </c>
      <c r="L12" s="222">
        <v>4047</v>
      </c>
      <c r="M12" s="420"/>
      <c r="N12" s="66">
        <f>B12-G12-L12-'イ 生活　排出収集形態別'!AC13-'イ 事業　排出収集形態別'!AC13</f>
        <v>89711</v>
      </c>
      <c r="O12" s="66">
        <f t="shared" si="4"/>
        <v>798.6935438753059</v>
      </c>
      <c r="P12" s="67">
        <f t="shared" si="1"/>
        <v>21.697638423336592</v>
      </c>
      <c r="Q12" s="354"/>
      <c r="R12" s="350">
        <v>301716</v>
      </c>
      <c r="S12" s="351">
        <v>0</v>
      </c>
      <c r="T12" s="352">
        <v>6016</v>
      </c>
      <c r="U12" s="369">
        <f t="shared" si="5"/>
        <v>307732</v>
      </c>
      <c r="W12" s="345">
        <f>'ウ 資源 計'!B14</f>
        <v>22850</v>
      </c>
    </row>
    <row r="13" spans="1:23" ht="27.75" customHeight="1">
      <c r="A13" s="154" t="s">
        <v>194</v>
      </c>
      <c r="B13" s="66">
        <f t="shared" si="2"/>
        <v>71420</v>
      </c>
      <c r="C13" s="87">
        <f t="shared" si="0"/>
        <v>1052.8109551303824</v>
      </c>
      <c r="D13" s="66">
        <f t="shared" si="3"/>
        <v>61708</v>
      </c>
      <c r="E13" s="270">
        <f>SUM('イ 生活　排出収集形態別'!E14,'イ 事業　排出収集形態別'!E14)</f>
        <v>48886</v>
      </c>
      <c r="F13" s="270">
        <f>SUM('イ 生活　排出収集形態別'!I14,'イ 事業　排出収集形態別'!I14)</f>
        <v>1450</v>
      </c>
      <c r="G13" s="270">
        <f>SUM('イ 生活　排出収集形態別'!M14,'イ 事業　排出収集形態別'!M14)</f>
        <v>11141</v>
      </c>
      <c r="H13" s="270">
        <f>SUM('イ 生活　排出収集形態別'!Q14,'イ 事業　排出収集形態別'!Q14)</f>
        <v>216</v>
      </c>
      <c r="I13" s="275">
        <f>SUM('イ 生活　排出収集形態別'!U14,'イ 事業　排出収集形態別'!U14)</f>
        <v>15</v>
      </c>
      <c r="J13" s="222">
        <f>SUM('イ 生活　排出収集形態別'!Y14,'イ 事業　排出収集形態別'!Y14)</f>
        <v>7500</v>
      </c>
      <c r="K13" s="222">
        <v>0</v>
      </c>
      <c r="L13" s="222">
        <v>2212</v>
      </c>
      <c r="M13" s="420"/>
      <c r="N13" s="66">
        <f>B13-G13-L13-'イ 生活　排出収集形態別'!AC14-'イ 事業　排出収集形態別'!AC14</f>
        <v>58067</v>
      </c>
      <c r="O13" s="66">
        <f t="shared" si="4"/>
        <v>855.9727489716593</v>
      </c>
      <c r="P13" s="67">
        <f t="shared" si="1"/>
        <v>28.231587790534864</v>
      </c>
      <c r="Q13" s="354"/>
      <c r="R13" s="350">
        <v>180051</v>
      </c>
      <c r="S13" s="351">
        <v>0</v>
      </c>
      <c r="T13" s="352">
        <v>5805</v>
      </c>
      <c r="U13" s="369">
        <f t="shared" si="5"/>
        <v>185856</v>
      </c>
      <c r="W13" s="345">
        <f>'ウ 資源 計'!B15</f>
        <v>20163</v>
      </c>
    </row>
    <row r="14" spans="1:23" ht="27.75" customHeight="1">
      <c r="A14" s="154" t="s">
        <v>195</v>
      </c>
      <c r="B14" s="66">
        <f t="shared" si="2"/>
        <v>22279</v>
      </c>
      <c r="C14" s="87">
        <f t="shared" si="0"/>
        <v>916.4367930512216</v>
      </c>
      <c r="D14" s="66">
        <f t="shared" si="3"/>
        <v>20874</v>
      </c>
      <c r="E14" s="270">
        <f>SUM('イ 生活　排出収集形態別'!E15,'イ 事業　排出収集形態別'!E15)</f>
        <v>17520</v>
      </c>
      <c r="F14" s="270">
        <f>SUM('イ 生活　排出収集形態別'!I15,'イ 事業　排出収集形態別'!I15)</f>
        <v>366</v>
      </c>
      <c r="G14" s="270">
        <f>SUM('イ 生活　排出収集形態別'!M15,'イ 事業　排出収集形態別'!M15)</f>
        <v>2776</v>
      </c>
      <c r="H14" s="270">
        <f>SUM('イ 生活　排出収集形態別'!Q15,'イ 事業　排出収集形態別'!Q15)</f>
        <v>0</v>
      </c>
      <c r="I14" s="275">
        <f>SUM('イ 生活　排出収集形態別'!U15,'イ 事業　排出収集形態別'!U15)</f>
        <v>212</v>
      </c>
      <c r="J14" s="222">
        <f>SUM('イ 生活　排出収集形態別'!Y15,'イ 事業　排出収集形態別'!Y15)</f>
        <v>100</v>
      </c>
      <c r="K14" s="222">
        <v>0</v>
      </c>
      <c r="L14" s="222">
        <v>1305</v>
      </c>
      <c r="M14" s="420"/>
      <c r="N14" s="66">
        <f>B14-G14-L14-'イ 生活　排出収集形態別'!AC15-'イ 事業　排出収集形態別'!AC15</f>
        <v>18191</v>
      </c>
      <c r="O14" s="66">
        <f t="shared" si="4"/>
        <v>748.2787244667521</v>
      </c>
      <c r="P14" s="67">
        <f t="shared" si="1"/>
        <v>18.200996454059876</v>
      </c>
      <c r="Q14" s="354"/>
      <c r="R14" s="350">
        <v>65604</v>
      </c>
      <c r="S14" s="351">
        <v>0</v>
      </c>
      <c r="T14" s="352">
        <v>1000</v>
      </c>
      <c r="U14" s="369">
        <f t="shared" si="5"/>
        <v>66604</v>
      </c>
      <c r="W14" s="345">
        <f>'ウ 資源 計'!B16</f>
        <v>4055</v>
      </c>
    </row>
    <row r="15" spans="1:23" ht="27.75" customHeight="1">
      <c r="A15" s="152" t="s">
        <v>196</v>
      </c>
      <c r="B15" s="69">
        <f>SUM(D15,J15,K15,L15)</f>
        <v>27598</v>
      </c>
      <c r="C15" s="265">
        <f t="shared" si="0"/>
        <v>1033.529605840914</v>
      </c>
      <c r="D15" s="69">
        <f t="shared" si="3"/>
        <v>22292</v>
      </c>
      <c r="E15" s="271">
        <f>SUM('イ 生活　排出収集形態別'!E16,'イ 事業　排出収集形態別'!E16)</f>
        <v>17790</v>
      </c>
      <c r="F15" s="271">
        <f>SUM('イ 生活　排出収集形態別'!I16,'イ 事業　排出収集形態別'!I16)</f>
        <v>496</v>
      </c>
      <c r="G15" s="271">
        <f>SUM('イ 生活　排出収集形態別'!M16,'イ 事業　排出収集形態別'!M16)</f>
        <v>3112</v>
      </c>
      <c r="H15" s="271">
        <f>SUM('イ 生活　排出収集形態別'!Q16,'イ 事業　排出収集形態別'!Q16)</f>
        <v>25</v>
      </c>
      <c r="I15" s="276">
        <f>SUM('イ 生活　排出収集形態別'!U16,'イ 事業　排出収集形態別'!U16)</f>
        <v>869</v>
      </c>
      <c r="J15" s="68">
        <f>SUM('イ 生活　排出収集形態別'!Y16,'イ 事業　排出収集形態別'!Y16)</f>
        <v>4782</v>
      </c>
      <c r="K15" s="68">
        <v>0</v>
      </c>
      <c r="L15" s="68">
        <v>524</v>
      </c>
      <c r="M15" s="420"/>
      <c r="N15" s="69">
        <f>B15-G15-L15-'イ 生活　排出収集形態別'!AC16-'イ 事業　排出収集形態別'!AC16</f>
        <v>23298</v>
      </c>
      <c r="O15" s="69">
        <f t="shared" si="4"/>
        <v>872.4970199609253</v>
      </c>
      <c r="P15" s="70">
        <f t="shared" si="1"/>
        <v>19.827523733603886</v>
      </c>
      <c r="Q15" s="354"/>
      <c r="R15" s="343">
        <v>69929</v>
      </c>
      <c r="S15" s="288">
        <v>0</v>
      </c>
      <c r="T15" s="344">
        <v>3229</v>
      </c>
      <c r="U15" s="370">
        <f t="shared" si="5"/>
        <v>73158</v>
      </c>
      <c r="W15" s="345">
        <f>'ウ 資源 計'!B17</f>
        <v>5472</v>
      </c>
    </row>
    <row r="16" spans="1:23" ht="27.75" customHeight="1">
      <c r="A16" s="151" t="s">
        <v>197</v>
      </c>
      <c r="B16" s="82">
        <f t="shared" si="2"/>
        <v>54585</v>
      </c>
      <c r="C16" s="266">
        <f t="shared" si="0"/>
        <v>1025.7482832316794</v>
      </c>
      <c r="D16" s="82">
        <f t="shared" si="3"/>
        <v>41774</v>
      </c>
      <c r="E16" s="272">
        <f>SUM('イ 生活　排出収集形態別'!E17,'イ 事業　排出収集形態別'!E17)</f>
        <v>36799</v>
      </c>
      <c r="F16" s="272">
        <f>SUM('イ 生活　排出収集形態別'!I17,'イ 事業　排出収集形態別'!I17)</f>
        <v>979</v>
      </c>
      <c r="G16" s="272">
        <f>SUM('イ 生活　排出収集形態別'!M17,'イ 事業　排出収集形態別'!M17)</f>
        <v>3858</v>
      </c>
      <c r="H16" s="272">
        <f>SUM('イ 生活　排出収集形態別'!Q17,'イ 事業　排出収集形態別'!Q17)</f>
        <v>73</v>
      </c>
      <c r="I16" s="277">
        <f>SUM('イ 生活　排出収集形態別'!U17,'イ 事業　排出収集形態別'!U17)</f>
        <v>65</v>
      </c>
      <c r="J16" s="221">
        <f>SUM('イ 生活　排出収集形態別'!Y17,'イ 事業　排出収集形態別'!Y17)</f>
        <v>9360</v>
      </c>
      <c r="K16" s="221">
        <v>0</v>
      </c>
      <c r="L16" s="221">
        <v>3451</v>
      </c>
      <c r="M16" s="420"/>
      <c r="N16" s="82">
        <f>B16-G16-L16-'イ 生活　排出収集形態別'!AC17-'イ 事業　排出収集形態別'!AC17</f>
        <v>46337</v>
      </c>
      <c r="O16" s="82">
        <f t="shared" si="4"/>
        <v>870.7538371366918</v>
      </c>
      <c r="P16" s="71">
        <f t="shared" si="1"/>
        <v>18.878812860676007</v>
      </c>
      <c r="Q16" s="354"/>
      <c r="R16" s="350">
        <v>141798</v>
      </c>
      <c r="S16" s="351">
        <v>0</v>
      </c>
      <c r="T16" s="352">
        <v>3996</v>
      </c>
      <c r="U16" s="369">
        <f t="shared" si="5"/>
        <v>145794</v>
      </c>
      <c r="W16" s="358">
        <f>'ウ 資源 計'!B18</f>
        <v>10305</v>
      </c>
    </row>
    <row r="17" spans="1:23" ht="27.75" customHeight="1">
      <c r="A17" s="154" t="s">
        <v>198</v>
      </c>
      <c r="B17" s="66">
        <f t="shared" si="2"/>
        <v>140233</v>
      </c>
      <c r="C17" s="87">
        <f t="shared" si="0"/>
        <v>879.6693798582729</v>
      </c>
      <c r="D17" s="66">
        <f t="shared" si="3"/>
        <v>122781</v>
      </c>
      <c r="E17" s="270">
        <f>SUM('イ 生活　排出収集形態別'!E18,'イ 事業　排出収集形態別'!E18)</f>
        <v>103452</v>
      </c>
      <c r="F17" s="270">
        <f>SUM('イ 生活　排出収集形態別'!I18,'イ 事業　排出収集形態別'!I18)</f>
        <v>2633</v>
      </c>
      <c r="G17" s="270">
        <f>SUM('イ 生活　排出収集形態別'!M18,'イ 事業　排出収集形態別'!M18)</f>
        <v>15677</v>
      </c>
      <c r="H17" s="270">
        <f>SUM('イ 生活　排出収集形態別'!Q18,'イ 事業　排出収集形態別'!Q18)</f>
        <v>161</v>
      </c>
      <c r="I17" s="275">
        <f>SUM('イ 生活　排出収集形態別'!U18,'イ 事業　排出収集形態別'!U18)</f>
        <v>858</v>
      </c>
      <c r="J17" s="222">
        <f>SUM('イ 生活　排出収集形態別'!Y18,'イ 事業　排出収集形態別'!Y18)</f>
        <v>9035</v>
      </c>
      <c r="K17" s="222">
        <v>0</v>
      </c>
      <c r="L17" s="222">
        <v>8417</v>
      </c>
      <c r="M17" s="420"/>
      <c r="N17" s="66">
        <f>B17-G17-L17-'イ 生活　排出収集形態別'!AC18-'イ 事業　排出収集形態別'!AC18</f>
        <v>112877</v>
      </c>
      <c r="O17" s="66">
        <f t="shared" si="4"/>
        <v>708.0675774622398</v>
      </c>
      <c r="P17" s="67">
        <f t="shared" si="1"/>
        <v>21.637560345995592</v>
      </c>
      <c r="Q17" s="354"/>
      <c r="R17" s="350">
        <v>422506</v>
      </c>
      <c r="S17" s="351">
        <v>0</v>
      </c>
      <c r="T17" s="352">
        <v>14249</v>
      </c>
      <c r="U17" s="369">
        <f t="shared" si="5"/>
        <v>436755</v>
      </c>
      <c r="W17" s="345">
        <f>'ウ 資源 計'!B19</f>
        <v>30343</v>
      </c>
    </row>
    <row r="18" spans="1:23" ht="27.75" customHeight="1">
      <c r="A18" s="154" t="s">
        <v>199</v>
      </c>
      <c r="B18" s="66">
        <f t="shared" si="2"/>
        <v>63426</v>
      </c>
      <c r="C18" s="87">
        <f t="shared" si="0"/>
        <v>961.3770491654188</v>
      </c>
      <c r="D18" s="66">
        <f t="shared" si="3"/>
        <v>49614</v>
      </c>
      <c r="E18" s="270">
        <f>SUM('イ 生活　排出収集形態別'!E19,'イ 事業　排出収集形態別'!E19)</f>
        <v>39481</v>
      </c>
      <c r="F18" s="270">
        <f>SUM('イ 生活　排出収集形態別'!I19,'イ 事業　排出収集形態別'!I19)</f>
        <v>1019</v>
      </c>
      <c r="G18" s="270">
        <f>SUM('イ 生活　排出収集形態別'!M19,'イ 事業　排出収集形態別'!M19)</f>
        <v>8772</v>
      </c>
      <c r="H18" s="270">
        <f>SUM('イ 生活　排出収集形態別'!Q19,'イ 事業　排出収集形態別'!Q19)</f>
        <v>251</v>
      </c>
      <c r="I18" s="275">
        <f>SUM('イ 生活　排出収集形態別'!U19,'イ 事業　排出収集形態別'!U19)</f>
        <v>91</v>
      </c>
      <c r="J18" s="222">
        <f>SUM('イ 生活　排出収集形態別'!Y19,'イ 事業　排出収集形態別'!Y19)</f>
        <v>9161</v>
      </c>
      <c r="K18" s="222">
        <v>0</v>
      </c>
      <c r="L18" s="222">
        <v>4651</v>
      </c>
      <c r="M18" s="420"/>
      <c r="N18" s="66">
        <f>B18-G18-L18-'イ 生活　排出収集形態別'!AC19-'イ 事業　排出収集形態別'!AC19</f>
        <v>48081</v>
      </c>
      <c r="O18" s="66">
        <f t="shared" si="4"/>
        <v>728.7858275931401</v>
      </c>
      <c r="P18" s="67">
        <f t="shared" si="1"/>
        <v>26.95739917384038</v>
      </c>
      <c r="Q18" s="354"/>
      <c r="R18" s="350">
        <v>175032</v>
      </c>
      <c r="S18" s="351">
        <v>0</v>
      </c>
      <c r="T18" s="352">
        <v>5719</v>
      </c>
      <c r="U18" s="369">
        <f t="shared" si="5"/>
        <v>180751</v>
      </c>
      <c r="W18" s="345">
        <f>'ウ 資源 計'!B20</f>
        <v>17098</v>
      </c>
    </row>
    <row r="19" spans="1:23" ht="27.75" customHeight="1">
      <c r="A19" s="154" t="s">
        <v>200</v>
      </c>
      <c r="B19" s="66">
        <f t="shared" si="2"/>
        <v>40788</v>
      </c>
      <c r="C19" s="87">
        <f t="shared" si="0"/>
        <v>1024.5619305712846</v>
      </c>
      <c r="D19" s="66">
        <f t="shared" si="3"/>
        <v>33244</v>
      </c>
      <c r="E19" s="270">
        <f>SUM('イ 生活　排出収集形態別'!E20,'イ 事業　排出収集形態別'!E20)</f>
        <v>28672</v>
      </c>
      <c r="F19" s="270">
        <f>SUM('イ 生活　排出収集形態別'!I20,'イ 事業　排出収集形態別'!I20)</f>
        <v>981</v>
      </c>
      <c r="G19" s="270">
        <f>SUM('イ 生活　排出収集形態別'!M20,'イ 事業　排出収集形態別'!M20)</f>
        <v>3348</v>
      </c>
      <c r="H19" s="270">
        <f>SUM('イ 生活　排出収集形態別'!Q20,'イ 事業　排出収集形態別'!Q20)</f>
        <v>0</v>
      </c>
      <c r="I19" s="275">
        <f>SUM('イ 生活　排出収集形態別'!U20,'イ 事業　排出収集形態別'!U20)</f>
        <v>243</v>
      </c>
      <c r="J19" s="222">
        <f>SUM('イ 生活　排出収集形態別'!Y20,'イ 事業　排出収集形態別'!Y20)</f>
        <v>4552</v>
      </c>
      <c r="K19" s="222">
        <v>0</v>
      </c>
      <c r="L19" s="222">
        <v>2992</v>
      </c>
      <c r="M19" s="420"/>
      <c r="N19" s="66">
        <f>B19-G19-L19-'イ 生活　排出収集形態別'!AC20-'イ 事業　排出収集形態別'!AC20</f>
        <v>34448</v>
      </c>
      <c r="O19" s="66">
        <f t="shared" si="4"/>
        <v>865.3062024203102</v>
      </c>
      <c r="P19" s="67">
        <f t="shared" si="1"/>
        <v>17.622830244189466</v>
      </c>
      <c r="Q19" s="354"/>
      <c r="R19" s="350">
        <v>104451</v>
      </c>
      <c r="S19" s="351">
        <v>0</v>
      </c>
      <c r="T19" s="352">
        <v>4618</v>
      </c>
      <c r="U19" s="369">
        <f t="shared" si="5"/>
        <v>109069</v>
      </c>
      <c r="W19" s="345">
        <f>'ウ 資源 計'!B21</f>
        <v>7188</v>
      </c>
    </row>
    <row r="20" spans="1:23" ht="27.75" customHeight="1">
      <c r="A20" s="152" t="s">
        <v>201</v>
      </c>
      <c r="B20" s="69">
        <f t="shared" si="2"/>
        <v>36000</v>
      </c>
      <c r="C20" s="265">
        <f t="shared" si="0"/>
        <v>1184.6325516623192</v>
      </c>
      <c r="D20" s="69">
        <f t="shared" si="3"/>
        <v>26079</v>
      </c>
      <c r="E20" s="271">
        <f>SUM('イ 生活　排出収集形態別'!E21,'イ 事業　排出収集形態別'!E21)</f>
        <v>21218</v>
      </c>
      <c r="F20" s="271">
        <f>SUM('イ 生活　排出収集形態別'!I21,'イ 事業　排出収集形態別'!I21)</f>
        <v>679</v>
      </c>
      <c r="G20" s="271">
        <f>SUM('イ 生活　排出収集形態別'!M21,'イ 事業　排出収集形態別'!M21)</f>
        <v>4107</v>
      </c>
      <c r="H20" s="271">
        <f>SUM('イ 生活　排出収集形態別'!Q21,'イ 事業　排出収集形態別'!Q21)</f>
        <v>0</v>
      </c>
      <c r="I20" s="276">
        <f>SUM('イ 生活　排出収集形態別'!U21,'イ 事業　排出収集形態別'!U21)</f>
        <v>75</v>
      </c>
      <c r="J20" s="68">
        <f>SUM('イ 生活　排出収集形態別'!Y21,'イ 事業　排出収集形態別'!Y21)</f>
        <v>8036</v>
      </c>
      <c r="K20" s="68">
        <v>0</v>
      </c>
      <c r="L20" s="68">
        <v>1885</v>
      </c>
      <c r="M20" s="420"/>
      <c r="N20" s="69">
        <f>B20-G20-L20-'イ 生活　排出収集形態別'!AC21-'イ 事業　排出収集形態別'!AC21</f>
        <v>30008</v>
      </c>
      <c r="O20" s="69">
        <f t="shared" si="4"/>
        <v>987.4570447300798</v>
      </c>
      <c r="P20" s="70">
        <f t="shared" si="1"/>
        <v>21.08888888888889</v>
      </c>
      <c r="Q20" s="354"/>
      <c r="R20" s="343">
        <v>81156</v>
      </c>
      <c r="S20" s="288">
        <v>0</v>
      </c>
      <c r="T20" s="344">
        <v>2102</v>
      </c>
      <c r="U20" s="370">
        <f t="shared" si="5"/>
        <v>83258</v>
      </c>
      <c r="W20" s="345">
        <f>'ウ 資源 計'!B22</f>
        <v>7592</v>
      </c>
    </row>
    <row r="21" spans="1:23" ht="27.75" customHeight="1">
      <c r="A21" s="151" t="s">
        <v>202</v>
      </c>
      <c r="B21" s="82">
        <f t="shared" si="2"/>
        <v>24256</v>
      </c>
      <c r="C21" s="266">
        <f t="shared" si="0"/>
        <v>856.343112000154</v>
      </c>
      <c r="D21" s="82">
        <f t="shared" si="3"/>
        <v>21100</v>
      </c>
      <c r="E21" s="272">
        <f>SUM('イ 生活　排出収集形態別'!E22,'イ 事業　排出収集形態別'!E22)</f>
        <v>16127</v>
      </c>
      <c r="F21" s="272">
        <f>SUM('イ 生活　排出収集形態別'!I22,'イ 事業　排出収集形態別'!I22)</f>
        <v>726</v>
      </c>
      <c r="G21" s="272">
        <f>SUM('イ 生活　排出収集形態別'!M22,'イ 事業　排出収集形態別'!M22)</f>
        <v>4148</v>
      </c>
      <c r="H21" s="272">
        <f>SUM('イ 生活　排出収集形態別'!Q22,'イ 事業　排出収集形態別'!Q22)</f>
        <v>45</v>
      </c>
      <c r="I21" s="277">
        <f>SUM('イ 生活　排出収集形態別'!U22,'イ 事業　排出収集形態別'!U22)</f>
        <v>54</v>
      </c>
      <c r="J21" s="221">
        <f>SUM('イ 生活　排出収集形態別'!Y22,'イ 事業　排出収集形態別'!Y22)</f>
        <v>1473</v>
      </c>
      <c r="K21" s="221">
        <v>0</v>
      </c>
      <c r="L21" s="221">
        <v>1683</v>
      </c>
      <c r="M21" s="420"/>
      <c r="N21" s="82">
        <f>B21-G21-L21-'イ 生活　排出収集形態別'!AC22-'イ 事業　排出収集形態別'!AC22</f>
        <v>18425</v>
      </c>
      <c r="O21" s="82">
        <f t="shared" si="4"/>
        <v>650.4832552194441</v>
      </c>
      <c r="P21" s="71">
        <f t="shared" si="1"/>
        <v>25.50296833773087</v>
      </c>
      <c r="Q21" s="354"/>
      <c r="R21" s="350">
        <v>75749</v>
      </c>
      <c r="S21" s="351">
        <v>0</v>
      </c>
      <c r="T21" s="357">
        <v>1854</v>
      </c>
      <c r="U21" s="369">
        <f t="shared" si="5"/>
        <v>77603</v>
      </c>
      <c r="W21" s="358">
        <f>'ウ 資源 計'!B23</f>
        <v>6186</v>
      </c>
    </row>
    <row r="22" spans="1:23" ht="27.75" customHeight="1">
      <c r="A22" s="154" t="s">
        <v>203</v>
      </c>
      <c r="B22" s="66">
        <f t="shared" si="2"/>
        <v>23183</v>
      </c>
      <c r="C22" s="87">
        <f t="shared" si="0"/>
        <v>1141.6592100720904</v>
      </c>
      <c r="D22" s="66">
        <f t="shared" si="3"/>
        <v>19588</v>
      </c>
      <c r="E22" s="270">
        <f>SUM('イ 生活　排出収集形態別'!E23,'イ 事業　排出収集形態別'!E23)</f>
        <v>15980</v>
      </c>
      <c r="F22" s="270">
        <f>SUM('イ 生活　排出収集形態別'!I23,'イ 事業　排出収集形態別'!I23)</f>
        <v>959</v>
      </c>
      <c r="G22" s="270">
        <f>SUM('イ 生活　排出収集形態別'!M23,'イ 事業　排出収集形態別'!M23)</f>
        <v>2649</v>
      </c>
      <c r="H22" s="270">
        <f>SUM('イ 生活　排出収集形態別'!Q23,'イ 事業　排出収集形態別'!Q23)</f>
        <v>0</v>
      </c>
      <c r="I22" s="275">
        <f>SUM('イ 生活　排出収集形態別'!U23,'イ 事業　排出収集形態別'!U23)</f>
        <v>0</v>
      </c>
      <c r="J22" s="222">
        <f>SUM('イ 生活　排出収集形態別'!Y23,'イ 事業　排出収集形態別'!Y23)</f>
        <v>2587</v>
      </c>
      <c r="K22" s="222">
        <v>0</v>
      </c>
      <c r="L22" s="222">
        <v>1008</v>
      </c>
      <c r="M22" s="420"/>
      <c r="N22" s="66">
        <f>B22-G22-L22-'イ 生活　排出収集形態別'!AC23-'イ 事業　排出収集形態別'!AC23</f>
        <v>19526</v>
      </c>
      <c r="O22" s="66">
        <f t="shared" si="4"/>
        <v>961.5682929675901</v>
      </c>
      <c r="P22" s="67">
        <f t="shared" si="1"/>
        <v>15.774489927964458</v>
      </c>
      <c r="Q22" s="354"/>
      <c r="R22" s="350">
        <v>54806</v>
      </c>
      <c r="S22" s="351">
        <v>0</v>
      </c>
      <c r="T22" s="352">
        <v>828</v>
      </c>
      <c r="U22" s="369">
        <f t="shared" si="5"/>
        <v>55634</v>
      </c>
      <c r="W22" s="345">
        <f>'ウ 資源 計'!B24</f>
        <v>3657</v>
      </c>
    </row>
    <row r="23" spans="1:23" ht="27.75" customHeight="1">
      <c r="A23" s="154" t="s">
        <v>204</v>
      </c>
      <c r="B23" s="66">
        <f t="shared" si="2"/>
        <v>30074</v>
      </c>
      <c r="C23" s="87">
        <f t="shared" si="0"/>
        <v>809.2174479271774</v>
      </c>
      <c r="D23" s="66">
        <f t="shared" si="3"/>
        <v>26195</v>
      </c>
      <c r="E23" s="270">
        <f>SUM('イ 生活　排出収集形態別'!E24,'イ 事業　排出収集形態別'!E24)</f>
        <v>20333</v>
      </c>
      <c r="F23" s="270">
        <f>SUM('イ 生活　排出収集形態別'!I24,'イ 事業　排出収集形態別'!I24)</f>
        <v>561</v>
      </c>
      <c r="G23" s="270">
        <f>SUM('イ 生活　排出収集形態別'!M24,'イ 事業　排出収集形態別'!M24)</f>
        <v>4407</v>
      </c>
      <c r="H23" s="270">
        <f>SUM('イ 生活　排出収集形態別'!Q24,'イ 事業　排出収集形態別'!Q24)</f>
        <v>0</v>
      </c>
      <c r="I23" s="275">
        <f>SUM('イ 生活　排出収集形態別'!U24,'イ 事業　排出収集形態別'!U24)</f>
        <v>894</v>
      </c>
      <c r="J23" s="222">
        <f>SUM('イ 生活　排出収集形態別'!Y24,'イ 事業　排出収集形態別'!Y24)</f>
        <v>1162</v>
      </c>
      <c r="K23" s="222">
        <v>0</v>
      </c>
      <c r="L23" s="222">
        <v>2717</v>
      </c>
      <c r="M23" s="420"/>
      <c r="N23" s="66">
        <f>B23-G23-L23-'イ 生活　排出収集形態別'!AC24-'イ 事業　排出収集形態別'!AC24</f>
        <v>21815</v>
      </c>
      <c r="O23" s="66">
        <f t="shared" si="4"/>
        <v>586.9880503601574</v>
      </c>
      <c r="P23" s="67">
        <f t="shared" si="1"/>
        <v>30.993549245195183</v>
      </c>
      <c r="Q23" s="354"/>
      <c r="R23" s="350">
        <v>100072</v>
      </c>
      <c r="S23" s="351">
        <v>0</v>
      </c>
      <c r="T23" s="352">
        <v>1748</v>
      </c>
      <c r="U23" s="369">
        <f t="shared" si="5"/>
        <v>101820</v>
      </c>
      <c r="W23" s="345">
        <f>'ウ 資源 計'!B25</f>
        <v>9321</v>
      </c>
    </row>
    <row r="24" spans="1:23" ht="27.75" customHeight="1">
      <c r="A24" s="154" t="s">
        <v>205</v>
      </c>
      <c r="B24" s="66">
        <f t="shared" si="2"/>
        <v>49499</v>
      </c>
      <c r="C24" s="87">
        <f t="shared" si="0"/>
        <v>882.4018858467989</v>
      </c>
      <c r="D24" s="66">
        <f t="shared" si="3"/>
        <v>45413</v>
      </c>
      <c r="E24" s="270">
        <f>SUM('イ 生活　排出収集形態別'!E25,'イ 事業　排出収集形態別'!E25)</f>
        <v>33178</v>
      </c>
      <c r="F24" s="270">
        <f>SUM('イ 生活　排出収集形態別'!I25,'イ 事業　排出収集形態別'!I25)</f>
        <v>2812</v>
      </c>
      <c r="G24" s="270">
        <f>SUM('イ 生活　排出収集形態別'!M25,'イ 事業　排出収集形態別'!M25)</f>
        <v>9082</v>
      </c>
      <c r="H24" s="270">
        <f>SUM('イ 生活　排出収集形態別'!Q25,'イ 事業　排出収集形態別'!Q25)</f>
        <v>0</v>
      </c>
      <c r="I24" s="275">
        <f>SUM('イ 生活　排出収集形態別'!U25,'イ 事業　排出収集形態別'!U25)</f>
        <v>341</v>
      </c>
      <c r="J24" s="222">
        <f>SUM('イ 生活　排出収集形態別'!Y25,'イ 事業　排出収集形態別'!Y25)</f>
        <v>1692</v>
      </c>
      <c r="K24" s="222">
        <v>0</v>
      </c>
      <c r="L24" s="222">
        <v>2394</v>
      </c>
      <c r="M24" s="420"/>
      <c r="N24" s="66">
        <f>B24-G24-L24-'イ 生活　排出収集形態別'!AC25-'イ 事業　排出収集形態別'!AC25</f>
        <v>38023</v>
      </c>
      <c r="O24" s="66">
        <f t="shared" si="4"/>
        <v>677.8231258318923</v>
      </c>
      <c r="P24" s="67">
        <f t="shared" si="1"/>
        <v>28.065213438655327</v>
      </c>
      <c r="Q24" s="354"/>
      <c r="R24" s="350">
        <v>145377</v>
      </c>
      <c r="S24" s="351">
        <v>0</v>
      </c>
      <c r="T24" s="352">
        <v>8310</v>
      </c>
      <c r="U24" s="369">
        <f t="shared" si="5"/>
        <v>153687</v>
      </c>
      <c r="W24" s="345">
        <f>'ウ 資源 計'!B26</f>
        <v>13892</v>
      </c>
    </row>
    <row r="25" spans="1:23" ht="27.75" customHeight="1">
      <c r="A25" s="152" t="s">
        <v>206</v>
      </c>
      <c r="B25" s="69">
        <f t="shared" si="2"/>
        <v>45191</v>
      </c>
      <c r="C25" s="265">
        <f t="shared" si="0"/>
        <v>895.7398887594564</v>
      </c>
      <c r="D25" s="69">
        <f t="shared" si="3"/>
        <v>39300</v>
      </c>
      <c r="E25" s="271">
        <f>SUM('イ 生活　排出収集形態別'!E26,'イ 事業　排出収集形態別'!E26)</f>
        <v>29126</v>
      </c>
      <c r="F25" s="271">
        <f>SUM('イ 生活　排出収集形態別'!I26,'イ 事業　排出収集形態別'!I26)</f>
        <v>2162</v>
      </c>
      <c r="G25" s="271">
        <f>SUM('イ 生活　排出収集形態別'!M26,'イ 事業　排出収集形態別'!M26)</f>
        <v>7919</v>
      </c>
      <c r="H25" s="271">
        <f>SUM('イ 生活　排出収集形態別'!Q26,'イ 事業　排出収集形態別'!Q26)</f>
        <v>0</v>
      </c>
      <c r="I25" s="276">
        <f>SUM('イ 生活　排出収集形態別'!U26,'イ 事業　排出収集形態別'!U26)</f>
        <v>93</v>
      </c>
      <c r="J25" s="68">
        <f>SUM('イ 生活　排出収集形態別'!Y26,'イ 事業　排出収集形態別'!Y26)</f>
        <v>3453</v>
      </c>
      <c r="K25" s="68">
        <v>0</v>
      </c>
      <c r="L25" s="68">
        <v>2438</v>
      </c>
      <c r="M25" s="420"/>
      <c r="N25" s="69">
        <f>B25-G25-L25-'イ 生活　排出収集形態別'!AC26-'イ 事業　排出収集形態別'!AC26</f>
        <v>34834</v>
      </c>
      <c r="O25" s="69">
        <f t="shared" si="4"/>
        <v>690.4517112931094</v>
      </c>
      <c r="P25" s="70">
        <f t="shared" si="1"/>
        <v>24.845655108318027</v>
      </c>
      <c r="Q25" s="354"/>
      <c r="R25" s="343">
        <v>135328</v>
      </c>
      <c r="S25" s="288">
        <v>0</v>
      </c>
      <c r="T25" s="344">
        <v>2894</v>
      </c>
      <c r="U25" s="370">
        <f t="shared" si="5"/>
        <v>138222</v>
      </c>
      <c r="W25" s="346">
        <f>'ウ 資源 計'!B27</f>
        <v>11228</v>
      </c>
    </row>
    <row r="26" spans="1:23" ht="27.75" customHeight="1">
      <c r="A26" s="151" t="s">
        <v>207</v>
      </c>
      <c r="B26" s="82">
        <f t="shared" si="2"/>
        <v>15926</v>
      </c>
      <c r="C26" s="266">
        <f t="shared" si="0"/>
        <v>843.8322254260224</v>
      </c>
      <c r="D26" s="82">
        <f t="shared" si="3"/>
        <v>14941</v>
      </c>
      <c r="E26" s="272">
        <f>SUM('イ 生活　排出収集形態別'!E27,'イ 事業　排出収集形態別'!E27)</f>
        <v>11412</v>
      </c>
      <c r="F26" s="272">
        <f>SUM('イ 生活　排出収集形態別'!I27,'イ 事業　排出収集形態別'!I27)</f>
        <v>393</v>
      </c>
      <c r="G26" s="272">
        <f>SUM('イ 生活　排出収集形態別'!M27,'イ 事業　排出収集形態別'!M27)</f>
        <v>3077</v>
      </c>
      <c r="H26" s="272">
        <f>SUM('イ 生活　排出収集形態別'!Q27,'イ 事業　排出収集形態別'!Q27)</f>
        <v>32</v>
      </c>
      <c r="I26" s="277">
        <f>SUM('イ 生活　排出収集形態別'!U27,'イ 事業　排出収集形態別'!U27)</f>
        <v>27</v>
      </c>
      <c r="J26" s="221">
        <f>SUM('イ 生活　排出収集形態別'!Y27,'イ 事業　排出収集形態別'!Y27)</f>
        <v>961</v>
      </c>
      <c r="K26" s="221">
        <v>0</v>
      </c>
      <c r="L26" s="221">
        <v>24</v>
      </c>
      <c r="M26" s="420"/>
      <c r="N26" s="82">
        <f>B26-G26-L26-'イ 生活　排出収集形態別'!AC27-'イ 事業　排出収集形態別'!AC27</f>
        <v>12577</v>
      </c>
      <c r="O26" s="82">
        <f t="shared" si="4"/>
        <v>666.3869081491325</v>
      </c>
      <c r="P26" s="71">
        <f t="shared" si="1"/>
        <v>21.22943614215748</v>
      </c>
      <c r="Q26" s="354"/>
      <c r="R26" s="350">
        <v>50746</v>
      </c>
      <c r="S26" s="351">
        <v>0</v>
      </c>
      <c r="T26" s="352">
        <v>962</v>
      </c>
      <c r="U26" s="369">
        <f t="shared" si="5"/>
        <v>51708</v>
      </c>
      <c r="W26" s="345">
        <f>'ウ 資源 計'!B28</f>
        <v>3381</v>
      </c>
    </row>
    <row r="27" spans="1:23" ht="27.75" customHeight="1">
      <c r="A27" s="154" t="s">
        <v>208</v>
      </c>
      <c r="B27" s="66">
        <f t="shared" si="2"/>
        <v>39414</v>
      </c>
      <c r="C27" s="87">
        <f t="shared" si="0"/>
        <v>992.9157699379849</v>
      </c>
      <c r="D27" s="66">
        <f t="shared" si="3"/>
        <v>30011</v>
      </c>
      <c r="E27" s="270">
        <f>SUM('イ 生活　排出収集形態別'!E28,'イ 事業　排出収集形態別'!E28)</f>
        <v>25474</v>
      </c>
      <c r="F27" s="270">
        <f>SUM('イ 生活　排出収集形態別'!I28,'イ 事業　排出収集形態別'!I28)</f>
        <v>1539</v>
      </c>
      <c r="G27" s="270">
        <f>SUM('イ 生活　排出収集形態別'!M28,'イ 事業　排出収集形態別'!M28)</f>
        <v>2521</v>
      </c>
      <c r="H27" s="270">
        <f>SUM('イ 生活　排出収集形態別'!Q28,'イ 事業　排出収集形態別'!Q28)</f>
        <v>20</v>
      </c>
      <c r="I27" s="275">
        <f>SUM('イ 生活　排出収集形態別'!U28,'イ 事業　排出収集形態別'!U28)</f>
        <v>457</v>
      </c>
      <c r="J27" s="222">
        <f>SUM('イ 生活　排出収集形態別'!Y28,'イ 事業　排出収集形態別'!Y28)</f>
        <v>5539</v>
      </c>
      <c r="K27" s="222">
        <v>0</v>
      </c>
      <c r="L27" s="222">
        <v>3864</v>
      </c>
      <c r="M27" s="420"/>
      <c r="N27" s="66">
        <f>B27-G27-L27-'イ 生活　排出収集形態別'!AC28-'イ 事業　排出収集形態別'!AC28</f>
        <v>33029</v>
      </c>
      <c r="O27" s="66">
        <f t="shared" si="4"/>
        <v>832.0651282610672</v>
      </c>
      <c r="P27" s="67">
        <f t="shared" si="1"/>
        <v>29.26371340132948</v>
      </c>
      <c r="Q27" s="354"/>
      <c r="R27" s="350">
        <v>107397</v>
      </c>
      <c r="S27" s="351">
        <v>0</v>
      </c>
      <c r="T27" s="352">
        <v>1357</v>
      </c>
      <c r="U27" s="369">
        <f t="shared" si="5"/>
        <v>108754</v>
      </c>
      <c r="W27" s="345">
        <f>'ウ 資源 計'!B29</f>
        <v>11534</v>
      </c>
    </row>
    <row r="28" spans="1:23" ht="27.75" customHeight="1">
      <c r="A28" s="154" t="s">
        <v>209</v>
      </c>
      <c r="B28" s="66">
        <f t="shared" si="2"/>
        <v>28172</v>
      </c>
      <c r="C28" s="87">
        <f t="shared" si="0"/>
        <v>898.4025705819398</v>
      </c>
      <c r="D28" s="66">
        <f t="shared" si="3"/>
        <v>26211</v>
      </c>
      <c r="E28" s="270">
        <f>SUM('イ 生活　排出収集形態別'!E29,'イ 事業　排出収集形態別'!E29)</f>
        <v>18674</v>
      </c>
      <c r="F28" s="270">
        <f>SUM('イ 生活　排出収集形態別'!I29,'イ 事業　排出収集形態別'!I29)</f>
        <v>747</v>
      </c>
      <c r="G28" s="270">
        <f>SUM('イ 生活　排出収集形態別'!M29,'イ 事業　排出収集形態別'!M29)</f>
        <v>6790</v>
      </c>
      <c r="H28" s="270">
        <f>SUM('イ 生活　排出収集形態別'!Q29,'イ 事業　排出収集形態別'!Q29)</f>
        <v>0</v>
      </c>
      <c r="I28" s="275">
        <f>SUM('イ 生活　排出収集形態別'!U29,'イ 事業　排出収集形態別'!U29)</f>
        <v>0</v>
      </c>
      <c r="J28" s="222">
        <f>SUM('イ 生活　排出収集形態別'!Y29,'イ 事業　排出収集形態別'!Y29)</f>
        <v>1961</v>
      </c>
      <c r="K28" s="222">
        <v>0</v>
      </c>
      <c r="L28" s="222">
        <v>0</v>
      </c>
      <c r="M28" s="420"/>
      <c r="N28" s="66">
        <f>B28-G28-L28-'イ 生活　排出収集形態別'!AC29-'イ 事業　排出収集形態別'!AC29</f>
        <v>21382</v>
      </c>
      <c r="O28" s="66">
        <f t="shared" si="4"/>
        <v>681.8700754005054</v>
      </c>
      <c r="P28" s="67">
        <f t="shared" si="1"/>
        <v>25.354962373988354</v>
      </c>
      <c r="Q28" s="354"/>
      <c r="R28" s="350">
        <v>83759</v>
      </c>
      <c r="S28" s="351">
        <v>0</v>
      </c>
      <c r="T28" s="352">
        <v>2153</v>
      </c>
      <c r="U28" s="369">
        <f t="shared" si="5"/>
        <v>85912</v>
      </c>
      <c r="W28" s="345">
        <f>'ウ 資源 計'!B30</f>
        <v>7143</v>
      </c>
    </row>
    <row r="29" spans="1:23" ht="27.75" customHeight="1">
      <c r="A29" s="154" t="s">
        <v>210</v>
      </c>
      <c r="B29" s="66">
        <f t="shared" si="2"/>
        <v>29035</v>
      </c>
      <c r="C29" s="87">
        <f t="shared" si="0"/>
        <v>918.0692373132301</v>
      </c>
      <c r="D29" s="66">
        <f t="shared" si="3"/>
        <v>22815</v>
      </c>
      <c r="E29" s="270">
        <f>SUM('イ 生活　排出収集形態別'!E30,'イ 事業　排出収集形態別'!E30)</f>
        <v>18673</v>
      </c>
      <c r="F29" s="270">
        <f>SUM('イ 生活　排出収集形態別'!I30,'イ 事業　排出収集形態別'!I30)</f>
        <v>1518</v>
      </c>
      <c r="G29" s="270">
        <f>SUM('イ 生活　排出収集形態別'!M30,'イ 事業　排出収集形態別'!M30)</f>
        <v>2562</v>
      </c>
      <c r="H29" s="270">
        <f>SUM('イ 生活　排出収集形態別'!Q30,'イ 事業　排出収集形態別'!Q30)</f>
        <v>0</v>
      </c>
      <c r="I29" s="275">
        <f>SUM('イ 生活　排出収集形態別'!U30,'イ 事業　排出収集形態別'!U30)</f>
        <v>62</v>
      </c>
      <c r="J29" s="222">
        <f>SUM('イ 生活　排出収集形態別'!Y30,'イ 事業　排出収集形態別'!Y30)</f>
        <v>5322</v>
      </c>
      <c r="K29" s="222">
        <v>0</v>
      </c>
      <c r="L29" s="222">
        <v>898</v>
      </c>
      <c r="M29" s="420"/>
      <c r="N29" s="66">
        <f>B29-G29-L29-'イ 生活　排出収集形態別'!AC30-'イ 事業　排出収集形態別'!AC30</f>
        <v>24754</v>
      </c>
      <c r="O29" s="66">
        <f t="shared" si="4"/>
        <v>782.7065920596418</v>
      </c>
      <c r="P29" s="67">
        <f t="shared" si="1"/>
        <v>17.182710521784053</v>
      </c>
      <c r="Q29" s="354"/>
      <c r="R29" s="350">
        <v>84837</v>
      </c>
      <c r="S29" s="351">
        <v>0</v>
      </c>
      <c r="T29" s="352">
        <v>1810</v>
      </c>
      <c r="U29" s="369">
        <f t="shared" si="5"/>
        <v>86647</v>
      </c>
      <c r="W29" s="345">
        <f>'ウ 資源 計'!B31</f>
        <v>4989</v>
      </c>
    </row>
    <row r="30" spans="1:23" ht="27.75" customHeight="1">
      <c r="A30" s="152" t="s">
        <v>211</v>
      </c>
      <c r="B30" s="69">
        <f t="shared" si="2"/>
        <v>22637</v>
      </c>
      <c r="C30" s="265">
        <f t="shared" si="0"/>
        <v>893.1976392625013</v>
      </c>
      <c r="D30" s="69">
        <f t="shared" si="3"/>
        <v>18574</v>
      </c>
      <c r="E30" s="271">
        <f>SUM('イ 生活　排出収集形態別'!E31,'イ 事業　排出収集形態別'!E31)</f>
        <v>16090</v>
      </c>
      <c r="F30" s="271">
        <f>SUM('イ 生活　排出収集形態別'!I31,'イ 事業　排出収集形態別'!I31)</f>
        <v>448</v>
      </c>
      <c r="G30" s="271">
        <f>SUM('イ 生活　排出収集形態別'!M31,'イ 事業　排出収集形態別'!M31)</f>
        <v>2003</v>
      </c>
      <c r="H30" s="271">
        <f>SUM('イ 生活　排出収集形態別'!Q31,'イ 事業　排出収集形態別'!Q31)</f>
        <v>0</v>
      </c>
      <c r="I30" s="276">
        <f>SUM('イ 生活　排出収集形態別'!U31,'イ 事業　排出収集形態別'!U31)</f>
        <v>33</v>
      </c>
      <c r="J30" s="68">
        <f>SUM('イ 生活　排出収集形態別'!Y31,'イ 事業　排出収集形態別'!Y31)</f>
        <v>3635</v>
      </c>
      <c r="K30" s="68">
        <v>0</v>
      </c>
      <c r="L30" s="68">
        <v>428</v>
      </c>
      <c r="M30" s="420"/>
      <c r="N30" s="69">
        <f>B30-G30-L30-'イ 生活　排出収集形態別'!AC31-'イ 事業　排出収集形態別'!AC31</f>
        <v>20036</v>
      </c>
      <c r="O30" s="69">
        <f t="shared" si="4"/>
        <v>790.5688872316772</v>
      </c>
      <c r="P30" s="70">
        <f t="shared" si="1"/>
        <v>22.957989132835625</v>
      </c>
      <c r="Q30" s="354"/>
      <c r="R30" s="343">
        <v>65299</v>
      </c>
      <c r="S30" s="288">
        <v>0</v>
      </c>
      <c r="T30" s="344">
        <v>4136</v>
      </c>
      <c r="U30" s="370">
        <f t="shared" si="5"/>
        <v>69435</v>
      </c>
      <c r="W30" s="346">
        <f>'ウ 資源 計'!B32</f>
        <v>5197</v>
      </c>
    </row>
    <row r="31" spans="1:23" ht="27.75" customHeight="1">
      <c r="A31" s="151" t="s">
        <v>212</v>
      </c>
      <c r="B31" s="82">
        <f t="shared" si="2"/>
        <v>28599</v>
      </c>
      <c r="C31" s="266">
        <f t="shared" si="0"/>
        <v>960.5078106960987</v>
      </c>
      <c r="D31" s="82">
        <f t="shared" si="3"/>
        <v>24080</v>
      </c>
      <c r="E31" s="272">
        <f>SUM('イ 生活　排出収集形態別'!E32,'イ 事業　排出収集形態別'!E32)</f>
        <v>19541</v>
      </c>
      <c r="F31" s="272">
        <f>SUM('イ 生活　排出収集形態別'!I32,'イ 事業　排出収集形態別'!I32)</f>
        <v>712</v>
      </c>
      <c r="G31" s="272">
        <f>SUM('イ 生活　排出収集形態別'!M32,'イ 事業　排出収集形態別'!M32)</f>
        <v>3333</v>
      </c>
      <c r="H31" s="272">
        <f>SUM('イ 生活　排出収集形態別'!Q32,'イ 事業　排出収集形態別'!Q32)</f>
        <v>20</v>
      </c>
      <c r="I31" s="277">
        <f>SUM('イ 生活　排出収集形態別'!U32,'イ 事業　排出収集形態別'!U32)</f>
        <v>474</v>
      </c>
      <c r="J31" s="221">
        <f>SUM('イ 生活　排出収集形態別'!Y32,'イ 事業　排出収集形態別'!Y32)</f>
        <v>1442</v>
      </c>
      <c r="K31" s="221">
        <v>0</v>
      </c>
      <c r="L31" s="221">
        <v>3077</v>
      </c>
      <c r="M31" s="420"/>
      <c r="N31" s="82">
        <f>B31-G31-L31-'イ 生活　排出収集形態別'!AC32-'イ 事業　排出収集形態別'!AC32</f>
        <v>22189</v>
      </c>
      <c r="O31" s="82">
        <f t="shared" si="4"/>
        <v>745.2256306701539</v>
      </c>
      <c r="P31" s="71">
        <f t="shared" si="1"/>
        <v>23.791041644812754</v>
      </c>
      <c r="Q31" s="354"/>
      <c r="R31" s="350">
        <v>80515</v>
      </c>
      <c r="S31" s="351">
        <v>0</v>
      </c>
      <c r="T31" s="352">
        <v>1060</v>
      </c>
      <c r="U31" s="369">
        <f t="shared" si="5"/>
        <v>81575</v>
      </c>
      <c r="W31" s="345">
        <f>'ウ 資源 計'!B33</f>
        <v>6804</v>
      </c>
    </row>
    <row r="32" spans="1:23" ht="27.75" customHeight="1">
      <c r="A32" s="154" t="s">
        <v>213</v>
      </c>
      <c r="B32" s="66">
        <f t="shared" si="2"/>
        <v>15141</v>
      </c>
      <c r="C32" s="87">
        <f t="shared" si="0"/>
        <v>917.179441514591</v>
      </c>
      <c r="D32" s="66">
        <f t="shared" si="3"/>
        <v>12498</v>
      </c>
      <c r="E32" s="270">
        <f>SUM('イ 生活　排出収集形態別'!E33,'イ 事業　排出収集形態別'!E33)</f>
        <v>10627</v>
      </c>
      <c r="F32" s="270">
        <f>SUM('イ 生活　排出収集形態別'!I33,'イ 事業　排出収集形態別'!I33)</f>
        <v>317</v>
      </c>
      <c r="G32" s="270">
        <f>SUM('イ 生活　排出収集形態別'!M33,'イ 事業　排出収集形態別'!M33)</f>
        <v>1552</v>
      </c>
      <c r="H32" s="270">
        <f>SUM('イ 生活　排出収集形態別'!Q33,'イ 事業　排出収集形態別'!Q33)</f>
        <v>0</v>
      </c>
      <c r="I32" s="275">
        <f>SUM('イ 生活　排出収集形態別'!U33,'イ 事業　排出収集形態別'!U33)</f>
        <v>2</v>
      </c>
      <c r="J32" s="222">
        <f>SUM('イ 生活　排出収集形態別'!Y33,'イ 事業　排出収集形態別'!Y33)</f>
        <v>2380</v>
      </c>
      <c r="K32" s="222">
        <v>0</v>
      </c>
      <c r="L32" s="222">
        <v>263</v>
      </c>
      <c r="M32" s="420"/>
      <c r="N32" s="66">
        <f>B32-G32-L32-'イ 生活　排出収集形態別'!AC33-'イ 事業　排出収集形態別'!AC33</f>
        <v>13005</v>
      </c>
      <c r="O32" s="66">
        <f t="shared" si="4"/>
        <v>787.7893558481775</v>
      </c>
      <c r="P32" s="67">
        <f t="shared" si="1"/>
        <v>18.182418598507365</v>
      </c>
      <c r="Q32" s="354"/>
      <c r="R32" s="350">
        <v>43006</v>
      </c>
      <c r="S32" s="351">
        <v>0</v>
      </c>
      <c r="T32" s="352">
        <v>2222</v>
      </c>
      <c r="U32" s="369">
        <f t="shared" si="5"/>
        <v>45228</v>
      </c>
      <c r="W32" s="345">
        <f>'ウ 資源 計'!B34</f>
        <v>2753</v>
      </c>
    </row>
    <row r="33" spans="1:23" ht="27.75" customHeight="1">
      <c r="A33" s="154" t="s">
        <v>214</v>
      </c>
      <c r="B33" s="66">
        <f t="shared" si="2"/>
        <v>13842</v>
      </c>
      <c r="C33" s="87">
        <f t="shared" si="0"/>
        <v>779.8812937510617</v>
      </c>
      <c r="D33" s="66">
        <f t="shared" si="3"/>
        <v>12191</v>
      </c>
      <c r="E33" s="270">
        <f>SUM('イ 生活　排出収集形態別'!E34,'イ 事業　排出収集形態別'!E34)</f>
        <v>9172</v>
      </c>
      <c r="F33" s="270">
        <f>SUM('イ 生活　排出収集形態別'!I34,'イ 事業　排出収集形態別'!I34)</f>
        <v>962</v>
      </c>
      <c r="G33" s="270">
        <f>SUM('イ 生活　排出収集形態別'!M34,'イ 事業　排出収集形態別'!M34)</f>
        <v>1970</v>
      </c>
      <c r="H33" s="270">
        <f>SUM('イ 生活　排出収集形態別'!Q34,'イ 事業　排出収集形態別'!Q34)</f>
        <v>0</v>
      </c>
      <c r="I33" s="275">
        <f>SUM('イ 生活　排出収集形態別'!U34,'イ 事業　排出収集形態別'!U34)</f>
        <v>87</v>
      </c>
      <c r="J33" s="222">
        <f>SUM('イ 生活　排出収集形態別'!Y34,'イ 事業　排出収集形態別'!Y34)</f>
        <v>176</v>
      </c>
      <c r="K33" s="222">
        <v>0</v>
      </c>
      <c r="L33" s="222">
        <v>1475</v>
      </c>
      <c r="M33" s="420"/>
      <c r="N33" s="66">
        <f>B33-G33-L33-'イ 生活　排出収集形態別'!AC34-'イ 事業　排出収集形態別'!AC34</f>
        <v>10397</v>
      </c>
      <c r="O33" s="66">
        <f t="shared" si="4"/>
        <v>585.7842660836432</v>
      </c>
      <c r="P33" s="67">
        <f t="shared" si="1"/>
        <v>26.470163271203585</v>
      </c>
      <c r="Q33" s="354"/>
      <c r="R33" s="350">
        <v>46016</v>
      </c>
      <c r="S33" s="351">
        <v>0</v>
      </c>
      <c r="T33" s="352">
        <v>2611</v>
      </c>
      <c r="U33" s="369">
        <f t="shared" si="5"/>
        <v>48627</v>
      </c>
      <c r="W33" s="345">
        <f>'ウ 資源 計'!B35</f>
        <v>3664</v>
      </c>
    </row>
    <row r="34" spans="1:23" ht="27.75" customHeight="1">
      <c r="A34" s="154" t="s">
        <v>215</v>
      </c>
      <c r="B34" s="66">
        <f t="shared" si="2"/>
        <v>21058</v>
      </c>
      <c r="C34" s="87">
        <f t="shared" si="0"/>
        <v>838.4291855216682</v>
      </c>
      <c r="D34" s="66">
        <f t="shared" si="3"/>
        <v>19329</v>
      </c>
      <c r="E34" s="270">
        <f>SUM('イ 生活　排出収集形態別'!E35,'イ 事業　排出収集形態別'!E35)</f>
        <v>13723</v>
      </c>
      <c r="F34" s="270">
        <f>SUM('イ 生活　排出収集形態別'!I35,'イ 事業　排出収集形態別'!I35)</f>
        <v>501</v>
      </c>
      <c r="G34" s="270">
        <f>SUM('イ 生活　排出収集形態別'!M35,'イ 事業　排出収集形態別'!M35)</f>
        <v>5014</v>
      </c>
      <c r="H34" s="270">
        <f>SUM('イ 生活　排出収集形態別'!Q35,'イ 事業　排出収集形態別'!Q35)</f>
        <v>0</v>
      </c>
      <c r="I34" s="275">
        <f>SUM('イ 生活　排出収集形態別'!U35,'イ 事業　排出収集形態別'!U35)</f>
        <v>91</v>
      </c>
      <c r="J34" s="222">
        <f>SUM('イ 生活　排出収集形態別'!Y35,'イ 事業　排出収集形態別'!Y35)</f>
        <v>1019</v>
      </c>
      <c r="K34" s="222">
        <v>0</v>
      </c>
      <c r="L34" s="222">
        <v>710</v>
      </c>
      <c r="M34" s="420"/>
      <c r="N34" s="66">
        <f>B34-G34-L34-'イ 生活　排出収集形態別'!AC35-'イ 事業　排出収集形態別'!AC35</f>
        <v>15334</v>
      </c>
      <c r="O34" s="66">
        <f t="shared" si="4"/>
        <v>610.5267893811977</v>
      </c>
      <c r="P34" s="67">
        <f t="shared" si="1"/>
        <v>28.307531579447243</v>
      </c>
      <c r="Q34" s="354"/>
      <c r="R34" s="350">
        <v>66318</v>
      </c>
      <c r="S34" s="351">
        <v>0</v>
      </c>
      <c r="T34" s="352">
        <v>2493</v>
      </c>
      <c r="U34" s="369">
        <f t="shared" si="5"/>
        <v>68811</v>
      </c>
      <c r="W34" s="345">
        <f>'ウ 資源 計'!B36</f>
        <v>5961</v>
      </c>
    </row>
    <row r="35" spans="1:23" ht="27.75" customHeight="1">
      <c r="A35" s="155" t="s">
        <v>216</v>
      </c>
      <c r="B35" s="69">
        <f>SUM(D35,J35,K35,L35)</f>
        <v>27243</v>
      </c>
      <c r="C35" s="265">
        <f t="shared" si="0"/>
        <v>909.6026636002676</v>
      </c>
      <c r="D35" s="69">
        <f>SUM(E35:I35)</f>
        <v>22551</v>
      </c>
      <c r="E35" s="271">
        <f>SUM('イ 生活　排出収集形態別'!E36,'イ 事業　排出収集形態別'!E36)</f>
        <v>16740</v>
      </c>
      <c r="F35" s="271">
        <f>SUM('イ 生活　排出収集形態別'!I36,'イ 事業　排出収集形態別'!I36)</f>
        <v>1226</v>
      </c>
      <c r="G35" s="271">
        <f>SUM('イ 生活　排出収集形態別'!M36,'イ 事業　排出収集形態別'!M36)</f>
        <v>4324</v>
      </c>
      <c r="H35" s="271">
        <f>SUM('イ 生活　排出収集形態別'!Q36,'イ 事業　排出収集形態別'!Q36)</f>
        <v>5</v>
      </c>
      <c r="I35" s="276">
        <f>SUM('イ 生活　排出収集形態別'!U36,'イ 事業　排出収集形態別'!U36)</f>
        <v>256</v>
      </c>
      <c r="J35" s="68">
        <f>SUM('イ 生活　排出収集形態別'!Y36,'イ 事業　排出収集形態別'!Y36)</f>
        <v>2853</v>
      </c>
      <c r="K35" s="68">
        <v>0</v>
      </c>
      <c r="L35" s="68">
        <v>1839</v>
      </c>
      <c r="M35" s="420"/>
      <c r="N35" s="69">
        <f>B35-G35-L35-'イ 生活　排出収集形態別'!AC36-'イ 事業　排出収集形態別'!AC36</f>
        <v>21053</v>
      </c>
      <c r="O35" s="69">
        <f t="shared" si="4"/>
        <v>702.9279035633533</v>
      </c>
      <c r="P35" s="70">
        <f t="shared" si="1"/>
        <v>24.321844143449695</v>
      </c>
      <c r="Q35" s="354"/>
      <c r="R35" s="343">
        <v>80858</v>
      </c>
      <c r="S35" s="288">
        <v>0</v>
      </c>
      <c r="T35" s="344">
        <v>1198</v>
      </c>
      <c r="U35" s="370">
        <f t="shared" si="5"/>
        <v>82056</v>
      </c>
      <c r="W35" s="346">
        <f>'ウ 資源 計'!B37</f>
        <v>6626</v>
      </c>
    </row>
    <row r="36" spans="1:23" ht="27.75" customHeight="1">
      <c r="A36" s="154" t="s">
        <v>217</v>
      </c>
      <c r="B36" s="66">
        <f aca="true" t="shared" si="6" ref="B36:B42">SUM(D36,J36,K36,L36)</f>
        <v>25364</v>
      </c>
      <c r="C36" s="87">
        <f t="shared" si="0"/>
        <v>1028.4667213122398</v>
      </c>
      <c r="D36" s="66">
        <f aca="true" t="shared" si="7" ref="D36:D41">SUM(E36:I36)</f>
        <v>18550</v>
      </c>
      <c r="E36" s="270">
        <f>SUM('イ 生活　排出収集形態別'!E37,'イ 事業　排出収集形態別'!E37)</f>
        <v>14175</v>
      </c>
      <c r="F36" s="270">
        <f>SUM('イ 生活　排出収集形態別'!I37,'イ 事業　排出収集形態別'!I37)</f>
        <v>240</v>
      </c>
      <c r="G36" s="270">
        <f>SUM('イ 生活　排出収集形態別'!M37,'イ 事業　排出収集形態別'!M37)</f>
        <v>4135</v>
      </c>
      <c r="H36" s="270">
        <f>SUM('イ 生活　排出収集形態別'!Q37,'イ 事業　排出収集形態別'!Q37)</f>
        <v>0</v>
      </c>
      <c r="I36" s="275">
        <f>SUM('イ 生活　排出収集形態別'!U37,'イ 事業　排出収集形態別'!U37)</f>
        <v>0</v>
      </c>
      <c r="J36" s="222">
        <f>SUM('イ 生活　排出収集形態別'!Y37,'イ 事業　排出収集形態別'!Y37)</f>
        <v>6814</v>
      </c>
      <c r="K36" s="222">
        <v>0</v>
      </c>
      <c r="L36" s="222">
        <v>0</v>
      </c>
      <c r="M36" s="420"/>
      <c r="N36" s="221">
        <f>B36-G36-L36-'イ 生活　排出収集形態別'!AC37-'イ 事業　排出収集形態別'!AC37</f>
        <v>17473</v>
      </c>
      <c r="O36" s="66">
        <f aca="true" t="shared" si="8" ref="O36:O43">(N36*1000000)/(U36*365)</f>
        <v>708.5001979770054</v>
      </c>
      <c r="P36" s="67">
        <f t="shared" si="1"/>
        <v>34.19019082163697</v>
      </c>
      <c r="Q36" s="354"/>
      <c r="R36" s="355">
        <v>66397</v>
      </c>
      <c r="S36" s="356">
        <v>0</v>
      </c>
      <c r="T36" s="357">
        <v>1170</v>
      </c>
      <c r="U36" s="371">
        <f aca="true" t="shared" si="9" ref="U36:U43">SUM(R36:T36)</f>
        <v>67567</v>
      </c>
      <c r="V36" s="340"/>
      <c r="W36" s="358">
        <f>'ウ 資源 計'!B45</f>
        <v>8672</v>
      </c>
    </row>
    <row r="37" spans="1:23" ht="27.75" customHeight="1">
      <c r="A37" s="154" t="s">
        <v>218</v>
      </c>
      <c r="B37" s="66">
        <f t="shared" si="6"/>
        <v>18154</v>
      </c>
      <c r="C37" s="87">
        <f t="shared" si="0"/>
        <v>745.6372376674542</v>
      </c>
      <c r="D37" s="66">
        <f t="shared" si="7"/>
        <v>16713</v>
      </c>
      <c r="E37" s="270">
        <f>SUM('イ 生活　排出収集形態別'!E38,'イ 事業　排出収集形態別'!E38)</f>
        <v>11820</v>
      </c>
      <c r="F37" s="270">
        <f>SUM('イ 生活　排出収集形態別'!I38,'イ 事業　排出収集形態別'!I38)</f>
        <v>737</v>
      </c>
      <c r="G37" s="270">
        <f>SUM('イ 生活　排出収集形態別'!M38,'イ 事業　排出収集形態別'!M38)</f>
        <v>2102</v>
      </c>
      <c r="H37" s="270">
        <f>SUM('イ 生活　排出収集形態別'!Q38,'イ 事業　排出収集形態別'!Q38)</f>
        <v>1725</v>
      </c>
      <c r="I37" s="275">
        <f>SUM('イ 生活　排出収集形態別'!U38,'イ 事業　排出収集形態別'!U38)</f>
        <v>329</v>
      </c>
      <c r="J37" s="222">
        <f>SUM('イ 生活　排出収集形態別'!Y38,'イ 事業　排出収集形態別'!Y38)</f>
        <v>196</v>
      </c>
      <c r="K37" s="222">
        <v>0</v>
      </c>
      <c r="L37" s="222">
        <v>1245</v>
      </c>
      <c r="M37" s="420"/>
      <c r="N37" s="66">
        <f>B37-G37-L37-'イ 生活　排出収集形態別'!AC38-'イ 事業　排出収集形態別'!AC38</f>
        <v>14807</v>
      </c>
      <c r="O37" s="66">
        <f t="shared" si="8"/>
        <v>608.1662762003963</v>
      </c>
      <c r="P37" s="67">
        <f t="shared" si="1"/>
        <v>22.83243362344387</v>
      </c>
      <c r="Q37" s="354"/>
      <c r="R37" s="350">
        <v>66047</v>
      </c>
      <c r="S37" s="351">
        <v>0</v>
      </c>
      <c r="T37" s="352">
        <v>657</v>
      </c>
      <c r="U37" s="369">
        <f t="shared" si="9"/>
        <v>66704</v>
      </c>
      <c r="V37" s="340"/>
      <c r="W37" s="345">
        <f>'ウ 資源 計'!B46</f>
        <v>4145</v>
      </c>
    </row>
    <row r="38" spans="1:23" ht="27.75" customHeight="1">
      <c r="A38" s="154" t="s">
        <v>219</v>
      </c>
      <c r="B38" s="66">
        <f t="shared" si="6"/>
        <v>18233</v>
      </c>
      <c r="C38" s="87">
        <f aca="true" t="shared" si="10" ref="C38:C63">(B38*1000000)/(U38*365)</f>
        <v>743.100198704822</v>
      </c>
      <c r="D38" s="66">
        <f t="shared" si="7"/>
        <v>16901</v>
      </c>
      <c r="E38" s="270">
        <f>SUM('イ 生活　排出収集形態別'!E39,'イ 事業　排出収集形態別'!E39)</f>
        <v>12788</v>
      </c>
      <c r="F38" s="270">
        <f>SUM('イ 生活　排出収集形態別'!I39,'イ 事業　排出収集形態別'!I39)</f>
        <v>1026</v>
      </c>
      <c r="G38" s="270">
        <f>SUM('イ 生活　排出収集形態別'!M39,'イ 事業　排出収集形態別'!M39)</f>
        <v>1969</v>
      </c>
      <c r="H38" s="270">
        <f>SUM('イ 生活　排出収集形態別'!Q39,'イ 事業　排出収集形態別'!Q39)</f>
        <v>901</v>
      </c>
      <c r="I38" s="275">
        <f>SUM('イ 生活　排出収集形態別'!U39,'イ 事業　排出収集形態別'!U39)</f>
        <v>217</v>
      </c>
      <c r="J38" s="222">
        <f>SUM('イ 生活　排出収集形態別'!Y39,'イ 事業　排出収集形態別'!Y39)</f>
        <v>0</v>
      </c>
      <c r="K38" s="222">
        <v>0</v>
      </c>
      <c r="L38" s="222">
        <v>1332</v>
      </c>
      <c r="M38" s="420"/>
      <c r="N38" s="66">
        <f>B38-G38-L38-'イ 生活　排出収集形態別'!AC39-'イ 事業　排出収集形態別'!AC39</f>
        <v>14932</v>
      </c>
      <c r="O38" s="66">
        <f t="shared" si="8"/>
        <v>608.5653577063787</v>
      </c>
      <c r="P38" s="67">
        <f>(W38/(D38+L38))*100</f>
        <v>24.082707179290296</v>
      </c>
      <c r="Q38" s="354"/>
      <c r="R38" s="350">
        <v>65911</v>
      </c>
      <c r="S38" s="351">
        <v>0</v>
      </c>
      <c r="T38" s="352">
        <v>1312</v>
      </c>
      <c r="U38" s="369">
        <f t="shared" si="9"/>
        <v>67223</v>
      </c>
      <c r="V38" s="340"/>
      <c r="W38" s="345">
        <f>'ウ 資源 計'!B47</f>
        <v>4391</v>
      </c>
    </row>
    <row r="39" spans="1:23" ht="27.75" customHeight="1">
      <c r="A39" s="154" t="s">
        <v>220</v>
      </c>
      <c r="B39" s="66">
        <f t="shared" si="6"/>
        <v>27243</v>
      </c>
      <c r="C39" s="87">
        <f t="shared" si="10"/>
        <v>913.5661709226874</v>
      </c>
      <c r="D39" s="66">
        <f t="shared" si="7"/>
        <v>25599</v>
      </c>
      <c r="E39" s="270">
        <f>SUM('イ 生活　排出収集形態別'!E40,'イ 事業　排出収集形態別'!E40)</f>
        <v>19051</v>
      </c>
      <c r="F39" s="270">
        <f>SUM('イ 生活　排出収集形態別'!I40,'イ 事業　排出収集形態別'!I40)</f>
        <v>1368</v>
      </c>
      <c r="G39" s="270">
        <f>SUM('イ 生活　排出収集形態別'!M40,'イ 事業　排出収集形態別'!M40)</f>
        <v>4979</v>
      </c>
      <c r="H39" s="270">
        <f>SUM('イ 生活　排出収集形態別'!Q40,'イ 事業　排出収集形態別'!Q40)</f>
        <v>15</v>
      </c>
      <c r="I39" s="275">
        <f>SUM('イ 生活　排出収集形態別'!U40,'イ 事業　排出収集形態別'!U40)</f>
        <v>186</v>
      </c>
      <c r="J39" s="222">
        <f>SUM('イ 生活　排出収集形態別'!Y40,'イ 事業　排出収集形態別'!Y40)</f>
        <v>0</v>
      </c>
      <c r="K39" s="222">
        <v>0</v>
      </c>
      <c r="L39" s="222">
        <v>1644</v>
      </c>
      <c r="M39" s="420"/>
      <c r="N39" s="66">
        <f>B39-G39-L39-'イ 生活　排出収集形態別'!AC40-'イ 事業　排出収集形態別'!AC40</f>
        <v>20620</v>
      </c>
      <c r="O39" s="66">
        <f t="shared" si="8"/>
        <v>691.4706326185006</v>
      </c>
      <c r="P39" s="67">
        <f>(W39/(D39+L39))*100</f>
        <v>21.293543295525456</v>
      </c>
      <c r="Q39" s="354"/>
      <c r="R39" s="350">
        <v>80346</v>
      </c>
      <c r="S39" s="351">
        <v>0</v>
      </c>
      <c r="T39" s="352">
        <v>1354</v>
      </c>
      <c r="U39" s="369">
        <f t="shared" si="9"/>
        <v>81700</v>
      </c>
      <c r="V39" s="340"/>
      <c r="W39" s="345">
        <f>'ウ 資源 計'!B48</f>
        <v>5801</v>
      </c>
    </row>
    <row r="40" spans="1:23" ht="27.75" customHeight="1">
      <c r="A40" s="152" t="s">
        <v>131</v>
      </c>
      <c r="B40" s="69">
        <f t="shared" si="6"/>
        <v>12080</v>
      </c>
      <c r="C40" s="363">
        <f t="shared" si="10"/>
        <v>745.2686545433008</v>
      </c>
      <c r="D40" s="69">
        <f t="shared" si="7"/>
        <v>11385</v>
      </c>
      <c r="E40" s="271">
        <f>SUM('イ 生活　排出収集形態別'!E41,'イ 事業　排出収集形態別'!E41)</f>
        <v>9750</v>
      </c>
      <c r="F40" s="271">
        <f>SUM('イ 生活　排出収集形態別'!I41,'イ 事業　排出収集形態別'!I41)</f>
        <v>372</v>
      </c>
      <c r="G40" s="271">
        <f>SUM('イ 生活　排出収集形態別'!M41,'イ 事業　排出収集形態別'!M41)</f>
        <v>999</v>
      </c>
      <c r="H40" s="271">
        <f>SUM('イ 生活　排出収集形態別'!Q41,'イ 事業　排出収集形態別'!Q41)</f>
        <v>0</v>
      </c>
      <c r="I40" s="364">
        <f>SUM('イ 生活　排出収集形態別'!U41,'イ 事業　排出収集形態別'!U41)</f>
        <v>264</v>
      </c>
      <c r="J40" s="68">
        <f>SUM('イ 生活　排出収集形態別'!Y41,'イ 事業　排出収集形態別'!Y41)</f>
        <v>433</v>
      </c>
      <c r="K40" s="68">
        <v>0</v>
      </c>
      <c r="L40" s="68">
        <v>262</v>
      </c>
      <c r="M40" s="421"/>
      <c r="N40" s="69">
        <f>B40-G40-L40-'イ 生活　排出収集形態別'!AC41-'イ 事業　排出収集形態別'!AC41</f>
        <v>10819</v>
      </c>
      <c r="O40" s="69">
        <f t="shared" si="8"/>
        <v>667.4719845615871</v>
      </c>
      <c r="P40" s="70">
        <f aca="true" t="shared" si="11" ref="P40:P48">(W40/(D40+J40+L40))*100</f>
        <v>10.678807947019868</v>
      </c>
      <c r="Q40" s="353"/>
      <c r="R40" s="343">
        <v>43213</v>
      </c>
      <c r="S40" s="288">
        <v>0</v>
      </c>
      <c r="T40" s="344">
        <v>1195</v>
      </c>
      <c r="U40" s="370">
        <f t="shared" si="9"/>
        <v>44408</v>
      </c>
      <c r="V40" s="340"/>
      <c r="W40" s="345">
        <f>'ウ 資源 計'!B49</f>
        <v>1290</v>
      </c>
    </row>
    <row r="41" spans="1:23" ht="27.75" customHeight="1">
      <c r="A41" s="243" t="s">
        <v>264</v>
      </c>
      <c r="B41" s="66">
        <f t="shared" si="6"/>
        <v>19169</v>
      </c>
      <c r="C41" s="87">
        <f t="shared" si="10"/>
        <v>905.4950640386572</v>
      </c>
      <c r="D41" s="287">
        <f t="shared" si="7"/>
        <v>15790</v>
      </c>
      <c r="E41" s="275">
        <f>SUM('イ 生活　排出収集形態別'!E42,'イ 事業　排出収集形態別'!E42)</f>
        <v>12301</v>
      </c>
      <c r="F41" s="275">
        <f>SUM('イ 生活　排出収集形態別'!I42,'イ 事業　排出収集形態別'!I42)</f>
        <v>931</v>
      </c>
      <c r="G41" s="275">
        <f>SUM('イ 生活　排出収集形態別'!M42,'イ 事業　排出収集形態別'!M42)</f>
        <v>2462</v>
      </c>
      <c r="H41" s="270">
        <f>SUM('イ 生活　排出収集形態別'!Q42,'イ 事業　排出収集形態別'!Q42)</f>
        <v>18</v>
      </c>
      <c r="I41" s="275">
        <f>SUM('イ 生活　排出収集形態別'!U42,'イ 事業　排出収集形態別'!U42)</f>
        <v>78</v>
      </c>
      <c r="J41" s="222">
        <f>SUM('イ 生活　排出収集形態別'!Y42,'イ 事業　排出収集形態別'!Y42)</f>
        <v>2895</v>
      </c>
      <c r="K41" s="222">
        <v>0</v>
      </c>
      <c r="L41" s="222">
        <v>484</v>
      </c>
      <c r="M41" s="88"/>
      <c r="N41" s="66">
        <f>B41-G41-L41-'イ 生活　排出収集形態別'!AC42-'イ 事業　排出収集形態別'!AC42</f>
        <v>16223</v>
      </c>
      <c r="O41" s="66">
        <f t="shared" si="8"/>
        <v>766.3334771714298</v>
      </c>
      <c r="P41" s="67">
        <f t="shared" si="11"/>
        <v>18.43079972872868</v>
      </c>
      <c r="Q41" s="354"/>
      <c r="R41" s="350">
        <v>56359</v>
      </c>
      <c r="S41" s="351">
        <v>0</v>
      </c>
      <c r="T41" s="352">
        <v>1640</v>
      </c>
      <c r="U41" s="341">
        <f t="shared" si="9"/>
        <v>57999</v>
      </c>
      <c r="V41" s="340"/>
      <c r="W41" s="358">
        <f>'ウ 資源 計'!B50</f>
        <v>3533</v>
      </c>
    </row>
    <row r="42" spans="1:23" ht="27.75" customHeight="1">
      <c r="A42" s="243" t="s">
        <v>265</v>
      </c>
      <c r="B42" s="66">
        <f t="shared" si="6"/>
        <v>25123</v>
      </c>
      <c r="C42" s="87">
        <f t="shared" si="10"/>
        <v>781.6721025075393</v>
      </c>
      <c r="D42" s="287">
        <f aca="true" t="shared" si="12" ref="D42:D61">SUM(E42:I42)</f>
        <v>24653</v>
      </c>
      <c r="E42" s="275">
        <f>SUM('イ 生活　排出収集形態別'!E43,'イ 事業　排出収集形態別'!E43)</f>
        <v>19054</v>
      </c>
      <c r="F42" s="275">
        <f>SUM('イ 生活　排出収集形態別'!I43,'イ 事業　排出収集形態別'!I43)</f>
        <v>1721</v>
      </c>
      <c r="G42" s="275">
        <f>SUM('イ 生活　排出収集形態別'!M43,'イ 事業　排出収集形態別'!M43)</f>
        <v>1847</v>
      </c>
      <c r="H42" s="270">
        <f>SUM('イ 生活　排出収集形態別'!Q43,'イ 事業　排出収集形態別'!Q43)</f>
        <v>1584</v>
      </c>
      <c r="I42" s="275">
        <f>SUM('イ 生活　排出収集形態別'!U43,'イ 事業　排出収集形態別'!U43)</f>
        <v>447</v>
      </c>
      <c r="J42" s="222">
        <f>SUM('イ 生活　排出収集形態別'!Y43,'イ 事業　排出収集形態別'!Y43)</f>
        <v>136</v>
      </c>
      <c r="K42" s="222">
        <v>0</v>
      </c>
      <c r="L42" s="222">
        <v>334</v>
      </c>
      <c r="M42" s="88"/>
      <c r="N42" s="66">
        <f>B42-G42-L42-'イ 生活　排出収集形態別'!AC43-'イ 事業　排出収集形態別'!AC43</f>
        <v>22942</v>
      </c>
      <c r="O42" s="66">
        <f t="shared" si="8"/>
        <v>713.812895582851</v>
      </c>
      <c r="P42" s="67">
        <f t="shared" si="11"/>
        <v>8.808661385980972</v>
      </c>
      <c r="Q42" s="354"/>
      <c r="R42" s="350">
        <v>86496</v>
      </c>
      <c r="S42" s="351">
        <v>0</v>
      </c>
      <c r="T42" s="352">
        <v>1559</v>
      </c>
      <c r="U42" s="341">
        <f t="shared" si="9"/>
        <v>88055</v>
      </c>
      <c r="V42" s="340"/>
      <c r="W42" s="345">
        <f>'ウ 資源 計'!B51</f>
        <v>2213</v>
      </c>
    </row>
    <row r="43" spans="1:23" ht="27.75" customHeight="1">
      <c r="A43" s="154" t="s">
        <v>221</v>
      </c>
      <c r="B43" s="66">
        <f aca="true" t="shared" si="13" ref="B43:B61">SUM(D43,J43,K43,L43)</f>
        <v>13315</v>
      </c>
      <c r="C43" s="87">
        <f t="shared" si="10"/>
        <v>873.8430521437867</v>
      </c>
      <c r="D43" s="66">
        <f t="shared" si="12"/>
        <v>10579</v>
      </c>
      <c r="E43" s="270">
        <f>SUM('イ 生活　排出収集形態別'!E44,'イ 事業　排出収集形態別'!E44)</f>
        <v>8735</v>
      </c>
      <c r="F43" s="270">
        <f>SUM('イ 生活　排出収集形態別'!I44,'イ 事業　排出収集形態別'!I44)</f>
        <v>877</v>
      </c>
      <c r="G43" s="270">
        <f>SUM('イ 生活　排出収集形態別'!M44,'イ 事業　排出収集形態別'!M44)</f>
        <v>897</v>
      </c>
      <c r="H43" s="270">
        <f>SUM('イ 生活　排出収集形態別'!Q44,'イ 事業　排出収集形態別'!Q44)</f>
        <v>0</v>
      </c>
      <c r="I43" s="275">
        <f>SUM('イ 生活　排出収集形態別'!U44,'イ 事業　排出収集形態別'!U44)</f>
        <v>70</v>
      </c>
      <c r="J43" s="222">
        <f>SUM('イ 生活　排出収集形態別'!Y44,'イ 事業　排出収集形態別'!Y44)</f>
        <v>1566</v>
      </c>
      <c r="K43" s="222">
        <v>0</v>
      </c>
      <c r="L43" s="222">
        <v>1170</v>
      </c>
      <c r="M43" s="420"/>
      <c r="N43" s="66">
        <f>B43-G43-L43-'イ 生活　排出収集形態別'!AC44-'イ 事業　排出収集形態別'!AC44</f>
        <v>11248</v>
      </c>
      <c r="O43" s="66">
        <f t="shared" si="8"/>
        <v>738.1890086754272</v>
      </c>
      <c r="P43" s="67">
        <f t="shared" si="11"/>
        <v>17.852046564025535</v>
      </c>
      <c r="Q43" s="354"/>
      <c r="R43" s="350">
        <v>40791</v>
      </c>
      <c r="S43" s="351">
        <v>0</v>
      </c>
      <c r="T43" s="352">
        <v>955</v>
      </c>
      <c r="U43" s="341">
        <f t="shared" si="9"/>
        <v>41746</v>
      </c>
      <c r="V43" s="340"/>
      <c r="W43" s="345">
        <f>'ウ 資源 計'!B52</f>
        <v>2377</v>
      </c>
    </row>
    <row r="44" spans="1:23" ht="27.75" customHeight="1">
      <c r="A44" s="154" t="s">
        <v>222</v>
      </c>
      <c r="B44" s="66">
        <f t="shared" si="13"/>
        <v>18597</v>
      </c>
      <c r="C44" s="87">
        <f t="shared" si="10"/>
        <v>1019.5846660431212</v>
      </c>
      <c r="D44" s="66">
        <f t="shared" si="12"/>
        <v>16435</v>
      </c>
      <c r="E44" s="270">
        <f>SUM('イ 生活　排出収集形態別'!E45,'イ 事業　排出収集形態別'!E45)</f>
        <v>12765</v>
      </c>
      <c r="F44" s="270">
        <f>SUM('イ 生活　排出収集形態別'!I45,'イ 事業　排出収集形態別'!I45)</f>
        <v>681</v>
      </c>
      <c r="G44" s="270">
        <f>SUM('イ 生活　排出収集形態別'!M45,'イ 事業　排出収集形態別'!M45)</f>
        <v>2591</v>
      </c>
      <c r="H44" s="270">
        <f>SUM('イ 生活　排出収集形態別'!Q45,'イ 事業　排出収集形態別'!Q45)</f>
        <v>13</v>
      </c>
      <c r="I44" s="275">
        <f>SUM('イ 生活　排出収集形態別'!U45,'イ 事業　排出収集形態別'!U45)</f>
        <v>385</v>
      </c>
      <c r="J44" s="222">
        <f>SUM('イ 生活　排出収集形態別'!Y45,'イ 事業　排出収集形態別'!Y45)</f>
        <v>1522</v>
      </c>
      <c r="K44" s="222">
        <v>0</v>
      </c>
      <c r="L44" s="222">
        <v>640</v>
      </c>
      <c r="M44" s="420"/>
      <c r="N44" s="66">
        <f>B44-G44-L44-'イ 生活　排出収集形態別'!AC45-'イ 事業　排出収集形態別'!AC45</f>
        <v>15366</v>
      </c>
      <c r="O44" s="66">
        <f aca="true" t="shared" si="14" ref="O44:O62">(N44*1000000)/(U44*365)</f>
        <v>842.4443715878152</v>
      </c>
      <c r="P44" s="67">
        <f t="shared" si="11"/>
        <v>19.11598644942733</v>
      </c>
      <c r="Q44" s="354"/>
      <c r="R44" s="350">
        <v>49154</v>
      </c>
      <c r="S44" s="351">
        <v>0</v>
      </c>
      <c r="T44" s="352">
        <v>818</v>
      </c>
      <c r="U44" s="341">
        <f aca="true" t="shared" si="15" ref="U44:U62">SUM(R44:T44)</f>
        <v>49972</v>
      </c>
      <c r="V44" s="340"/>
      <c r="W44" s="345">
        <f>'ウ 資源 計'!B53</f>
        <v>3555</v>
      </c>
    </row>
    <row r="45" spans="1:23" ht="27.75" customHeight="1">
      <c r="A45" s="152" t="s">
        <v>223</v>
      </c>
      <c r="B45" s="69">
        <f t="shared" si="13"/>
        <v>6699</v>
      </c>
      <c r="C45" s="265">
        <f t="shared" si="10"/>
        <v>1267.9395272907943</v>
      </c>
      <c r="D45" s="69">
        <f t="shared" si="12"/>
        <v>6573</v>
      </c>
      <c r="E45" s="271">
        <f>SUM('イ 生活　排出収集形態別'!E46,'イ 事業　排出収集形態別'!E46)</f>
        <v>5766</v>
      </c>
      <c r="F45" s="271">
        <f>SUM('イ 生活　排出収集形態別'!I46,'イ 事業　排出収集形態別'!I46)</f>
        <v>315</v>
      </c>
      <c r="G45" s="271">
        <f>SUM('イ 生活　排出収集形態別'!M46,'イ 事業　排出収集形態別'!M46)</f>
        <v>456</v>
      </c>
      <c r="H45" s="271">
        <f>SUM('イ 生活　排出収集形態別'!Q46,'イ 事業　排出収集形態別'!Q46)</f>
        <v>3</v>
      </c>
      <c r="I45" s="276">
        <f>SUM('イ 生活　排出収集形態別'!U46,'イ 事業　排出収集形態別'!U46)</f>
        <v>33</v>
      </c>
      <c r="J45" s="68">
        <f>SUM('イ 生活　排出収集形態別'!Y46,'イ 事業　排出収集形態別'!Y46)</f>
        <v>0</v>
      </c>
      <c r="K45" s="68">
        <v>0</v>
      </c>
      <c r="L45" s="68">
        <v>126</v>
      </c>
      <c r="M45" s="420"/>
      <c r="N45" s="69">
        <f>B45-G45-L45-'イ 生活　排出収集形態別'!AC46-'イ 事業　排出収集形態別'!AC46</f>
        <v>6117</v>
      </c>
      <c r="O45" s="69">
        <f t="shared" si="14"/>
        <v>1157.782667329122</v>
      </c>
      <c r="P45" s="70">
        <f t="shared" si="11"/>
        <v>8.687863860277654</v>
      </c>
      <c r="Q45" s="354"/>
      <c r="R45" s="343">
        <v>14048</v>
      </c>
      <c r="S45" s="288">
        <v>0</v>
      </c>
      <c r="T45" s="344">
        <v>427</v>
      </c>
      <c r="U45" s="372">
        <f t="shared" si="15"/>
        <v>14475</v>
      </c>
      <c r="V45" s="340"/>
      <c r="W45" s="345">
        <f>'ウ 資源 計'!B54</f>
        <v>582</v>
      </c>
    </row>
    <row r="46" spans="1:23" ht="27.75" customHeight="1">
      <c r="A46" s="151" t="s">
        <v>224</v>
      </c>
      <c r="B46" s="82">
        <f t="shared" si="13"/>
        <v>9194</v>
      </c>
      <c r="C46" s="266">
        <f t="shared" si="10"/>
        <v>1094.9376698930846</v>
      </c>
      <c r="D46" s="82">
        <f>SUM(E46:I46)</f>
        <v>7844</v>
      </c>
      <c r="E46" s="272">
        <f>SUM('イ 生活　排出収集形態別'!E47,'イ 事業　排出収集形態別'!E47)</f>
        <v>5483</v>
      </c>
      <c r="F46" s="272">
        <f>SUM('イ 生活　排出収集形態別'!I47,'イ 事業　排出収集形態別'!I47)</f>
        <v>52</v>
      </c>
      <c r="G46" s="272">
        <f>SUM('イ 生活　排出収集形態別'!M47,'イ 事業　排出収集形態別'!M47)</f>
        <v>2072</v>
      </c>
      <c r="H46" s="272">
        <f>SUM('イ 生活　排出収集形態別'!Q47,'イ 事業　排出収集形態別'!Q47)</f>
        <v>10</v>
      </c>
      <c r="I46" s="277">
        <f>SUM('イ 生活　排出収集形態別'!U47,'イ 事業　排出収集形態別'!U47)</f>
        <v>227</v>
      </c>
      <c r="J46" s="221">
        <f>SUM('イ 生活　排出収集形態別'!Y47,'イ 事業　排出収集形態別'!Y47)</f>
        <v>266</v>
      </c>
      <c r="K46" s="221">
        <v>0</v>
      </c>
      <c r="L46" s="221">
        <v>1084</v>
      </c>
      <c r="M46" s="420"/>
      <c r="N46" s="82">
        <f>B46-G46-L46-'イ 生活　排出収集形態別'!AC47-'イ 事業　排出収集形態別'!AC47</f>
        <v>6038</v>
      </c>
      <c r="O46" s="82">
        <f t="shared" si="14"/>
        <v>719.0813194272836</v>
      </c>
      <c r="P46" s="71">
        <f t="shared" si="11"/>
        <v>40.7874700891886</v>
      </c>
      <c r="Q46" s="354"/>
      <c r="R46" s="350">
        <v>22575</v>
      </c>
      <c r="S46" s="351">
        <v>0</v>
      </c>
      <c r="T46" s="352">
        <v>430</v>
      </c>
      <c r="U46" s="341">
        <f t="shared" si="15"/>
        <v>23005</v>
      </c>
      <c r="V46" s="340"/>
      <c r="W46" s="358">
        <f>'ウ 資源 計'!B55</f>
        <v>3750</v>
      </c>
    </row>
    <row r="47" spans="1:23" ht="27.75" customHeight="1">
      <c r="A47" s="154" t="s">
        <v>225</v>
      </c>
      <c r="B47" s="66">
        <f t="shared" si="13"/>
        <v>9732</v>
      </c>
      <c r="C47" s="87">
        <f t="shared" si="10"/>
        <v>783.468902757115</v>
      </c>
      <c r="D47" s="66">
        <f t="shared" si="12"/>
        <v>8402</v>
      </c>
      <c r="E47" s="270">
        <f>SUM('イ 生活　排出収集形態別'!E48,'イ 事業　排出収集形態別'!E48)</f>
        <v>7120</v>
      </c>
      <c r="F47" s="270">
        <f>SUM('イ 生活　排出収集形態別'!I48,'イ 事業　排出収集形態別'!I48)</f>
        <v>83</v>
      </c>
      <c r="G47" s="270">
        <f>SUM('イ 生活　排出収集形態別'!M48,'イ 事業　排出収集形態別'!M48)</f>
        <v>981</v>
      </c>
      <c r="H47" s="270">
        <f>SUM('イ 生活　排出収集形態別'!Q48,'イ 事業　排出収集形態別'!Q48)</f>
        <v>8</v>
      </c>
      <c r="I47" s="275">
        <f>SUM('イ 生活　排出収集形態別'!U48,'イ 事業　排出収集形態別'!U48)</f>
        <v>210</v>
      </c>
      <c r="J47" s="222">
        <f>SUM('イ 生活　排出収集形態別'!Y48,'イ 事業　排出収集形態別'!Y48)</f>
        <v>350</v>
      </c>
      <c r="K47" s="222">
        <v>0</v>
      </c>
      <c r="L47" s="222">
        <v>980</v>
      </c>
      <c r="M47" s="420"/>
      <c r="N47" s="66">
        <f>B47-G47-L47-'イ 生活　排出収集形態別'!AC48-'イ 事業　排出収集形態別'!AC48</f>
        <v>7421</v>
      </c>
      <c r="O47" s="66">
        <f t="shared" si="14"/>
        <v>597.4232148952476</v>
      </c>
      <c r="P47" s="67">
        <f t="shared" si="11"/>
        <v>26.315248664200574</v>
      </c>
      <c r="Q47" s="354"/>
      <c r="R47" s="350">
        <v>33707</v>
      </c>
      <c r="S47" s="351">
        <v>0</v>
      </c>
      <c r="T47" s="352">
        <v>325</v>
      </c>
      <c r="U47" s="341">
        <f t="shared" si="15"/>
        <v>34032</v>
      </c>
      <c r="V47" s="340"/>
      <c r="W47" s="345">
        <f>'ウ 資源 計'!B56</f>
        <v>2561</v>
      </c>
    </row>
    <row r="48" spans="1:23" ht="27.75" customHeight="1">
      <c r="A48" s="154" t="s">
        <v>266</v>
      </c>
      <c r="B48" s="66">
        <f t="shared" si="13"/>
        <v>7941</v>
      </c>
      <c r="C48" s="87">
        <f t="shared" si="10"/>
        <v>725.9314108629177</v>
      </c>
      <c r="D48" s="66">
        <f t="shared" si="12"/>
        <v>7263</v>
      </c>
      <c r="E48" s="270">
        <f>SUM('イ 生活　排出収集形態別'!E49,'イ 事業　排出収集形態別'!E49)</f>
        <v>5469</v>
      </c>
      <c r="F48" s="270">
        <f>SUM('イ 生活　排出収集形態別'!I49,'イ 事業　排出収集形態別'!I49)</f>
        <v>330</v>
      </c>
      <c r="G48" s="270">
        <f>SUM('イ 生活　排出収集形態別'!M49,'イ 事業　排出収集形態別'!M49)</f>
        <v>708</v>
      </c>
      <c r="H48" s="270">
        <f>SUM('イ 生活　排出収集形態別'!Q49,'イ 事業　排出収集形態別'!Q49)</f>
        <v>666</v>
      </c>
      <c r="I48" s="275">
        <f>SUM('イ 生活　排出収集形態別'!U49,'イ 事業　排出収集形態別'!U49)</f>
        <v>90</v>
      </c>
      <c r="J48" s="222">
        <f>SUM('イ 生活　排出収集形態別'!Y49,'イ 事業　排出収集形態別'!Y49)</f>
        <v>117</v>
      </c>
      <c r="K48" s="222">
        <v>0</v>
      </c>
      <c r="L48" s="222">
        <v>561</v>
      </c>
      <c r="M48" s="420"/>
      <c r="N48" s="287">
        <f>B48-G48-L48-'イ 生活　排出収集形態別'!AC49-'イ 事業　排出収集形態別'!AC49</f>
        <v>6672</v>
      </c>
      <c r="O48" s="66">
        <f>(N48*1000000)/(U48*365)</f>
        <v>609.9249934866373</v>
      </c>
      <c r="P48" s="67">
        <f t="shared" si="11"/>
        <v>17.378163959199096</v>
      </c>
      <c r="Q48" s="354"/>
      <c r="R48" s="350">
        <v>29476</v>
      </c>
      <c r="S48" s="351">
        <v>0</v>
      </c>
      <c r="T48" s="352">
        <v>494</v>
      </c>
      <c r="U48" s="341">
        <f t="shared" si="15"/>
        <v>29970</v>
      </c>
      <c r="V48" s="340"/>
      <c r="W48" s="345">
        <f>'ウ 資源 計'!B57</f>
        <v>1380</v>
      </c>
    </row>
    <row r="49" spans="1:23" ht="27.75" customHeight="1">
      <c r="A49" s="154" t="s">
        <v>227</v>
      </c>
      <c r="B49" s="66">
        <f t="shared" si="13"/>
        <v>12372</v>
      </c>
      <c r="C49" s="87">
        <f t="shared" si="10"/>
        <v>903.1438120742561</v>
      </c>
      <c r="D49" s="66">
        <f t="shared" si="12"/>
        <v>11872</v>
      </c>
      <c r="E49" s="270">
        <f>SUM('イ 生活　排出収集形態別'!E50,'イ 事業　排出収集形態別'!E50)</f>
        <v>9637</v>
      </c>
      <c r="F49" s="270">
        <f>SUM('イ 生活　排出収集形態別'!I50,'イ 事業　排出収集形態別'!I50)</f>
        <v>513</v>
      </c>
      <c r="G49" s="270">
        <f>SUM('イ 生活　排出収集形態別'!M50,'イ 事業　排出収集形態別'!M50)</f>
        <v>1527</v>
      </c>
      <c r="H49" s="270">
        <f>SUM('イ 生活　排出収集形態別'!Q50,'イ 事業　排出収集形態別'!Q50)</f>
        <v>0</v>
      </c>
      <c r="I49" s="275">
        <f>SUM('イ 生活　排出収集形態別'!U50,'イ 事業　排出収集形態別'!U50)</f>
        <v>195</v>
      </c>
      <c r="J49" s="222">
        <f>SUM('イ 生活　排出収集形態別'!Y50,'イ 事業　排出収集形態別'!Y50)</f>
        <v>157</v>
      </c>
      <c r="K49" s="222">
        <v>0</v>
      </c>
      <c r="L49" s="222">
        <v>343</v>
      </c>
      <c r="M49" s="421"/>
      <c r="N49" s="222">
        <f>B49-G49-L49-'イ 生活　排出収集形態別'!AC50-'イ 事業　排出収集形態別'!AC50</f>
        <v>10502</v>
      </c>
      <c r="O49" s="66">
        <f t="shared" si="14"/>
        <v>766.6356542518458</v>
      </c>
      <c r="P49" s="67">
        <f>(W49/(D49+J49))*100</f>
        <v>16.28564302934575</v>
      </c>
      <c r="Q49" s="354"/>
      <c r="R49" s="350">
        <v>36459</v>
      </c>
      <c r="S49" s="351">
        <v>0</v>
      </c>
      <c r="T49" s="352">
        <v>1072</v>
      </c>
      <c r="U49" s="341">
        <f t="shared" si="15"/>
        <v>37531</v>
      </c>
      <c r="V49" s="340"/>
      <c r="W49" s="345">
        <f>'ウ 資源 計'!B58</f>
        <v>1959</v>
      </c>
    </row>
    <row r="50" spans="1:23" ht="27.75" customHeight="1">
      <c r="A50" s="152" t="s">
        <v>228</v>
      </c>
      <c r="B50" s="69">
        <f t="shared" si="13"/>
        <v>3274</v>
      </c>
      <c r="C50" s="265">
        <f t="shared" si="10"/>
        <v>1922.8002172987417</v>
      </c>
      <c r="D50" s="69">
        <f t="shared" si="12"/>
        <v>2490</v>
      </c>
      <c r="E50" s="271">
        <f>SUM('イ 生活　排出収集形態別'!E51,'イ 事業　排出収集形態別'!E51)</f>
        <v>1750</v>
      </c>
      <c r="F50" s="271">
        <f>SUM('イ 生活　排出収集形態別'!I51,'イ 事業　排出収集形態別'!I51)</f>
        <v>200</v>
      </c>
      <c r="G50" s="271">
        <f>SUM('イ 生活　排出収集形態別'!M51,'イ 事業　排出収集形態別'!M51)</f>
        <v>30</v>
      </c>
      <c r="H50" s="271">
        <f>SUM('イ 生活　排出収集形態別'!Q51,'イ 事業　排出収集形態別'!Q51)</f>
        <v>200</v>
      </c>
      <c r="I50" s="276">
        <f>SUM('イ 生活　排出収集形態別'!U51,'イ 事業　排出収集形態別'!U51)</f>
        <v>310</v>
      </c>
      <c r="J50" s="68">
        <f>SUM('イ 生活　排出収集形態別'!Y51,'イ 事業　排出収集形態別'!Y51)</f>
        <v>784</v>
      </c>
      <c r="K50" s="68">
        <v>0</v>
      </c>
      <c r="L50" s="68">
        <v>0</v>
      </c>
      <c r="M50" s="421"/>
      <c r="N50" s="68">
        <f>B50-G50-L50-'イ 生活　排出収集形態別'!AC51-'イ 事業　排出収集形態別'!AC51</f>
        <v>2460</v>
      </c>
      <c r="O50" s="69">
        <f t="shared" si="14"/>
        <v>1444.7429855085231</v>
      </c>
      <c r="P50" s="70">
        <f>(W50/(D50+J50))*100</f>
        <v>32.13194868662187</v>
      </c>
      <c r="Q50" s="354"/>
      <c r="R50" s="343">
        <v>4491</v>
      </c>
      <c r="S50" s="288">
        <v>0</v>
      </c>
      <c r="T50" s="344">
        <v>174</v>
      </c>
      <c r="U50" s="372">
        <f t="shared" si="15"/>
        <v>4665</v>
      </c>
      <c r="V50" s="340"/>
      <c r="W50" s="346">
        <f>'ウ 資源 計'!B59</f>
        <v>1052</v>
      </c>
    </row>
    <row r="51" spans="1:23" ht="27.75" customHeight="1">
      <c r="A51" s="154" t="s">
        <v>229</v>
      </c>
      <c r="B51" s="66">
        <f t="shared" si="13"/>
        <v>8289</v>
      </c>
      <c r="C51" s="87">
        <f t="shared" si="10"/>
        <v>875.7698909064784</v>
      </c>
      <c r="D51" s="66">
        <f t="shared" si="12"/>
        <v>8201</v>
      </c>
      <c r="E51" s="270">
        <f>SUM('イ 生活　排出収集形態別'!E52,'イ 事業　排出収集形態別'!E52)</f>
        <v>6097</v>
      </c>
      <c r="F51" s="270">
        <f>SUM('イ 生活　排出収集形態別'!I52,'イ 事業　排出収集形態別'!I52)</f>
        <v>238</v>
      </c>
      <c r="G51" s="270">
        <f>SUM('イ 生活　排出収集形態別'!M52,'イ 事業　排出収集形態別'!M52)</f>
        <v>1684</v>
      </c>
      <c r="H51" s="270">
        <f>SUM('イ 生活　排出収集形態別'!Q52,'イ 事業　排出収集形態別'!Q52)</f>
        <v>10</v>
      </c>
      <c r="I51" s="275">
        <f>SUM('イ 生活　排出収集形態別'!U52,'イ 事業　排出収集形態別'!U52)</f>
        <v>172</v>
      </c>
      <c r="J51" s="222">
        <f>SUM('イ 生活　排出収集形態別'!Y52,'イ 事業　排出収集形態別'!Y52)</f>
        <v>88</v>
      </c>
      <c r="K51" s="222">
        <v>0</v>
      </c>
      <c r="L51" s="222">
        <v>0</v>
      </c>
      <c r="M51" s="421"/>
      <c r="N51" s="222">
        <f>B51-G51-L51-'イ 生活　排出収集形態別'!AC52-'イ 事業　排出収集形態別'!AC52</f>
        <v>6605</v>
      </c>
      <c r="O51" s="66">
        <f t="shared" si="14"/>
        <v>697.84776564571</v>
      </c>
      <c r="P51" s="67">
        <f>(W51/(D51+J51))*100</f>
        <v>20.3884666425383</v>
      </c>
      <c r="Q51" s="354"/>
      <c r="R51" s="350">
        <v>25739</v>
      </c>
      <c r="S51" s="351">
        <v>0</v>
      </c>
      <c r="T51" s="352">
        <v>192</v>
      </c>
      <c r="U51" s="341">
        <f t="shared" si="15"/>
        <v>25931</v>
      </c>
      <c r="V51" s="340"/>
      <c r="W51" s="345">
        <f>'ウ 資源 計'!B60</f>
        <v>1690</v>
      </c>
    </row>
    <row r="52" spans="1:23" ht="27.75" customHeight="1">
      <c r="A52" s="154" t="s">
        <v>230</v>
      </c>
      <c r="B52" s="66">
        <f t="shared" si="13"/>
        <v>15025</v>
      </c>
      <c r="C52" s="87">
        <f t="shared" si="10"/>
        <v>820.1383400072489</v>
      </c>
      <c r="D52" s="66">
        <f t="shared" si="12"/>
        <v>14694</v>
      </c>
      <c r="E52" s="270">
        <f>SUM('イ 生活　排出収集形態別'!E53,'イ 事業　排出収集形態別'!E53)</f>
        <v>11084</v>
      </c>
      <c r="F52" s="270">
        <f>SUM('イ 生活　排出収集形態別'!I53,'イ 事業　排出収集形態別'!I53)</f>
        <v>329</v>
      </c>
      <c r="G52" s="270">
        <f>SUM('イ 生活　排出収集形態別'!M53,'イ 事業　排出収集形態別'!M53)</f>
        <v>3255</v>
      </c>
      <c r="H52" s="270">
        <f>SUM('イ 生活　排出収集形態別'!Q53,'イ 事業　排出収集形態別'!Q53)</f>
        <v>12</v>
      </c>
      <c r="I52" s="275">
        <f>SUM('イ 生活　排出収集形態別'!U53,'イ 事業　排出収集形態別'!U53)</f>
        <v>14</v>
      </c>
      <c r="J52" s="222">
        <f>SUM('イ 生活　排出収集形態別'!Y53,'イ 事業　排出収集形態別'!Y53)</f>
        <v>331</v>
      </c>
      <c r="K52" s="222">
        <v>0</v>
      </c>
      <c r="L52" s="222">
        <v>0</v>
      </c>
      <c r="M52" s="421"/>
      <c r="N52" s="222">
        <f>B52-G52-L52-'イ 生活　排出収集形態別'!AC53-'イ 事業　排出収集形態別'!AC53</f>
        <v>11770</v>
      </c>
      <c r="O52" s="66">
        <f t="shared" si="14"/>
        <v>642.4644433867101</v>
      </c>
      <c r="P52" s="67">
        <f>(W52/(D52+J52))*100</f>
        <v>22.821963394342763</v>
      </c>
      <c r="Q52" s="354"/>
      <c r="R52" s="350">
        <v>48787</v>
      </c>
      <c r="S52" s="351">
        <v>0</v>
      </c>
      <c r="T52" s="352">
        <v>1405</v>
      </c>
      <c r="U52" s="341">
        <f t="shared" si="15"/>
        <v>50192</v>
      </c>
      <c r="V52" s="340"/>
      <c r="W52" s="345">
        <f>'ウ 資源 計'!B61</f>
        <v>3429</v>
      </c>
    </row>
    <row r="53" spans="1:23" ht="27.75" customHeight="1">
      <c r="A53" s="83" t="s">
        <v>231</v>
      </c>
      <c r="B53" s="66">
        <f t="shared" si="13"/>
        <v>12170</v>
      </c>
      <c r="C53" s="87">
        <f t="shared" si="10"/>
        <v>1585.9239799003358</v>
      </c>
      <c r="D53" s="66">
        <f t="shared" si="12"/>
        <v>8637</v>
      </c>
      <c r="E53" s="270">
        <f>SUM('イ 生活　排出収集形態別'!E54,'イ 事業　排出収集形態別'!E54)</f>
        <v>7820</v>
      </c>
      <c r="F53" s="270">
        <f>SUM('イ 生活　排出収集形態別'!I54,'イ 事業　排出収集形態別'!I54)</f>
        <v>193</v>
      </c>
      <c r="G53" s="270">
        <f>SUM('イ 生活　排出収集形態別'!M54,'イ 事業　排出収集形態別'!M54)</f>
        <v>493</v>
      </c>
      <c r="H53" s="270">
        <f>SUM('イ 生活　排出収集形態別'!Q54,'イ 事業　排出収集形態別'!Q54)</f>
        <v>0</v>
      </c>
      <c r="I53" s="275">
        <f>SUM('イ 生活　排出収集形態別'!U54,'イ 事業　排出収集形態別'!U54)</f>
        <v>131</v>
      </c>
      <c r="J53" s="222">
        <f>SUM('イ 生活　排出収集形態別'!Y54,'イ 事業　排出収集形態別'!Y54)</f>
        <v>2977</v>
      </c>
      <c r="K53" s="222">
        <v>0</v>
      </c>
      <c r="L53" s="222">
        <v>556</v>
      </c>
      <c r="M53" s="421"/>
      <c r="N53" s="66">
        <f>B53-G53-L53-'イ 生活　排出収集形態別'!AC54-'イ 事業　排出収集形態別'!AC54</f>
        <v>10888</v>
      </c>
      <c r="O53" s="66">
        <f t="shared" si="14"/>
        <v>1418.861158024228</v>
      </c>
      <c r="P53" s="67">
        <f aca="true" t="shared" si="16" ref="P53:P59">(W53/(D53+J53+L53))*100</f>
        <v>11.980279375513557</v>
      </c>
      <c r="Q53" s="354"/>
      <c r="R53" s="350">
        <v>20647</v>
      </c>
      <c r="S53" s="351">
        <v>0</v>
      </c>
      <c r="T53" s="352">
        <v>377</v>
      </c>
      <c r="U53" s="341">
        <f t="shared" si="15"/>
        <v>21024</v>
      </c>
      <c r="V53" s="340"/>
      <c r="W53" s="345">
        <f>'ウ 資源 計'!B62</f>
        <v>1458</v>
      </c>
    </row>
    <row r="54" spans="1:23" ht="27.75" customHeight="1">
      <c r="A54" s="154" t="s">
        <v>232</v>
      </c>
      <c r="B54" s="66">
        <f t="shared" si="13"/>
        <v>11082</v>
      </c>
      <c r="C54" s="87">
        <f t="shared" si="10"/>
        <v>1278.3850036049027</v>
      </c>
      <c r="D54" s="66">
        <f t="shared" si="12"/>
        <v>7999</v>
      </c>
      <c r="E54" s="270">
        <f>SUM('イ 生活　排出収集形態別'!E55,'イ 事業　排出収集形態別'!E55)</f>
        <v>7214</v>
      </c>
      <c r="F54" s="270">
        <f>SUM('イ 生活　排出収集形態別'!I55,'イ 事業　排出収集形態別'!I55)</f>
        <v>168</v>
      </c>
      <c r="G54" s="270">
        <f>SUM('イ 生活　排出収集形態別'!M55,'イ 事業　排出収集形態別'!M55)</f>
        <v>587</v>
      </c>
      <c r="H54" s="270">
        <f>SUM('イ 生活　排出収集形態別'!Q55,'イ 事業　排出収集形態別'!Q55)</f>
        <v>0</v>
      </c>
      <c r="I54" s="275">
        <f>SUM('イ 生活　排出収集形態別'!U55,'イ 事業　排出収集形態別'!U55)</f>
        <v>30</v>
      </c>
      <c r="J54" s="222">
        <f>SUM('イ 生活　排出収集形態別'!Y55,'イ 事業　排出収集形態別'!Y55)</f>
        <v>2563</v>
      </c>
      <c r="K54" s="222">
        <v>0</v>
      </c>
      <c r="L54" s="222">
        <v>520</v>
      </c>
      <c r="M54" s="421"/>
      <c r="N54" s="66">
        <f>B54-G54-L54-'イ 生活　排出収集形態別'!AC55-'イ 事業　排出収集形態別'!AC55</f>
        <v>9674</v>
      </c>
      <c r="O54" s="66">
        <f t="shared" si="14"/>
        <v>1115.9625090122568</v>
      </c>
      <c r="P54" s="67">
        <f t="shared" si="16"/>
        <v>14.762678216928352</v>
      </c>
      <c r="Q54" s="354"/>
      <c r="R54" s="350">
        <v>23492</v>
      </c>
      <c r="S54" s="351">
        <v>0</v>
      </c>
      <c r="T54" s="352">
        <v>258</v>
      </c>
      <c r="U54" s="341">
        <f t="shared" si="15"/>
        <v>23750</v>
      </c>
      <c r="V54" s="340"/>
      <c r="W54" s="345">
        <f>'ウ 資源 計'!B63</f>
        <v>1636</v>
      </c>
    </row>
    <row r="55" spans="1:23" ht="27.75" customHeight="1">
      <c r="A55" s="152" t="s">
        <v>233</v>
      </c>
      <c r="B55" s="69">
        <f t="shared" si="13"/>
        <v>15823</v>
      </c>
      <c r="C55" s="265">
        <f t="shared" si="10"/>
        <v>1019.5123569884728</v>
      </c>
      <c r="D55" s="69">
        <f t="shared" si="12"/>
        <v>13619</v>
      </c>
      <c r="E55" s="271">
        <f>SUM('イ 生活　排出収集形態別'!E56,'イ 事業　排出収集形態別'!E56)</f>
        <v>10461</v>
      </c>
      <c r="F55" s="271">
        <f>SUM('イ 生活　排出収集形態別'!I56,'イ 事業　排出収集形態別'!I56)</f>
        <v>582</v>
      </c>
      <c r="G55" s="271">
        <f>SUM('イ 生活　排出収集形態別'!M56,'イ 事業　排出収集形態別'!M56)</f>
        <v>2473</v>
      </c>
      <c r="H55" s="271">
        <f>SUM('イ 生活　排出収集形態別'!Q56,'イ 事業　排出収集形態別'!Q56)</f>
        <v>0</v>
      </c>
      <c r="I55" s="276">
        <f>SUM('イ 生活　排出収集形態別'!U56,'イ 事業　排出収集形態別'!U56)</f>
        <v>103</v>
      </c>
      <c r="J55" s="68">
        <f>SUM('イ 生活　排出収集形態別'!Y56,'イ 事業　排出収集形態別'!Y56)</f>
        <v>1596</v>
      </c>
      <c r="K55" s="68">
        <v>0</v>
      </c>
      <c r="L55" s="68">
        <v>608</v>
      </c>
      <c r="M55" s="421"/>
      <c r="N55" s="69">
        <f>B55-G55-L55-'イ 生活　排出収集形態別'!AC56-'イ 事業　排出収集形態別'!AC56</f>
        <v>12742</v>
      </c>
      <c r="O55" s="69">
        <f t="shared" si="14"/>
        <v>820.9964262622208</v>
      </c>
      <c r="P55" s="70">
        <f t="shared" si="16"/>
        <v>22.30297667951716</v>
      </c>
      <c r="Q55" s="354"/>
      <c r="R55" s="343">
        <v>41777</v>
      </c>
      <c r="S55" s="288">
        <v>0</v>
      </c>
      <c r="T55" s="344">
        <v>744</v>
      </c>
      <c r="U55" s="372">
        <f t="shared" si="15"/>
        <v>42521</v>
      </c>
      <c r="V55" s="340"/>
      <c r="W55" s="346">
        <f>'ウ 資源 計'!B64</f>
        <v>3529</v>
      </c>
    </row>
    <row r="56" spans="1:23" ht="27.75" customHeight="1">
      <c r="A56" s="83" t="s">
        <v>234</v>
      </c>
      <c r="B56" s="66">
        <f t="shared" si="13"/>
        <v>9716</v>
      </c>
      <c r="C56" s="87">
        <f t="shared" si="10"/>
        <v>1087.6513067823723</v>
      </c>
      <c r="D56" s="66">
        <f t="shared" si="12"/>
        <v>7904</v>
      </c>
      <c r="E56" s="270">
        <f>SUM('イ 生活　排出収集形態別'!E57,'イ 事業　排出収集形態別'!E57)</f>
        <v>6827</v>
      </c>
      <c r="F56" s="270">
        <f>SUM('イ 生活　排出収集形態別'!I57,'イ 事業　排出収集形態別'!I57)</f>
        <v>10</v>
      </c>
      <c r="G56" s="270">
        <f>SUM('イ 生活　排出収集形態別'!M57,'イ 事業　排出収集形態別'!M57)</f>
        <v>943</v>
      </c>
      <c r="H56" s="270">
        <f>SUM('イ 生活　排出収集形態別'!Q57,'イ 事業　排出収集形態別'!Q57)</f>
        <v>12</v>
      </c>
      <c r="I56" s="275">
        <f>SUM('イ 生活　排出収集形態別'!U57,'イ 事業　排出収集形態別'!U57)</f>
        <v>112</v>
      </c>
      <c r="J56" s="222">
        <f>SUM('イ 生活　排出収集形態別'!Y57,'イ 事業　排出収集形態別'!Y57)</f>
        <v>1372</v>
      </c>
      <c r="K56" s="222">
        <v>0</v>
      </c>
      <c r="L56" s="222">
        <v>440</v>
      </c>
      <c r="M56" s="421"/>
      <c r="N56" s="66">
        <f>B56-G56-L56-'イ 生活　排出収集形態別'!AC57-'イ 事業　排出収集形態別'!AC57</f>
        <v>8333</v>
      </c>
      <c r="O56" s="66">
        <f t="shared" si="14"/>
        <v>932.8322704217279</v>
      </c>
      <c r="P56" s="67">
        <f t="shared" si="16"/>
        <v>14.995883079456569</v>
      </c>
      <c r="Q56" s="354"/>
      <c r="R56" s="350">
        <v>24015</v>
      </c>
      <c r="S56" s="351">
        <v>0</v>
      </c>
      <c r="T56" s="352">
        <v>459</v>
      </c>
      <c r="U56" s="341">
        <f t="shared" si="15"/>
        <v>24474</v>
      </c>
      <c r="V56" s="340"/>
      <c r="W56" s="345">
        <f>'ウ 資源 計'!B65</f>
        <v>1457</v>
      </c>
    </row>
    <row r="57" spans="1:23" ht="27.75" customHeight="1">
      <c r="A57" s="154" t="s">
        <v>235</v>
      </c>
      <c r="B57" s="66">
        <f t="shared" si="13"/>
        <v>8489</v>
      </c>
      <c r="C57" s="87">
        <f t="shared" si="10"/>
        <v>1015.125234453989</v>
      </c>
      <c r="D57" s="66">
        <f t="shared" si="12"/>
        <v>6096</v>
      </c>
      <c r="E57" s="270">
        <f>SUM('イ 生活　排出収集形態別'!E58,'イ 事業　排出収集形態別'!E58)</f>
        <v>5698</v>
      </c>
      <c r="F57" s="270">
        <f>SUM('イ 生活　排出収集形態別'!I58,'イ 事業　排出収集形態別'!I58)</f>
        <v>46</v>
      </c>
      <c r="G57" s="270">
        <f>SUM('イ 生活　排出収集形態別'!M58,'イ 事業　排出収集形態別'!M58)</f>
        <v>204</v>
      </c>
      <c r="H57" s="270">
        <f>SUM('イ 生活　排出収集形態別'!Q58,'イ 事業　排出収集形態別'!Q58)</f>
        <v>10</v>
      </c>
      <c r="I57" s="275">
        <f>SUM('イ 生活　排出収集形態別'!U58,'イ 事業　排出収集形態別'!U58)</f>
        <v>138</v>
      </c>
      <c r="J57" s="222">
        <f>SUM('イ 生活　排出収集形態別'!Y58,'イ 事業　排出収集形態別'!Y58)</f>
        <v>1435</v>
      </c>
      <c r="K57" s="222">
        <v>0</v>
      </c>
      <c r="L57" s="222">
        <v>958</v>
      </c>
      <c r="M57" s="421"/>
      <c r="N57" s="66">
        <f>B57-G57-L57-'イ 生活　排出収集形態別'!AC58-'イ 事業　排出収集形態別'!AC58</f>
        <v>7327</v>
      </c>
      <c r="O57" s="66">
        <f t="shared" si="14"/>
        <v>876.1718215154173</v>
      </c>
      <c r="P57" s="67">
        <f t="shared" si="16"/>
        <v>15.101896572034399</v>
      </c>
      <c r="Q57" s="354"/>
      <c r="R57" s="350">
        <v>22649</v>
      </c>
      <c r="S57" s="351">
        <v>0</v>
      </c>
      <c r="T57" s="352">
        <v>262</v>
      </c>
      <c r="U57" s="341">
        <f t="shared" si="15"/>
        <v>22911</v>
      </c>
      <c r="V57" s="340"/>
      <c r="W57" s="345">
        <f>'ウ 資源 計'!B66</f>
        <v>1282</v>
      </c>
    </row>
    <row r="58" spans="1:23" ht="27.75" customHeight="1">
      <c r="A58" s="83" t="s">
        <v>236</v>
      </c>
      <c r="B58" s="66">
        <f t="shared" si="13"/>
        <v>4734</v>
      </c>
      <c r="C58" s="87">
        <f t="shared" si="10"/>
        <v>1025.5288221474366</v>
      </c>
      <c r="D58" s="66">
        <f t="shared" si="12"/>
        <v>3780</v>
      </c>
      <c r="E58" s="270">
        <f>SUM('イ 生活　排出収集形態別'!E59,'イ 事業　排出収集形態別'!E59)</f>
        <v>2843</v>
      </c>
      <c r="F58" s="270">
        <f>SUM('イ 生活　排出収集形態別'!I59,'イ 事業　排出収集形態別'!I59)</f>
        <v>57</v>
      </c>
      <c r="G58" s="270">
        <f>SUM('イ 生活　排出収集形態別'!M59,'イ 事業　排出収集形態別'!M59)</f>
        <v>796</v>
      </c>
      <c r="H58" s="270">
        <f>SUM('イ 生活　排出収集形態別'!Q59,'イ 事業　排出収集形態別'!Q59)</f>
        <v>4</v>
      </c>
      <c r="I58" s="275">
        <f>SUM('イ 生活　排出収集形態別'!U59,'イ 事業　排出収集形態別'!U59)</f>
        <v>80</v>
      </c>
      <c r="J58" s="222">
        <f>SUM('イ 生活　排出収集形態別'!Y59,'イ 事業　排出収集形態別'!Y59)</f>
        <v>954</v>
      </c>
      <c r="K58" s="222">
        <v>0</v>
      </c>
      <c r="L58" s="222">
        <v>0</v>
      </c>
      <c r="M58" s="421"/>
      <c r="N58" s="222">
        <f>B58-G58-L58-'イ 生活　排出収集形態別'!AC59-'イ 事業　排出収集形態別'!AC59</f>
        <v>3938</v>
      </c>
      <c r="O58" s="66">
        <f t="shared" si="14"/>
        <v>853.0909382375592</v>
      </c>
      <c r="P58" s="67">
        <f t="shared" si="16"/>
        <v>18.166455428812846</v>
      </c>
      <c r="Q58" s="354"/>
      <c r="R58" s="350">
        <v>12556</v>
      </c>
      <c r="S58" s="351">
        <v>0</v>
      </c>
      <c r="T58" s="352">
        <v>91</v>
      </c>
      <c r="U58" s="341">
        <f t="shared" si="15"/>
        <v>12647</v>
      </c>
      <c r="V58" s="340"/>
      <c r="W58" s="345">
        <f>'ウ 資源 計'!B67</f>
        <v>860</v>
      </c>
    </row>
    <row r="59" spans="1:23" ht="27.75" customHeight="1">
      <c r="A59" s="154" t="s">
        <v>237</v>
      </c>
      <c r="B59" s="66">
        <f t="shared" si="13"/>
        <v>9926</v>
      </c>
      <c r="C59" s="87">
        <f t="shared" si="10"/>
        <v>722.2596554750135</v>
      </c>
      <c r="D59" s="66">
        <f t="shared" si="12"/>
        <v>8208</v>
      </c>
      <c r="E59" s="270">
        <f>SUM('イ 生活　排出収集形態別'!E60,'イ 事業　排出収集形態別'!E60)</f>
        <v>6312</v>
      </c>
      <c r="F59" s="270">
        <f>SUM('イ 生活　排出収集形態別'!I60,'イ 事業　排出収集形態別'!I60)</f>
        <v>168</v>
      </c>
      <c r="G59" s="270">
        <f>SUM('イ 生活　排出収集形態別'!M60,'イ 事業　排出収集形態別'!M60)</f>
        <v>1264</v>
      </c>
      <c r="H59" s="270">
        <f>SUM('イ 生活　排出収集形態別'!Q60,'イ 事業　排出収集形態別'!Q60)</f>
        <v>22</v>
      </c>
      <c r="I59" s="275">
        <f>SUM('イ 生活　排出収集形態別'!U60,'イ 事業　排出収集形態別'!U60)</f>
        <v>442</v>
      </c>
      <c r="J59" s="222">
        <f>SUM('イ 生活　排出収集形態別'!Y60,'イ 事業　排出収集形態別'!Y60)</f>
        <v>10</v>
      </c>
      <c r="K59" s="222">
        <v>0</v>
      </c>
      <c r="L59" s="222">
        <v>1708</v>
      </c>
      <c r="M59" s="421"/>
      <c r="N59" s="66">
        <f>B59-G59-L59-'イ 生活　排出収集形態別'!AC60-'イ 事業　排出収集形態別'!AC60</f>
        <v>6944</v>
      </c>
      <c r="O59" s="66">
        <f t="shared" si="14"/>
        <v>505.2761482589657</v>
      </c>
      <c r="P59" s="67">
        <f t="shared" si="16"/>
        <v>31.654241386258313</v>
      </c>
      <c r="Q59" s="354"/>
      <c r="R59" s="350">
        <v>36729</v>
      </c>
      <c r="S59" s="351">
        <v>0</v>
      </c>
      <c r="T59" s="352">
        <v>923</v>
      </c>
      <c r="U59" s="341">
        <f t="shared" si="15"/>
        <v>37652</v>
      </c>
      <c r="V59" s="340"/>
      <c r="W59" s="345">
        <f>'ウ 資源 計'!B68</f>
        <v>3142</v>
      </c>
    </row>
    <row r="60" spans="1:23" ht="27.75" customHeight="1">
      <c r="A60" s="152" t="s">
        <v>238</v>
      </c>
      <c r="B60" s="69">
        <f t="shared" si="13"/>
        <v>1611</v>
      </c>
      <c r="C60" s="265">
        <f t="shared" si="10"/>
        <v>723.4385559968836</v>
      </c>
      <c r="D60" s="69">
        <f t="shared" si="12"/>
        <v>1168</v>
      </c>
      <c r="E60" s="271">
        <f>SUM('イ 生活　排出収集形態別'!E61,'イ 事業　排出収集形態別'!E61)</f>
        <v>1045</v>
      </c>
      <c r="F60" s="271">
        <f>SUM('イ 生活　排出収集形態別'!I61,'イ 事業　排出収集形態別'!I61)</f>
        <v>10</v>
      </c>
      <c r="G60" s="271">
        <f>SUM('イ 生活　排出収集形態別'!M61,'イ 事業　排出収集形態別'!M61)</f>
        <v>113</v>
      </c>
      <c r="H60" s="271">
        <f>SUM('イ 生活　排出収集形態別'!Q61,'イ 事業　排出収集形態別'!Q61)</f>
        <v>0</v>
      </c>
      <c r="I60" s="276">
        <f>SUM('イ 生活　排出収集形態別'!U61,'イ 事業　排出収集形態別'!U61)</f>
        <v>0</v>
      </c>
      <c r="J60" s="68">
        <f>SUM('イ 生活　排出収集形態別'!Y61,'イ 事業　排出収集形態別'!Y61)</f>
        <v>363</v>
      </c>
      <c r="K60" s="68">
        <v>0</v>
      </c>
      <c r="L60" s="68">
        <v>80</v>
      </c>
      <c r="M60" s="421"/>
      <c r="N60" s="69">
        <f>B60-G60-L60-'イ 生活　排出収集形態別'!AC61-'イ 事業　排出収集形態別'!AC61</f>
        <v>1302</v>
      </c>
      <c r="O60" s="69">
        <f t="shared" si="14"/>
        <v>584.6784605263454</v>
      </c>
      <c r="P60" s="70">
        <f>(W60/(D60+J60))*100</f>
        <v>20.182887001959504</v>
      </c>
      <c r="Q60" s="354"/>
      <c r="R60" s="343">
        <v>6031</v>
      </c>
      <c r="S60" s="288">
        <v>0</v>
      </c>
      <c r="T60" s="344">
        <v>70</v>
      </c>
      <c r="U60" s="372">
        <f t="shared" si="15"/>
        <v>6101</v>
      </c>
      <c r="V60" s="340"/>
      <c r="W60" s="345">
        <f>'ウ 資源 計'!B69</f>
        <v>309</v>
      </c>
    </row>
    <row r="61" spans="1:23" ht="27.75" customHeight="1">
      <c r="A61" s="154" t="s">
        <v>239</v>
      </c>
      <c r="B61" s="66">
        <f t="shared" si="13"/>
        <v>1045</v>
      </c>
      <c r="C61" s="87">
        <f t="shared" si="10"/>
        <v>715.7534246575342</v>
      </c>
      <c r="D61" s="66">
        <f t="shared" si="12"/>
        <v>832</v>
      </c>
      <c r="E61" s="270">
        <f>SUM('イ 生活　排出収集形態別'!E62,'イ 事業　排出収集形態別'!E62)</f>
        <v>752</v>
      </c>
      <c r="F61" s="270">
        <f>SUM('イ 生活　排出収集形態別'!I62,'イ 事業　排出収集形態別'!I62)</f>
        <v>7</v>
      </c>
      <c r="G61" s="270">
        <f>SUM('イ 生活　排出収集形態別'!M62,'イ 事業　排出収集形態別'!M62)</f>
        <v>73</v>
      </c>
      <c r="H61" s="270">
        <f>SUM('イ 生活　排出収集形態別'!Q62,'イ 事業　排出収集形態別'!Q62)</f>
        <v>0</v>
      </c>
      <c r="I61" s="275">
        <f>SUM('イ 生活　排出収集形態別'!U62,'イ 事業　排出収集形態別'!U62)</f>
        <v>0</v>
      </c>
      <c r="J61" s="222">
        <f>SUM('イ 生活　排出収集形態別'!Y62,'イ 事業　排出収集形態別'!Y62)</f>
        <v>201</v>
      </c>
      <c r="K61" s="222">
        <v>12</v>
      </c>
      <c r="L61" s="222">
        <v>0</v>
      </c>
      <c r="M61" s="421"/>
      <c r="N61" s="66">
        <f>B61-G61-L61-'イ 生活　排出収集形態別'!AC62-'イ 事業　排出収集形態別'!AC62</f>
        <v>920</v>
      </c>
      <c r="O61" s="66">
        <f t="shared" si="14"/>
        <v>630.1369863013699</v>
      </c>
      <c r="P61" s="67">
        <f>(W61/(D61+J61))*100</f>
        <v>12.100677637947726</v>
      </c>
      <c r="Q61" s="354"/>
      <c r="R61" s="350">
        <v>3257</v>
      </c>
      <c r="S61" s="351">
        <v>714</v>
      </c>
      <c r="T61" s="352">
        <v>29</v>
      </c>
      <c r="U61" s="341">
        <f t="shared" si="15"/>
        <v>4000</v>
      </c>
      <c r="V61" s="340"/>
      <c r="W61" s="358">
        <f>'ウ 資源 計'!B70</f>
        <v>125</v>
      </c>
    </row>
    <row r="62" spans="1:23" ht="27.75" customHeight="1" thickBot="1">
      <c r="A62" s="289" t="s">
        <v>240</v>
      </c>
      <c r="B62" s="72">
        <f>SUM(D62,J62,K62,L62)</f>
        <v>363</v>
      </c>
      <c r="C62" s="267">
        <f t="shared" si="10"/>
        <v>702.8413766397211</v>
      </c>
      <c r="D62" s="72">
        <f>SUM(E62:I62)</f>
        <v>257</v>
      </c>
      <c r="E62" s="273">
        <f>SUM('イ 生活　排出収集形態別'!E63,'イ 事業　排出収集形態別'!E63)</f>
        <v>222</v>
      </c>
      <c r="F62" s="273">
        <f>SUM('イ 生活　排出収集形態別'!I63,'イ 事業　排出収集形態別'!I63)</f>
        <v>3</v>
      </c>
      <c r="G62" s="273">
        <f>SUM('イ 生活　排出収集形態別'!M63,'イ 事業　排出収集形態別'!M63)</f>
        <v>32</v>
      </c>
      <c r="H62" s="273">
        <f>SUM('イ 生活　排出収集形態別'!Q63,'イ 事業　排出収集形態別'!Q63)</f>
        <v>0</v>
      </c>
      <c r="I62" s="278">
        <f>SUM('イ 生活　排出収集形態別'!U63,'イ 事業　排出収集形態別'!U63)</f>
        <v>0</v>
      </c>
      <c r="J62" s="280">
        <f>SUM('イ 生活　排出収集形態別'!Y63,'イ 事業　排出収集形態別'!Y63)</f>
        <v>106</v>
      </c>
      <c r="K62" s="280">
        <v>0</v>
      </c>
      <c r="L62" s="280">
        <v>0</v>
      </c>
      <c r="M62" s="421"/>
      <c r="N62" s="280">
        <f>B62-G62-L62-'イ 生活　排出収集形態別'!AC63-'イ 事業　排出収集形態別'!AC63</f>
        <v>296</v>
      </c>
      <c r="O62" s="72">
        <f t="shared" si="14"/>
        <v>573.1158332929958</v>
      </c>
      <c r="P62" s="73">
        <f>(W62/(D62+J62))*100</f>
        <v>18.457300275482094</v>
      </c>
      <c r="Q62" s="354"/>
      <c r="R62" s="359">
        <v>1410</v>
      </c>
      <c r="S62" s="360">
        <v>0</v>
      </c>
      <c r="T62" s="375">
        <v>5</v>
      </c>
      <c r="U62" s="373">
        <f t="shared" si="15"/>
        <v>1415</v>
      </c>
      <c r="V62" s="340"/>
      <c r="W62" s="361">
        <f>'ウ 資源 計'!B71</f>
        <v>67</v>
      </c>
    </row>
    <row r="63" spans="1:24" s="61" customFormat="1" ht="34.5" customHeight="1" thickBot="1">
      <c r="A63" s="245" t="s">
        <v>31</v>
      </c>
      <c r="B63" s="63">
        <f>SUM(B6:B35,B36:B62)</f>
        <v>2607254</v>
      </c>
      <c r="C63" s="267">
        <f t="shared" si="10"/>
        <v>954.428652338707</v>
      </c>
      <c r="D63" s="63">
        <f aca="true" t="shared" si="17" ref="D63:L63">SUM(D6:D35,D36:D62)</f>
        <v>2199392</v>
      </c>
      <c r="E63" s="84">
        <f t="shared" si="17"/>
        <v>1752634</v>
      </c>
      <c r="F63" s="84">
        <f t="shared" si="17"/>
        <v>127635</v>
      </c>
      <c r="G63" s="84">
        <f t="shared" si="17"/>
        <v>289989</v>
      </c>
      <c r="H63" s="84">
        <f t="shared" si="17"/>
        <v>8911</v>
      </c>
      <c r="I63" s="100">
        <f t="shared" si="17"/>
        <v>20223</v>
      </c>
      <c r="J63" s="62">
        <f t="shared" si="17"/>
        <v>198601</v>
      </c>
      <c r="K63" s="62">
        <f t="shared" si="17"/>
        <v>12</v>
      </c>
      <c r="L63" s="62">
        <f t="shared" si="17"/>
        <v>209249</v>
      </c>
      <c r="M63" s="420"/>
      <c r="N63" s="62">
        <f>B63-G63-L63-'イ 生活　排出収集形態別'!AC64-'イ 事業　排出収集形態別'!AC64</f>
        <v>2090081</v>
      </c>
      <c r="O63" s="72">
        <f>(N63*1000000)/(U63*365)</f>
        <v>765.1088816466432</v>
      </c>
      <c r="P63" s="73">
        <f>(W63/(D63+J63+L63))*100</f>
        <v>23.56635862723905</v>
      </c>
      <c r="Q63" s="292"/>
      <c r="R63" s="63">
        <f>SUM(R6:R35,R36:R62)</f>
        <v>7277114</v>
      </c>
      <c r="S63" s="84">
        <f>SUM(S6:S35,S36:S62)</f>
        <v>714</v>
      </c>
      <c r="T63" s="342">
        <f>SUM(T6:T35,T36:T62)</f>
        <v>206400</v>
      </c>
      <c r="U63" s="374">
        <f>SUM(U6:U35,U36:U62)</f>
        <v>7484228</v>
      </c>
      <c r="V63" s="104"/>
      <c r="W63" s="62">
        <f>SUM(W6:W35,W36:W62)</f>
        <v>614432</v>
      </c>
      <c r="X63" s="9"/>
    </row>
    <row r="64" spans="1:17" ht="22.5" customHeight="1">
      <c r="A64" s="91" t="s">
        <v>335</v>
      </c>
      <c r="Q64" s="15"/>
    </row>
    <row r="65" spans="1:23" ht="22.5" customHeight="1">
      <c r="A65" s="91" t="s">
        <v>102</v>
      </c>
      <c r="W65" s="9"/>
    </row>
    <row r="66" spans="1:23" ht="22.5" customHeight="1">
      <c r="A66" s="91" t="s">
        <v>169</v>
      </c>
      <c r="T66" s="9"/>
      <c r="U66" s="9"/>
      <c r="V66" s="9"/>
      <c r="W66" s="9"/>
    </row>
    <row r="67" spans="20:23" ht="27.75" customHeight="1">
      <c r="T67" s="9"/>
      <c r="U67" s="9"/>
      <c r="V67" s="9"/>
      <c r="W67" s="9"/>
    </row>
    <row r="68" spans="20:23" ht="27.75" customHeight="1">
      <c r="T68" s="9"/>
      <c r="U68" s="9"/>
      <c r="V68" s="9"/>
      <c r="W68" s="9"/>
    </row>
    <row r="71" ht="27.75" customHeight="1">
      <c r="X71" s="61"/>
    </row>
    <row r="72" ht="27.75" customHeight="1">
      <c r="X72" s="61"/>
    </row>
    <row r="73" ht="27.75" customHeight="1">
      <c r="X73" s="61"/>
    </row>
    <row r="551" spans="6:17" ht="27.75" customHeight="1">
      <c r="F551" s="3"/>
      <c r="G551" s="3"/>
      <c r="H551" s="3"/>
      <c r="I551" s="3"/>
      <c r="J551" s="3"/>
      <c r="K551" s="3"/>
      <c r="L551" s="3"/>
      <c r="N551" s="3"/>
      <c r="O551" s="3"/>
      <c r="P551" s="3"/>
      <c r="Q551" s="3"/>
    </row>
    <row r="552" spans="6:17" ht="27.75" customHeight="1">
      <c r="F552" s="3"/>
      <c r="G552" s="3"/>
      <c r="H552" s="3"/>
      <c r="I552" s="3"/>
      <c r="J552" s="3"/>
      <c r="K552" s="3"/>
      <c r="L552" s="3"/>
      <c r="N552" s="3"/>
      <c r="O552" s="3"/>
      <c r="P552" s="3"/>
      <c r="Q552" s="3"/>
    </row>
    <row r="553" spans="6:17" ht="27.75" customHeight="1">
      <c r="F553" s="3"/>
      <c r="G553" s="3"/>
      <c r="H553" s="3"/>
      <c r="I553" s="3"/>
      <c r="J553" s="3"/>
      <c r="K553" s="3"/>
      <c r="L553" s="3"/>
      <c r="N553" s="3"/>
      <c r="O553" s="3"/>
      <c r="P553" s="3"/>
      <c r="Q553" s="3"/>
    </row>
    <row r="554" spans="6:17" ht="27.75" customHeight="1">
      <c r="F554" s="3"/>
      <c r="G554" s="3"/>
      <c r="H554" s="3"/>
      <c r="I554" s="3"/>
      <c r="J554" s="3"/>
      <c r="K554" s="3"/>
      <c r="L554" s="3"/>
      <c r="N554" s="3"/>
      <c r="O554" s="3"/>
      <c r="P554" s="3"/>
      <c r="Q554" s="3"/>
    </row>
    <row r="555" spans="6:17" ht="27.75" customHeight="1">
      <c r="F555" s="3"/>
      <c r="G555" s="3"/>
      <c r="H555" s="3"/>
      <c r="I555" s="3"/>
      <c r="J555" s="3"/>
      <c r="K555" s="3"/>
      <c r="L555" s="3"/>
      <c r="N555" s="3"/>
      <c r="O555" s="3"/>
      <c r="P555" s="3"/>
      <c r="Q555" s="3"/>
    </row>
    <row r="556" spans="6:17" ht="27.75" customHeight="1">
      <c r="F556" s="3"/>
      <c r="G556" s="3"/>
      <c r="H556" s="3"/>
      <c r="I556" s="3"/>
      <c r="J556" s="3"/>
      <c r="K556" s="3"/>
      <c r="L556" s="3"/>
      <c r="N556" s="3"/>
      <c r="O556" s="3"/>
      <c r="P556" s="3"/>
      <c r="Q556" s="3"/>
    </row>
    <row r="557" spans="6:17" ht="27.75" customHeight="1">
      <c r="F557" s="3"/>
      <c r="G557" s="3"/>
      <c r="H557" s="3"/>
      <c r="I557" s="3"/>
      <c r="J557" s="3"/>
      <c r="K557" s="3"/>
      <c r="L557" s="3"/>
      <c r="N557" s="3"/>
      <c r="O557" s="3"/>
      <c r="P557" s="3"/>
      <c r="Q557" s="3"/>
    </row>
    <row r="558" spans="6:17" ht="27.75" customHeight="1">
      <c r="F558" s="3"/>
      <c r="G558" s="3"/>
      <c r="H558" s="3"/>
      <c r="I558" s="3"/>
      <c r="J558" s="3"/>
      <c r="K558" s="3"/>
      <c r="L558" s="3"/>
      <c r="N558" s="3"/>
      <c r="O558" s="3"/>
      <c r="P558" s="3"/>
      <c r="Q558" s="3"/>
    </row>
    <row r="559" spans="6:17" ht="27.75" customHeight="1">
      <c r="F559" s="3"/>
      <c r="G559" s="3"/>
      <c r="H559" s="3"/>
      <c r="I559" s="3"/>
      <c r="J559" s="3"/>
      <c r="K559" s="3"/>
      <c r="L559" s="3"/>
      <c r="N559" s="3"/>
      <c r="O559" s="3"/>
      <c r="P559" s="3"/>
      <c r="Q559" s="3"/>
    </row>
    <row r="560" spans="6:17" ht="27.75" customHeight="1">
      <c r="F560" s="3"/>
      <c r="G560" s="3"/>
      <c r="H560" s="3"/>
      <c r="I560" s="3"/>
      <c r="J560" s="3"/>
      <c r="K560" s="3"/>
      <c r="L560" s="3"/>
      <c r="N560" s="3"/>
      <c r="O560" s="3"/>
      <c r="P560" s="3"/>
      <c r="Q560" s="3"/>
    </row>
    <row r="561" spans="6:17" ht="27.75" customHeight="1">
      <c r="F561" s="3"/>
      <c r="G561" s="3"/>
      <c r="H561" s="3"/>
      <c r="I561" s="3"/>
      <c r="J561" s="3"/>
      <c r="K561" s="3"/>
      <c r="L561" s="3"/>
      <c r="N561" s="3"/>
      <c r="O561" s="3"/>
      <c r="P561" s="3"/>
      <c r="Q561" s="3"/>
    </row>
    <row r="562" spans="6:17" ht="27.75" customHeight="1">
      <c r="F562" s="3"/>
      <c r="G562" s="3"/>
      <c r="H562" s="3"/>
      <c r="I562" s="3"/>
      <c r="J562" s="3"/>
      <c r="K562" s="3"/>
      <c r="L562" s="3"/>
      <c r="N562" s="3"/>
      <c r="O562" s="3"/>
      <c r="P562" s="3"/>
      <c r="Q562" s="3"/>
    </row>
    <row r="563" spans="6:17" ht="27.75" customHeight="1">
      <c r="F563" s="3"/>
      <c r="G563" s="3"/>
      <c r="H563" s="3"/>
      <c r="I563" s="3"/>
      <c r="J563" s="3"/>
      <c r="K563" s="3"/>
      <c r="L563" s="3"/>
      <c r="N563" s="3"/>
      <c r="O563" s="3"/>
      <c r="P563" s="3"/>
      <c r="Q563" s="3"/>
    </row>
    <row r="564" spans="6:17" ht="27.75" customHeight="1">
      <c r="F564" s="3"/>
      <c r="G564" s="3"/>
      <c r="H564" s="3"/>
      <c r="I564" s="3"/>
      <c r="J564" s="3"/>
      <c r="K564" s="3"/>
      <c r="L564" s="3"/>
      <c r="N564" s="3"/>
      <c r="O564" s="3"/>
      <c r="P564" s="3"/>
      <c r="Q564" s="3"/>
    </row>
    <row r="565" spans="6:17" ht="27.75" customHeight="1">
      <c r="F565" s="3"/>
      <c r="G565" s="3"/>
      <c r="H565" s="3"/>
      <c r="I565" s="3"/>
      <c r="J565" s="3"/>
      <c r="K565" s="3"/>
      <c r="L565" s="3"/>
      <c r="N565" s="3"/>
      <c r="O565" s="3"/>
      <c r="P565" s="3"/>
      <c r="Q565" s="3"/>
    </row>
    <row r="566" spans="6:17" ht="27.75" customHeight="1">
      <c r="F566" s="3"/>
      <c r="G566" s="3"/>
      <c r="H566" s="3"/>
      <c r="I566" s="3"/>
      <c r="J566" s="3"/>
      <c r="K566" s="3"/>
      <c r="L566" s="3"/>
      <c r="N566" s="3"/>
      <c r="O566" s="3"/>
      <c r="P566" s="3"/>
      <c r="Q566" s="3"/>
    </row>
    <row r="567" spans="6:17" ht="27.75" customHeight="1">
      <c r="F567" s="3"/>
      <c r="G567" s="3"/>
      <c r="H567" s="3"/>
      <c r="I567" s="3"/>
      <c r="J567" s="3"/>
      <c r="K567" s="3"/>
      <c r="L567" s="3"/>
      <c r="N567" s="3"/>
      <c r="O567" s="3"/>
      <c r="P567" s="3"/>
      <c r="Q567" s="3"/>
    </row>
    <row r="568" spans="6:17" ht="27.75" customHeight="1">
      <c r="F568" s="3"/>
      <c r="G568" s="3"/>
      <c r="H568" s="3"/>
      <c r="I568" s="3"/>
      <c r="J568" s="3"/>
      <c r="K568" s="3"/>
      <c r="L568" s="3"/>
      <c r="N568" s="3"/>
      <c r="O568" s="3"/>
      <c r="P568" s="3"/>
      <c r="Q568" s="3"/>
    </row>
    <row r="569" spans="6:17" ht="27.75" customHeight="1">
      <c r="F569" s="3"/>
      <c r="G569" s="3"/>
      <c r="H569" s="3"/>
      <c r="I569" s="3"/>
      <c r="J569" s="3"/>
      <c r="K569" s="3"/>
      <c r="L569" s="3"/>
      <c r="N569" s="3"/>
      <c r="O569" s="3"/>
      <c r="P569" s="3"/>
      <c r="Q569" s="3"/>
    </row>
    <row r="570" spans="6:17" ht="27.75" customHeight="1">
      <c r="F570" s="3"/>
      <c r="G570" s="3"/>
      <c r="H570" s="3"/>
      <c r="I570" s="3"/>
      <c r="J570" s="3"/>
      <c r="K570" s="3"/>
      <c r="L570" s="3"/>
      <c r="N570" s="3"/>
      <c r="O570" s="3"/>
      <c r="P570" s="3"/>
      <c r="Q570" s="3"/>
    </row>
    <row r="571" spans="6:17" ht="27.75" customHeight="1">
      <c r="F571" s="3"/>
      <c r="G571" s="3"/>
      <c r="H571" s="3"/>
      <c r="I571" s="3"/>
      <c r="J571" s="3"/>
      <c r="K571" s="3"/>
      <c r="L571" s="3"/>
      <c r="N571" s="3"/>
      <c r="O571" s="3"/>
      <c r="P571" s="3"/>
      <c r="Q571" s="3"/>
    </row>
    <row r="572" spans="6:17" ht="27.75" customHeight="1">
      <c r="F572" s="3"/>
      <c r="G572" s="3"/>
      <c r="H572" s="3"/>
      <c r="I572" s="3"/>
      <c r="J572" s="3"/>
      <c r="K572" s="3"/>
      <c r="L572" s="3"/>
      <c r="N572" s="3"/>
      <c r="O572" s="3"/>
      <c r="P572" s="3"/>
      <c r="Q572" s="3"/>
    </row>
    <row r="573" spans="6:17" ht="27.75" customHeight="1">
      <c r="F573" s="3"/>
      <c r="G573" s="3"/>
      <c r="H573" s="3"/>
      <c r="I573" s="3"/>
      <c r="J573" s="3"/>
      <c r="K573" s="3"/>
      <c r="L573" s="3"/>
      <c r="N573" s="3"/>
      <c r="O573" s="3"/>
      <c r="P573" s="3"/>
      <c r="Q573" s="3"/>
    </row>
    <row r="574" spans="6:17" ht="27.75" customHeight="1">
      <c r="F574" s="3"/>
      <c r="G574" s="3"/>
      <c r="H574" s="3"/>
      <c r="I574" s="3"/>
      <c r="J574" s="3"/>
      <c r="K574" s="3"/>
      <c r="L574" s="3"/>
      <c r="N574" s="3"/>
      <c r="O574" s="3"/>
      <c r="P574" s="3"/>
      <c r="Q574" s="3"/>
    </row>
    <row r="575" spans="6:17" ht="27.75" customHeight="1">
      <c r="F575" s="3"/>
      <c r="G575" s="3"/>
      <c r="H575" s="3"/>
      <c r="I575" s="3"/>
      <c r="J575" s="3"/>
      <c r="K575" s="3"/>
      <c r="L575" s="3"/>
      <c r="N575" s="3"/>
      <c r="O575" s="3"/>
      <c r="P575" s="3"/>
      <c r="Q575" s="3"/>
    </row>
    <row r="576" spans="6:17" ht="27.75" customHeight="1">
      <c r="F576" s="3"/>
      <c r="G576" s="3"/>
      <c r="H576" s="3"/>
      <c r="I576" s="3"/>
      <c r="J576" s="3"/>
      <c r="K576" s="3"/>
      <c r="L576" s="3"/>
      <c r="N576" s="3"/>
      <c r="O576" s="3"/>
      <c r="P576" s="3"/>
      <c r="Q576" s="3"/>
    </row>
    <row r="577" spans="6:17" ht="27.75" customHeight="1">
      <c r="F577" s="3"/>
      <c r="G577" s="3"/>
      <c r="H577" s="3"/>
      <c r="I577" s="3"/>
      <c r="J577" s="3"/>
      <c r="K577" s="3"/>
      <c r="L577" s="3"/>
      <c r="N577" s="3"/>
      <c r="O577" s="3"/>
      <c r="P577" s="3"/>
      <c r="Q577" s="3"/>
    </row>
    <row r="578" spans="6:17" ht="27.75" customHeight="1">
      <c r="F578" s="3"/>
      <c r="G578" s="3"/>
      <c r="H578" s="3"/>
      <c r="I578" s="3"/>
      <c r="J578" s="3"/>
      <c r="K578" s="3"/>
      <c r="L578" s="3"/>
      <c r="N578" s="3"/>
      <c r="O578" s="3"/>
      <c r="P578" s="3"/>
      <c r="Q578" s="3"/>
    </row>
    <row r="579" spans="6:17" ht="27.75" customHeight="1">
      <c r="F579" s="3"/>
      <c r="G579" s="3"/>
      <c r="H579" s="3"/>
      <c r="I579" s="3"/>
      <c r="J579" s="3"/>
      <c r="K579" s="3"/>
      <c r="L579" s="3"/>
      <c r="N579" s="3"/>
      <c r="O579" s="3"/>
      <c r="P579" s="3"/>
      <c r="Q579" s="3"/>
    </row>
    <row r="580" spans="6:17" ht="27.75" customHeight="1">
      <c r="F580" s="3"/>
      <c r="G580" s="3"/>
      <c r="H580" s="3"/>
      <c r="I580" s="3"/>
      <c r="J580" s="3"/>
      <c r="K580" s="3"/>
      <c r="L580" s="3"/>
      <c r="N580" s="3"/>
      <c r="O580" s="3"/>
      <c r="P580" s="3"/>
      <c r="Q580" s="3"/>
    </row>
  </sheetData>
  <mergeCells count="14">
    <mergeCell ref="W3:W5"/>
    <mergeCell ref="P3:P5"/>
    <mergeCell ref="O3:O5"/>
    <mergeCell ref="R4:S4"/>
    <mergeCell ref="T4:T5"/>
    <mergeCell ref="R3:U3"/>
    <mergeCell ref="U4:U5"/>
    <mergeCell ref="A3:A5"/>
    <mergeCell ref="B4:B5"/>
    <mergeCell ref="N3:N5"/>
    <mergeCell ref="C4:C5"/>
    <mergeCell ref="J4:J5"/>
    <mergeCell ref="L4:L5"/>
    <mergeCell ref="K4:K5"/>
  </mergeCells>
  <printOptions horizontalCentered="1"/>
  <pageMargins left="0.5905511811023623" right="0.5905511811023623" top="0.5905511811023623" bottom="0.5905511811023623" header="0.3937007874015748" footer="0.3937007874015748"/>
  <pageSetup firstPageNumber="19" useFirstPageNumber="1" fitToWidth="2" horizontalDpi="600" verticalDpi="600" orientation="portrait" pageOrder="overThenDown" paperSize="9" scale="44" r:id="rId2"/>
  <headerFooter alignWithMargins="0">
    <oddFooter>&amp;C&amp;P</oddFooter>
  </headerFooter>
  <colBreaks count="1" manualBreakCount="1">
    <brk id="12" max="6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15"/>
  </sheetPr>
  <dimension ref="A1:AE64"/>
  <sheetViews>
    <sheetView view="pageBreakPreview" zoomScale="75" zoomScaleNormal="60" zoomScaleSheetLayoutView="75" workbookViewId="0" topLeftCell="A1">
      <pane xSplit="1" ySplit="6" topLeftCell="B7" activePane="bottomRight" state="frozen"/>
      <selection pane="topLeft" activeCell="I50" sqref="I50:I75"/>
      <selection pane="topRight" activeCell="I50" sqref="I50:I75"/>
      <selection pane="bottomLeft" activeCell="I50" sqref="I50:I75"/>
      <selection pane="bottomRight" activeCell="A1" sqref="A1"/>
    </sheetView>
  </sheetViews>
  <sheetFormatPr defaultColWidth="8.796875" defaultRowHeight="27.75" customHeight="1"/>
  <cols>
    <col min="1" max="1" width="12.8984375" style="9" customWidth="1"/>
    <col min="2" max="2" width="14.59765625" style="9" customWidth="1"/>
    <col min="3" max="3" width="9.59765625" style="9" customWidth="1"/>
    <col min="4" max="4" width="15.59765625" style="9" customWidth="1"/>
    <col min="5" max="5" width="15.8984375" style="9" customWidth="1"/>
    <col min="6" max="7" width="13.8984375" style="9" customWidth="1"/>
    <col min="8" max="8" width="10" style="9" customWidth="1"/>
    <col min="9" max="9" width="13.59765625" style="9" customWidth="1"/>
    <col min="10" max="11" width="13.09765625" style="9" customWidth="1"/>
    <col min="12" max="12" width="9.69921875" style="9" customWidth="1"/>
    <col min="13" max="13" width="13.69921875" style="9" customWidth="1"/>
    <col min="14" max="15" width="13.09765625" style="9" customWidth="1"/>
    <col min="16" max="16" width="10" style="9" customWidth="1"/>
    <col min="17" max="17" width="11.19921875" style="9" customWidth="1"/>
    <col min="18" max="18" width="9.8984375" style="9" customWidth="1"/>
    <col min="19" max="19" width="10.3984375" style="9" customWidth="1"/>
    <col min="20" max="20" width="8.19921875" style="9" customWidth="1"/>
    <col min="21" max="21" width="11.69921875" style="9" customWidth="1"/>
    <col min="22" max="22" width="11.09765625" style="9" customWidth="1"/>
    <col min="23" max="23" width="10.5" style="9" customWidth="1"/>
    <col min="24" max="24" width="9.09765625" style="9" customWidth="1"/>
    <col min="25" max="25" width="12.09765625" style="2" customWidth="1"/>
    <col min="26" max="26" width="8.59765625" style="9" customWidth="1"/>
    <col min="27" max="27" width="11.19921875" style="10" customWidth="1"/>
    <col min="28" max="29" width="11.19921875" style="9" customWidth="1"/>
    <col min="30" max="30" width="9.69921875" style="9" customWidth="1"/>
    <col min="31" max="31" width="12" style="9" customWidth="1"/>
    <col min="32" max="16384" width="11" style="9" customWidth="1"/>
  </cols>
  <sheetData>
    <row r="1" spans="1:27" s="7" customFormat="1" ht="30.75" customHeight="1">
      <c r="A1" s="59" t="s">
        <v>176</v>
      </c>
      <c r="B1" s="59"/>
      <c r="C1" s="59"/>
      <c r="Y1" s="4"/>
      <c r="AA1" s="291"/>
    </row>
    <row r="2" spans="1:31" s="7" customFormat="1" ht="32.25" customHeight="1" thickBot="1">
      <c r="A2" s="59" t="s">
        <v>278</v>
      </c>
      <c r="B2" s="59"/>
      <c r="C2" s="59"/>
      <c r="Y2" s="78"/>
      <c r="Z2" s="296"/>
      <c r="AA2" s="296"/>
      <c r="AB2" s="296"/>
      <c r="AC2" s="296"/>
      <c r="AD2" s="296"/>
      <c r="AE2" s="78" t="s">
        <v>104</v>
      </c>
    </row>
    <row r="3" spans="1:31" s="61" customFormat="1" ht="24" customHeight="1" thickBot="1">
      <c r="A3" s="497" t="s">
        <v>28</v>
      </c>
      <c r="B3" s="76" t="s">
        <v>274</v>
      </c>
      <c r="C3" s="75"/>
      <c r="D3" s="75"/>
      <c r="E3" s="92"/>
      <c r="F3" s="92"/>
      <c r="G3" s="92"/>
      <c r="H3" s="92"/>
      <c r="I3" s="92"/>
      <c r="J3" s="92"/>
      <c r="K3" s="92"/>
      <c r="L3" s="92"/>
      <c r="M3" s="97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7"/>
      <c r="Z3" s="294"/>
      <c r="AA3" s="295"/>
      <c r="AB3" s="295"/>
      <c r="AC3" s="295"/>
      <c r="AD3" s="295"/>
      <c r="AE3" s="297"/>
    </row>
    <row r="4" spans="1:31" s="61" customFormat="1" ht="24" customHeight="1">
      <c r="A4" s="498"/>
      <c r="B4" s="500" t="s">
        <v>127</v>
      </c>
      <c r="C4" s="469" t="s">
        <v>255</v>
      </c>
      <c r="D4" s="95" t="s">
        <v>129</v>
      </c>
      <c r="E4" s="93"/>
      <c r="F4" s="93"/>
      <c r="G4" s="93"/>
      <c r="H4" s="93"/>
      <c r="I4" s="93"/>
      <c r="J4" s="93"/>
      <c r="K4" s="93"/>
      <c r="L4" s="93"/>
      <c r="M4" s="96"/>
      <c r="N4" s="93"/>
      <c r="O4" s="93"/>
      <c r="P4" s="93"/>
      <c r="Q4" s="93"/>
      <c r="R4" s="93"/>
      <c r="S4" s="93"/>
      <c r="T4" s="93"/>
      <c r="U4" s="93"/>
      <c r="V4" s="93"/>
      <c r="W4" s="93"/>
      <c r="X4" s="94"/>
      <c r="Y4" s="76" t="s">
        <v>130</v>
      </c>
      <c r="Z4" s="77"/>
      <c r="AA4" s="292"/>
      <c r="AE4" s="298"/>
    </row>
    <row r="5" spans="1:31" s="61" customFormat="1" ht="18.75" customHeight="1">
      <c r="A5" s="498"/>
      <c r="B5" s="500"/>
      <c r="C5" s="469"/>
      <c r="D5" s="490" t="s">
        <v>128</v>
      </c>
      <c r="E5" s="495" t="s">
        <v>27</v>
      </c>
      <c r="F5" s="488" t="s">
        <v>182</v>
      </c>
      <c r="G5" s="488"/>
      <c r="H5" s="494"/>
      <c r="I5" s="492" t="s">
        <v>27</v>
      </c>
      <c r="J5" s="488" t="s">
        <v>183</v>
      </c>
      <c r="K5" s="488"/>
      <c r="L5" s="494"/>
      <c r="M5" s="492" t="s">
        <v>27</v>
      </c>
      <c r="N5" s="488" t="s">
        <v>184</v>
      </c>
      <c r="O5" s="488"/>
      <c r="P5" s="494"/>
      <c r="Q5" s="492" t="s">
        <v>27</v>
      </c>
      <c r="R5" s="488" t="s">
        <v>185</v>
      </c>
      <c r="S5" s="488"/>
      <c r="T5" s="494"/>
      <c r="U5" s="495" t="s">
        <v>27</v>
      </c>
      <c r="V5" s="488" t="s">
        <v>186</v>
      </c>
      <c r="W5" s="488"/>
      <c r="X5" s="489"/>
      <c r="Y5" s="504" t="s">
        <v>27</v>
      </c>
      <c r="Z5" s="502" t="s">
        <v>268</v>
      </c>
      <c r="AA5" s="502" t="s">
        <v>269</v>
      </c>
      <c r="AB5" s="502" t="s">
        <v>270</v>
      </c>
      <c r="AC5" s="502" t="s">
        <v>271</v>
      </c>
      <c r="AD5" s="502" t="s">
        <v>272</v>
      </c>
      <c r="AE5" s="506" t="s">
        <v>273</v>
      </c>
    </row>
    <row r="6" spans="1:31" s="61" customFormat="1" ht="21.75" customHeight="1" thickBot="1">
      <c r="A6" s="498"/>
      <c r="B6" s="501"/>
      <c r="C6" s="470"/>
      <c r="D6" s="491"/>
      <c r="E6" s="499"/>
      <c r="F6" s="299" t="s">
        <v>37</v>
      </c>
      <c r="G6" s="299" t="s">
        <v>38</v>
      </c>
      <c r="H6" s="300" t="s">
        <v>50</v>
      </c>
      <c r="I6" s="493"/>
      <c r="J6" s="299" t="s">
        <v>37</v>
      </c>
      <c r="K6" s="299" t="s">
        <v>38</v>
      </c>
      <c r="L6" s="300" t="s">
        <v>50</v>
      </c>
      <c r="M6" s="493"/>
      <c r="N6" s="299" t="s">
        <v>37</v>
      </c>
      <c r="O6" s="299" t="s">
        <v>38</v>
      </c>
      <c r="P6" s="300" t="s">
        <v>50</v>
      </c>
      <c r="Q6" s="493"/>
      <c r="R6" s="299" t="s">
        <v>37</v>
      </c>
      <c r="S6" s="299" t="s">
        <v>38</v>
      </c>
      <c r="T6" s="300" t="s">
        <v>50</v>
      </c>
      <c r="U6" s="496"/>
      <c r="V6" s="299" t="s">
        <v>37</v>
      </c>
      <c r="W6" s="299" t="s">
        <v>38</v>
      </c>
      <c r="X6" s="306" t="s">
        <v>50</v>
      </c>
      <c r="Y6" s="505"/>
      <c r="Z6" s="503"/>
      <c r="AA6" s="503"/>
      <c r="AB6" s="503"/>
      <c r="AC6" s="503"/>
      <c r="AD6" s="503"/>
      <c r="AE6" s="507"/>
    </row>
    <row r="7" spans="1:31" s="61" customFormat="1" ht="27.75" customHeight="1">
      <c r="A7" s="153" t="s">
        <v>187</v>
      </c>
      <c r="B7" s="178">
        <f>SUM(D7,Y7)</f>
        <v>493190</v>
      </c>
      <c r="C7" s="417">
        <f>B7*1000000/(365*'イ 排出 総括表'!U6)</f>
        <v>601.6026106081695</v>
      </c>
      <c r="D7" s="175">
        <f>SUM(E7,I7,M7,Q7,U7)</f>
        <v>493190</v>
      </c>
      <c r="E7" s="179">
        <f>SUM(F7:H7)</f>
        <v>367843</v>
      </c>
      <c r="F7" s="225">
        <v>353184</v>
      </c>
      <c r="G7" s="301">
        <v>14659</v>
      </c>
      <c r="H7" s="179">
        <v>0</v>
      </c>
      <c r="I7" s="180">
        <f>SUM(J7:L7)</f>
        <v>44535</v>
      </c>
      <c r="J7" s="225">
        <v>42836</v>
      </c>
      <c r="K7" s="301">
        <v>1699</v>
      </c>
      <c r="L7" s="179">
        <v>0</v>
      </c>
      <c r="M7" s="181">
        <f aca="true" t="shared" si="0" ref="M7:M36">SUM(N7:P7)</f>
        <v>70851</v>
      </c>
      <c r="N7" s="225">
        <v>10835</v>
      </c>
      <c r="O7" s="225">
        <v>60016</v>
      </c>
      <c r="P7" s="305">
        <v>0</v>
      </c>
      <c r="Q7" s="180">
        <f aca="true" t="shared" si="1" ref="Q7:Q36">SUM(R7:T7)</f>
        <v>2233</v>
      </c>
      <c r="R7" s="225">
        <v>2212</v>
      </c>
      <c r="S7" s="301">
        <v>21</v>
      </c>
      <c r="T7" s="305">
        <v>0</v>
      </c>
      <c r="U7" s="180">
        <f aca="true" t="shared" si="2" ref="U7:U36">SUM(V7:X7)</f>
        <v>7728</v>
      </c>
      <c r="V7" s="225">
        <v>7466</v>
      </c>
      <c r="W7" s="301">
        <v>262</v>
      </c>
      <c r="X7" s="307">
        <v>0</v>
      </c>
      <c r="Y7" s="175">
        <f aca="true" t="shared" si="3" ref="Y7:Y36">SUM(Z7:AE7)</f>
        <v>0</v>
      </c>
      <c r="Z7" s="198">
        <v>0</v>
      </c>
      <c r="AA7" s="198">
        <v>0</v>
      </c>
      <c r="AB7" s="198">
        <v>0</v>
      </c>
      <c r="AC7" s="198">
        <v>0</v>
      </c>
      <c r="AD7" s="198">
        <v>0</v>
      </c>
      <c r="AE7" s="312">
        <v>0</v>
      </c>
    </row>
    <row r="8" spans="1:31" s="61" customFormat="1" ht="27.75" customHeight="1">
      <c r="A8" s="154" t="s">
        <v>188</v>
      </c>
      <c r="B8" s="182">
        <f aca="true" t="shared" si="4" ref="B8:B36">SUM(D8,Y8)</f>
        <v>98374</v>
      </c>
      <c r="C8" s="312">
        <f>B8*1000000/(365*'イ 排出 総括表'!U7)</f>
        <v>704.6051418899375</v>
      </c>
      <c r="D8" s="177">
        <f aca="true" t="shared" si="5" ref="D8:D36">SUM(E8,I8,M8,Q8,U8)</f>
        <v>89557</v>
      </c>
      <c r="E8" s="183">
        <f aca="true" t="shared" si="6" ref="E8:E36">SUM(F8:H8)</f>
        <v>73811</v>
      </c>
      <c r="F8" s="176">
        <v>73811</v>
      </c>
      <c r="G8" s="302">
        <v>0</v>
      </c>
      <c r="H8" s="183">
        <v>0</v>
      </c>
      <c r="I8" s="184">
        <f>SUM(J8:L8)</f>
        <v>4175</v>
      </c>
      <c r="J8" s="176">
        <v>4175</v>
      </c>
      <c r="K8" s="302">
        <v>0</v>
      </c>
      <c r="L8" s="183">
        <v>0</v>
      </c>
      <c r="M8" s="185">
        <f t="shared" si="0"/>
        <v>11160</v>
      </c>
      <c r="N8" s="176">
        <v>5468</v>
      </c>
      <c r="O8" s="302">
        <v>5692</v>
      </c>
      <c r="P8" s="183">
        <v>0</v>
      </c>
      <c r="Q8" s="184">
        <f t="shared" si="1"/>
        <v>157</v>
      </c>
      <c r="R8" s="176">
        <v>157</v>
      </c>
      <c r="S8" s="302">
        <v>0</v>
      </c>
      <c r="T8" s="183">
        <v>0</v>
      </c>
      <c r="U8" s="184">
        <f t="shared" si="2"/>
        <v>254</v>
      </c>
      <c r="V8" s="176">
        <v>254</v>
      </c>
      <c r="W8" s="302">
        <v>0</v>
      </c>
      <c r="X8" s="184">
        <v>0</v>
      </c>
      <c r="Y8" s="177">
        <f t="shared" si="3"/>
        <v>8817</v>
      </c>
      <c r="Z8" s="198">
        <v>0</v>
      </c>
      <c r="AA8" s="198">
        <v>16</v>
      </c>
      <c r="AB8" s="198">
        <v>744</v>
      </c>
      <c r="AC8" s="198">
        <v>2064</v>
      </c>
      <c r="AD8" s="198">
        <v>0</v>
      </c>
      <c r="AE8" s="312">
        <v>5993</v>
      </c>
    </row>
    <row r="9" spans="1:31" s="61" customFormat="1" ht="27.75" customHeight="1">
      <c r="A9" s="154" t="s">
        <v>189</v>
      </c>
      <c r="B9" s="182">
        <f t="shared" si="4"/>
        <v>88933</v>
      </c>
      <c r="C9" s="312">
        <f>B9*1000000/(365*'イ 排出 総括表'!U8)</f>
        <v>630.0705310869771</v>
      </c>
      <c r="D9" s="177">
        <f t="shared" si="5"/>
        <v>80931</v>
      </c>
      <c r="E9" s="183">
        <f t="shared" si="6"/>
        <v>64119</v>
      </c>
      <c r="F9" s="176">
        <v>63062</v>
      </c>
      <c r="G9" s="302">
        <v>1057</v>
      </c>
      <c r="H9" s="183">
        <v>0</v>
      </c>
      <c r="I9" s="184">
        <f aca="true" t="shared" si="7" ref="I9:I36">SUM(J9:L9)</f>
        <v>3935</v>
      </c>
      <c r="J9" s="176">
        <v>3835</v>
      </c>
      <c r="K9" s="302">
        <v>100</v>
      </c>
      <c r="L9" s="183">
        <v>0</v>
      </c>
      <c r="M9" s="185">
        <f t="shared" si="0"/>
        <v>12470</v>
      </c>
      <c r="N9" s="176">
        <v>3262</v>
      </c>
      <c r="O9" s="302">
        <v>9208</v>
      </c>
      <c r="P9" s="183">
        <v>0</v>
      </c>
      <c r="Q9" s="184">
        <f t="shared" si="1"/>
        <v>167</v>
      </c>
      <c r="R9" s="176">
        <v>0</v>
      </c>
      <c r="S9" s="302">
        <v>167</v>
      </c>
      <c r="T9" s="183">
        <v>0</v>
      </c>
      <c r="U9" s="184">
        <f t="shared" si="2"/>
        <v>240</v>
      </c>
      <c r="V9" s="176">
        <v>240</v>
      </c>
      <c r="W9" s="302">
        <v>0</v>
      </c>
      <c r="X9" s="184">
        <v>0</v>
      </c>
      <c r="Y9" s="177">
        <f t="shared" si="3"/>
        <v>8002</v>
      </c>
      <c r="Z9" s="198">
        <v>0</v>
      </c>
      <c r="AA9" s="198">
        <v>4491</v>
      </c>
      <c r="AB9" s="198">
        <v>3473</v>
      </c>
      <c r="AC9" s="198">
        <v>38</v>
      </c>
      <c r="AD9" s="198">
        <v>0</v>
      </c>
      <c r="AE9" s="312">
        <v>0</v>
      </c>
    </row>
    <row r="10" spans="1:31" s="61" customFormat="1" ht="27.75" customHeight="1">
      <c r="A10" s="154" t="s">
        <v>190</v>
      </c>
      <c r="B10" s="182">
        <f t="shared" si="4"/>
        <v>100393</v>
      </c>
      <c r="C10" s="312">
        <f>B10*1000000/(365*'イ 排出 総括表'!U9)</f>
        <v>712.3489186371276</v>
      </c>
      <c r="D10" s="177">
        <f t="shared" si="5"/>
        <v>96421</v>
      </c>
      <c r="E10" s="183">
        <f t="shared" si="6"/>
        <v>68829</v>
      </c>
      <c r="F10" s="176">
        <v>36467</v>
      </c>
      <c r="G10" s="302">
        <v>32362</v>
      </c>
      <c r="H10" s="183">
        <v>0</v>
      </c>
      <c r="I10" s="184">
        <f t="shared" si="7"/>
        <v>4420</v>
      </c>
      <c r="J10" s="176">
        <v>412</v>
      </c>
      <c r="K10" s="302">
        <v>4008</v>
      </c>
      <c r="L10" s="183">
        <v>0</v>
      </c>
      <c r="M10" s="185">
        <f t="shared" si="0"/>
        <v>22645</v>
      </c>
      <c r="N10" s="176">
        <v>0</v>
      </c>
      <c r="O10" s="302">
        <v>22645</v>
      </c>
      <c r="P10" s="183">
        <v>0</v>
      </c>
      <c r="Q10" s="184">
        <f t="shared" si="1"/>
        <v>119</v>
      </c>
      <c r="R10" s="176">
        <v>0</v>
      </c>
      <c r="S10" s="302">
        <v>119</v>
      </c>
      <c r="T10" s="183">
        <v>0</v>
      </c>
      <c r="U10" s="184">
        <f t="shared" si="2"/>
        <v>408</v>
      </c>
      <c r="V10" s="176">
        <v>0</v>
      </c>
      <c r="W10" s="302">
        <v>408</v>
      </c>
      <c r="X10" s="184">
        <v>0</v>
      </c>
      <c r="Y10" s="177">
        <f t="shared" si="3"/>
        <v>3972</v>
      </c>
      <c r="Z10" s="198">
        <v>0</v>
      </c>
      <c r="AA10" s="198">
        <v>1393</v>
      </c>
      <c r="AB10" s="198">
        <v>2579</v>
      </c>
      <c r="AC10" s="198">
        <v>0</v>
      </c>
      <c r="AD10" s="198">
        <v>0</v>
      </c>
      <c r="AE10" s="312">
        <v>0</v>
      </c>
    </row>
    <row r="11" spans="1:31" s="61" customFormat="1" ht="27.75" customHeight="1">
      <c r="A11" s="152" t="s">
        <v>191</v>
      </c>
      <c r="B11" s="182">
        <f t="shared" si="4"/>
        <v>34992</v>
      </c>
      <c r="C11" s="312">
        <f>B11*1000000/(365*'イ 排出 総括表'!U10)</f>
        <v>718.3851116574367</v>
      </c>
      <c r="D11" s="177">
        <f t="shared" si="5"/>
        <v>34992</v>
      </c>
      <c r="E11" s="186">
        <f t="shared" si="6"/>
        <v>26139</v>
      </c>
      <c r="F11" s="196">
        <v>16577</v>
      </c>
      <c r="G11" s="303">
        <v>9562</v>
      </c>
      <c r="H11" s="186">
        <v>0</v>
      </c>
      <c r="I11" s="187">
        <f t="shared" si="7"/>
        <v>1372</v>
      </c>
      <c r="J11" s="196">
        <v>67</v>
      </c>
      <c r="K11" s="303">
        <v>1305</v>
      </c>
      <c r="L11" s="186">
        <v>0</v>
      </c>
      <c r="M11" s="188">
        <f t="shared" si="0"/>
        <v>5784</v>
      </c>
      <c r="N11" s="196">
        <v>1106</v>
      </c>
      <c r="O11" s="303">
        <v>4678</v>
      </c>
      <c r="P11" s="186">
        <v>0</v>
      </c>
      <c r="Q11" s="187">
        <f t="shared" si="1"/>
        <v>49</v>
      </c>
      <c r="R11" s="196">
        <v>49</v>
      </c>
      <c r="S11" s="303">
        <v>0</v>
      </c>
      <c r="T11" s="186">
        <v>0</v>
      </c>
      <c r="U11" s="187">
        <f t="shared" si="2"/>
        <v>1648</v>
      </c>
      <c r="V11" s="196">
        <v>46</v>
      </c>
      <c r="W11" s="303">
        <v>1602</v>
      </c>
      <c r="X11" s="187">
        <v>0</v>
      </c>
      <c r="Y11" s="195">
        <f t="shared" si="3"/>
        <v>0</v>
      </c>
      <c r="Z11" s="311">
        <v>0</v>
      </c>
      <c r="AA11" s="311">
        <v>0</v>
      </c>
      <c r="AB11" s="311"/>
      <c r="AC11" s="311">
        <v>0</v>
      </c>
      <c r="AD11" s="311">
        <v>0</v>
      </c>
      <c r="AE11" s="313"/>
    </row>
    <row r="12" spans="1:31" s="61" customFormat="1" ht="27.75" customHeight="1">
      <c r="A12" s="151" t="s">
        <v>192</v>
      </c>
      <c r="B12" s="189">
        <f t="shared" si="4"/>
        <v>30373</v>
      </c>
      <c r="C12" s="315">
        <f>B12*1000000/(365*'イ 排出 総括表'!U11)</f>
        <v>676.1438407922011</v>
      </c>
      <c r="D12" s="190">
        <f t="shared" si="5"/>
        <v>27548</v>
      </c>
      <c r="E12" s="191">
        <f t="shared" si="6"/>
        <v>23069</v>
      </c>
      <c r="F12" s="197">
        <v>2423</v>
      </c>
      <c r="G12" s="304">
        <v>20646</v>
      </c>
      <c r="H12" s="191">
        <v>0</v>
      </c>
      <c r="I12" s="192">
        <f t="shared" si="7"/>
        <v>2833</v>
      </c>
      <c r="J12" s="197">
        <v>316</v>
      </c>
      <c r="K12" s="304">
        <v>2517</v>
      </c>
      <c r="L12" s="191">
        <v>0</v>
      </c>
      <c r="M12" s="193">
        <f t="shared" si="0"/>
        <v>1628</v>
      </c>
      <c r="N12" s="197">
        <v>1324</v>
      </c>
      <c r="O12" s="304">
        <v>304</v>
      </c>
      <c r="P12" s="191">
        <v>0</v>
      </c>
      <c r="Q12" s="192">
        <f t="shared" si="1"/>
        <v>0</v>
      </c>
      <c r="R12" s="197">
        <v>0</v>
      </c>
      <c r="S12" s="304">
        <v>0</v>
      </c>
      <c r="T12" s="191">
        <v>0</v>
      </c>
      <c r="U12" s="192">
        <f t="shared" si="2"/>
        <v>18</v>
      </c>
      <c r="V12" s="197">
        <v>18</v>
      </c>
      <c r="W12" s="304">
        <v>0</v>
      </c>
      <c r="X12" s="192">
        <v>0</v>
      </c>
      <c r="Y12" s="190">
        <f t="shared" si="3"/>
        <v>2825</v>
      </c>
      <c r="Z12" s="198">
        <v>0</v>
      </c>
      <c r="AA12" s="198">
        <v>502</v>
      </c>
      <c r="AB12" s="198">
        <v>1655</v>
      </c>
      <c r="AC12" s="198">
        <v>668</v>
      </c>
      <c r="AD12" s="198">
        <v>0</v>
      </c>
      <c r="AE12" s="312">
        <v>0</v>
      </c>
    </row>
    <row r="13" spans="1:31" s="61" customFormat="1" ht="27.75" customHeight="1">
      <c r="A13" s="154" t="s">
        <v>193</v>
      </c>
      <c r="B13" s="182">
        <f t="shared" si="4"/>
        <v>81137</v>
      </c>
      <c r="C13" s="312">
        <f>B13*1000000/(365*'イ 排出 総括表'!U12)</f>
        <v>722.3595553433881</v>
      </c>
      <c r="D13" s="177">
        <f t="shared" si="5"/>
        <v>78248</v>
      </c>
      <c r="E13" s="183">
        <f t="shared" si="6"/>
        <v>53347</v>
      </c>
      <c r="F13" s="176">
        <v>45636</v>
      </c>
      <c r="G13" s="302">
        <v>7711</v>
      </c>
      <c r="H13" s="183">
        <v>0</v>
      </c>
      <c r="I13" s="184">
        <f t="shared" si="7"/>
        <v>12858</v>
      </c>
      <c r="J13" s="176">
        <v>225</v>
      </c>
      <c r="K13" s="302">
        <v>12633</v>
      </c>
      <c r="L13" s="183">
        <v>0</v>
      </c>
      <c r="M13" s="185">
        <f t="shared" si="0"/>
        <v>11553</v>
      </c>
      <c r="N13" s="176">
        <v>219</v>
      </c>
      <c r="O13" s="302">
        <v>11334</v>
      </c>
      <c r="P13" s="183">
        <v>0</v>
      </c>
      <c r="Q13" s="184">
        <f t="shared" si="1"/>
        <v>125</v>
      </c>
      <c r="R13" s="176">
        <v>14</v>
      </c>
      <c r="S13" s="302">
        <v>111</v>
      </c>
      <c r="T13" s="183">
        <v>0</v>
      </c>
      <c r="U13" s="184">
        <f t="shared" si="2"/>
        <v>365</v>
      </c>
      <c r="V13" s="176">
        <v>8</v>
      </c>
      <c r="W13" s="302">
        <v>294</v>
      </c>
      <c r="X13" s="184">
        <v>63</v>
      </c>
      <c r="Y13" s="177">
        <f t="shared" si="3"/>
        <v>2889</v>
      </c>
      <c r="Z13" s="198">
        <v>0</v>
      </c>
      <c r="AA13" s="198">
        <v>700</v>
      </c>
      <c r="AB13" s="198">
        <v>792</v>
      </c>
      <c r="AC13" s="198">
        <v>0</v>
      </c>
      <c r="AD13" s="198">
        <v>25</v>
      </c>
      <c r="AE13" s="312">
        <v>1372</v>
      </c>
    </row>
    <row r="14" spans="1:31" s="61" customFormat="1" ht="27.75" customHeight="1">
      <c r="A14" s="154" t="s">
        <v>194</v>
      </c>
      <c r="B14" s="182">
        <f t="shared" si="4"/>
        <v>52084</v>
      </c>
      <c r="C14" s="312">
        <f>B14*1000000/(365*'イ 排出 総括表'!U13)</f>
        <v>767.776614211857</v>
      </c>
      <c r="D14" s="177">
        <f t="shared" si="5"/>
        <v>49299</v>
      </c>
      <c r="E14" s="183">
        <f t="shared" si="6"/>
        <v>36477</v>
      </c>
      <c r="F14" s="176">
        <v>8828</v>
      </c>
      <c r="G14" s="302">
        <v>27649</v>
      </c>
      <c r="H14" s="183">
        <v>0</v>
      </c>
      <c r="I14" s="184">
        <f t="shared" si="7"/>
        <v>1450</v>
      </c>
      <c r="J14" s="176">
        <v>267</v>
      </c>
      <c r="K14" s="302">
        <v>1183</v>
      </c>
      <c r="L14" s="183">
        <v>0</v>
      </c>
      <c r="M14" s="185">
        <f t="shared" si="0"/>
        <v>11141</v>
      </c>
      <c r="N14" s="176">
        <v>0</v>
      </c>
      <c r="O14" s="302">
        <v>11141</v>
      </c>
      <c r="P14" s="183">
        <v>0</v>
      </c>
      <c r="Q14" s="184">
        <f t="shared" si="1"/>
        <v>216</v>
      </c>
      <c r="R14" s="176">
        <v>213</v>
      </c>
      <c r="S14" s="302">
        <v>3</v>
      </c>
      <c r="T14" s="183">
        <v>0</v>
      </c>
      <c r="U14" s="184">
        <f t="shared" si="2"/>
        <v>15</v>
      </c>
      <c r="V14" s="176">
        <v>0</v>
      </c>
      <c r="W14" s="302">
        <v>15</v>
      </c>
      <c r="X14" s="184">
        <v>0</v>
      </c>
      <c r="Y14" s="177">
        <f t="shared" si="3"/>
        <v>2785</v>
      </c>
      <c r="Z14" s="198">
        <v>0</v>
      </c>
      <c r="AA14" s="198">
        <v>123</v>
      </c>
      <c r="AB14" s="198"/>
      <c r="AC14" s="198">
        <v>0</v>
      </c>
      <c r="AD14" s="198">
        <v>819</v>
      </c>
      <c r="AE14" s="312">
        <v>1843</v>
      </c>
    </row>
    <row r="15" spans="1:31" s="61" customFormat="1" ht="27.75" customHeight="1">
      <c r="A15" s="154" t="s">
        <v>195</v>
      </c>
      <c r="B15" s="182">
        <f t="shared" si="4"/>
        <v>15404</v>
      </c>
      <c r="C15" s="312">
        <f>B15*1000000/(365*'イ 排出 総括表'!U14)</f>
        <v>633.6367144019488</v>
      </c>
      <c r="D15" s="177">
        <f t="shared" si="5"/>
        <v>15304</v>
      </c>
      <c r="E15" s="183">
        <f t="shared" si="6"/>
        <v>11950</v>
      </c>
      <c r="F15" s="176">
        <v>300</v>
      </c>
      <c r="G15" s="302">
        <v>11650</v>
      </c>
      <c r="H15" s="183"/>
      <c r="I15" s="184">
        <f t="shared" si="7"/>
        <v>366</v>
      </c>
      <c r="J15" s="176">
        <v>11</v>
      </c>
      <c r="K15" s="302">
        <v>355</v>
      </c>
      <c r="L15" s="183">
        <v>0</v>
      </c>
      <c r="M15" s="185">
        <f t="shared" si="0"/>
        <v>2776</v>
      </c>
      <c r="N15" s="176">
        <v>25</v>
      </c>
      <c r="O15" s="302">
        <v>2751</v>
      </c>
      <c r="P15" s="183">
        <v>0</v>
      </c>
      <c r="Q15" s="184">
        <f t="shared" si="1"/>
        <v>0</v>
      </c>
      <c r="R15" s="176">
        <v>0</v>
      </c>
      <c r="S15" s="302">
        <v>0</v>
      </c>
      <c r="T15" s="183">
        <v>0</v>
      </c>
      <c r="U15" s="184">
        <f t="shared" si="2"/>
        <v>212</v>
      </c>
      <c r="V15" s="176">
        <v>212</v>
      </c>
      <c r="W15" s="302">
        <v>0</v>
      </c>
      <c r="X15" s="184">
        <v>0</v>
      </c>
      <c r="Y15" s="177">
        <f t="shared" si="3"/>
        <v>100</v>
      </c>
      <c r="Z15" s="198">
        <v>10</v>
      </c>
      <c r="AA15" s="198">
        <v>17</v>
      </c>
      <c r="AB15" s="198">
        <v>2</v>
      </c>
      <c r="AC15" s="198">
        <v>7</v>
      </c>
      <c r="AD15" s="198">
        <v>0</v>
      </c>
      <c r="AE15" s="312">
        <v>64</v>
      </c>
    </row>
    <row r="16" spans="1:31" s="61" customFormat="1" ht="27.75" customHeight="1">
      <c r="A16" s="152" t="s">
        <v>196</v>
      </c>
      <c r="B16" s="194">
        <f t="shared" si="4"/>
        <v>19023</v>
      </c>
      <c r="C16" s="313">
        <f>B16*1000000/(365*'イ 排出 総括表'!U15)</f>
        <v>712.400670045355</v>
      </c>
      <c r="D16" s="195">
        <f t="shared" si="5"/>
        <v>15968</v>
      </c>
      <c r="E16" s="186">
        <f t="shared" si="6"/>
        <v>12529</v>
      </c>
      <c r="F16" s="196">
        <v>0</v>
      </c>
      <c r="G16" s="303">
        <v>12529</v>
      </c>
      <c r="H16" s="186">
        <v>0</v>
      </c>
      <c r="I16" s="187">
        <f t="shared" si="7"/>
        <v>266</v>
      </c>
      <c r="J16" s="196">
        <v>0</v>
      </c>
      <c r="K16" s="303">
        <v>266</v>
      </c>
      <c r="L16" s="186">
        <v>0</v>
      </c>
      <c r="M16" s="188">
        <f t="shared" si="0"/>
        <v>2857</v>
      </c>
      <c r="N16" s="196">
        <v>0</v>
      </c>
      <c r="O16" s="303">
        <v>2857</v>
      </c>
      <c r="P16" s="186">
        <v>0</v>
      </c>
      <c r="Q16" s="187">
        <f t="shared" si="1"/>
        <v>25</v>
      </c>
      <c r="R16" s="196">
        <v>0</v>
      </c>
      <c r="S16" s="303">
        <v>25</v>
      </c>
      <c r="T16" s="186">
        <v>0</v>
      </c>
      <c r="U16" s="187">
        <f t="shared" si="2"/>
        <v>291</v>
      </c>
      <c r="V16" s="196">
        <v>0</v>
      </c>
      <c r="W16" s="303">
        <v>291</v>
      </c>
      <c r="X16" s="187">
        <v>0</v>
      </c>
      <c r="Y16" s="195">
        <f t="shared" si="3"/>
        <v>3055</v>
      </c>
      <c r="Z16" s="311">
        <v>0</v>
      </c>
      <c r="AA16" s="311">
        <v>0</v>
      </c>
      <c r="AB16" s="311">
        <v>895</v>
      </c>
      <c r="AC16" s="311">
        <v>664</v>
      </c>
      <c r="AD16" s="311">
        <v>6</v>
      </c>
      <c r="AE16" s="313">
        <v>1490</v>
      </c>
    </row>
    <row r="17" spans="1:31" s="61" customFormat="1" ht="27.75" customHeight="1">
      <c r="A17" s="151" t="s">
        <v>197</v>
      </c>
      <c r="B17" s="182">
        <f t="shared" si="4"/>
        <v>35810</v>
      </c>
      <c r="C17" s="312">
        <f>B17*1000000/(365*'イ 排出 総括表'!U16)</f>
        <v>672.9329673449929</v>
      </c>
      <c r="D17" s="177">
        <f t="shared" si="5"/>
        <v>31357</v>
      </c>
      <c r="E17" s="191">
        <f t="shared" si="6"/>
        <v>26494</v>
      </c>
      <c r="F17" s="197">
        <v>6503</v>
      </c>
      <c r="G17" s="304">
        <v>19730</v>
      </c>
      <c r="H17" s="191">
        <v>261</v>
      </c>
      <c r="I17" s="192">
        <f t="shared" si="7"/>
        <v>957</v>
      </c>
      <c r="J17" s="197">
        <v>0</v>
      </c>
      <c r="K17" s="304">
        <v>933</v>
      </c>
      <c r="L17" s="191">
        <v>24</v>
      </c>
      <c r="M17" s="193">
        <f t="shared" si="0"/>
        <v>3768</v>
      </c>
      <c r="N17" s="197">
        <v>56</v>
      </c>
      <c r="O17" s="304">
        <v>3712</v>
      </c>
      <c r="P17" s="191">
        <v>0</v>
      </c>
      <c r="Q17" s="192">
        <f t="shared" si="1"/>
        <v>73</v>
      </c>
      <c r="R17" s="197">
        <v>42</v>
      </c>
      <c r="S17" s="304">
        <v>31</v>
      </c>
      <c r="T17" s="191">
        <v>0</v>
      </c>
      <c r="U17" s="192">
        <f t="shared" si="2"/>
        <v>65</v>
      </c>
      <c r="V17" s="197">
        <v>63</v>
      </c>
      <c r="W17" s="304">
        <v>0</v>
      </c>
      <c r="X17" s="192">
        <v>2</v>
      </c>
      <c r="Y17" s="190">
        <f t="shared" si="3"/>
        <v>4453</v>
      </c>
      <c r="Z17" s="198"/>
      <c r="AA17" s="198">
        <v>1598</v>
      </c>
      <c r="AB17" s="198">
        <v>604</v>
      </c>
      <c r="AC17" s="198">
        <v>658</v>
      </c>
      <c r="AD17" s="198">
        <v>0</v>
      </c>
      <c r="AE17" s="312">
        <v>1593</v>
      </c>
    </row>
    <row r="18" spans="1:31" s="61" customFormat="1" ht="27.75" customHeight="1">
      <c r="A18" s="154" t="s">
        <v>198</v>
      </c>
      <c r="B18" s="182">
        <f t="shared" si="4"/>
        <v>94986</v>
      </c>
      <c r="C18" s="312">
        <f>B18*1000000/(365*'イ 排出 総括表'!U17)</f>
        <v>595.8388946625823</v>
      </c>
      <c r="D18" s="177">
        <f t="shared" si="5"/>
        <v>91224</v>
      </c>
      <c r="E18" s="183">
        <f t="shared" si="6"/>
        <v>72768</v>
      </c>
      <c r="F18" s="176">
        <v>66701</v>
      </c>
      <c r="G18" s="302">
        <v>6067</v>
      </c>
      <c r="H18" s="183">
        <v>0</v>
      </c>
      <c r="I18" s="184">
        <f t="shared" si="7"/>
        <v>2633</v>
      </c>
      <c r="J18" s="176">
        <v>2550</v>
      </c>
      <c r="K18" s="302">
        <v>63</v>
      </c>
      <c r="L18" s="183">
        <v>20</v>
      </c>
      <c r="M18" s="185">
        <f t="shared" si="0"/>
        <v>14804</v>
      </c>
      <c r="N18" s="176">
        <v>1278</v>
      </c>
      <c r="O18" s="302">
        <v>13526</v>
      </c>
      <c r="P18" s="183">
        <v>0</v>
      </c>
      <c r="Q18" s="184">
        <f t="shared" si="1"/>
        <v>161</v>
      </c>
      <c r="R18" s="176">
        <v>0</v>
      </c>
      <c r="S18" s="302">
        <v>161</v>
      </c>
      <c r="T18" s="183">
        <v>0</v>
      </c>
      <c r="U18" s="184">
        <f t="shared" si="2"/>
        <v>858</v>
      </c>
      <c r="V18" s="176">
        <v>858</v>
      </c>
      <c r="W18" s="302">
        <v>0</v>
      </c>
      <c r="X18" s="184">
        <v>0</v>
      </c>
      <c r="Y18" s="177">
        <f t="shared" si="3"/>
        <v>3762</v>
      </c>
      <c r="Z18" s="198">
        <v>0</v>
      </c>
      <c r="AA18" s="198">
        <v>2074</v>
      </c>
      <c r="AB18" s="198">
        <v>1390</v>
      </c>
      <c r="AC18" s="198">
        <v>298</v>
      </c>
      <c r="AD18" s="198">
        <v>0</v>
      </c>
      <c r="AE18" s="312">
        <v>0</v>
      </c>
    </row>
    <row r="19" spans="1:31" s="61" customFormat="1" ht="27.75" customHeight="1">
      <c r="A19" s="154" t="s">
        <v>199</v>
      </c>
      <c r="B19" s="182">
        <f t="shared" si="4"/>
        <v>42355</v>
      </c>
      <c r="C19" s="312">
        <f>B19*1000000/(365*'イ 排出 総括表'!U18)</f>
        <v>641.9942124271012</v>
      </c>
      <c r="D19" s="177">
        <f t="shared" si="5"/>
        <v>38424</v>
      </c>
      <c r="E19" s="183">
        <f t="shared" si="6"/>
        <v>28291</v>
      </c>
      <c r="F19" s="176">
        <v>0</v>
      </c>
      <c r="G19" s="302">
        <v>28291</v>
      </c>
      <c r="H19" s="183">
        <v>0</v>
      </c>
      <c r="I19" s="184">
        <f t="shared" si="7"/>
        <v>1019</v>
      </c>
      <c r="J19" s="176">
        <v>0</v>
      </c>
      <c r="K19" s="302">
        <v>1019</v>
      </c>
      <c r="L19" s="183">
        <v>0</v>
      </c>
      <c r="M19" s="185">
        <f t="shared" si="0"/>
        <v>8772</v>
      </c>
      <c r="N19" s="176">
        <v>1981</v>
      </c>
      <c r="O19" s="302">
        <v>6791</v>
      </c>
      <c r="P19" s="183">
        <v>0</v>
      </c>
      <c r="Q19" s="184">
        <f t="shared" si="1"/>
        <v>251</v>
      </c>
      <c r="R19" s="176">
        <v>251</v>
      </c>
      <c r="S19" s="302">
        <v>0</v>
      </c>
      <c r="T19" s="183">
        <v>0</v>
      </c>
      <c r="U19" s="184">
        <f t="shared" si="2"/>
        <v>91</v>
      </c>
      <c r="V19" s="176">
        <v>91</v>
      </c>
      <c r="W19" s="302">
        <v>0</v>
      </c>
      <c r="X19" s="184">
        <v>0</v>
      </c>
      <c r="Y19" s="177">
        <f t="shared" si="3"/>
        <v>3931</v>
      </c>
      <c r="Z19" s="198">
        <v>0</v>
      </c>
      <c r="AA19" s="198">
        <v>1295</v>
      </c>
      <c r="AB19" s="198">
        <v>0</v>
      </c>
      <c r="AC19" s="198">
        <v>764</v>
      </c>
      <c r="AD19" s="198">
        <v>0</v>
      </c>
      <c r="AE19" s="312">
        <v>1872</v>
      </c>
    </row>
    <row r="20" spans="1:31" s="61" customFormat="1" ht="27.75" customHeight="1">
      <c r="A20" s="154" t="s">
        <v>200</v>
      </c>
      <c r="B20" s="182">
        <f t="shared" si="4"/>
        <v>27429</v>
      </c>
      <c r="C20" s="312">
        <f>B20*1000000/(365*'イ 排出 総括表'!U19)</f>
        <v>688.9945374531668</v>
      </c>
      <c r="D20" s="177">
        <f t="shared" si="5"/>
        <v>24221</v>
      </c>
      <c r="E20" s="183">
        <f t="shared" si="6"/>
        <v>19891</v>
      </c>
      <c r="F20" s="176">
        <v>6313</v>
      </c>
      <c r="G20" s="302">
        <v>13578</v>
      </c>
      <c r="H20" s="183">
        <v>0</v>
      </c>
      <c r="I20" s="184">
        <f t="shared" si="7"/>
        <v>953</v>
      </c>
      <c r="J20" s="176">
        <v>300</v>
      </c>
      <c r="K20" s="302">
        <v>653</v>
      </c>
      <c r="L20" s="183">
        <v>0</v>
      </c>
      <c r="M20" s="185">
        <f t="shared" si="0"/>
        <v>3348</v>
      </c>
      <c r="N20" s="176">
        <v>971</v>
      </c>
      <c r="O20" s="302">
        <v>2377</v>
      </c>
      <c r="P20" s="183">
        <v>0</v>
      </c>
      <c r="Q20" s="184">
        <f t="shared" si="1"/>
        <v>0</v>
      </c>
      <c r="R20" s="176">
        <v>0</v>
      </c>
      <c r="S20" s="302">
        <v>0</v>
      </c>
      <c r="T20" s="183">
        <v>0</v>
      </c>
      <c r="U20" s="184">
        <f t="shared" si="2"/>
        <v>29</v>
      </c>
      <c r="V20" s="176">
        <v>29</v>
      </c>
      <c r="W20" s="302">
        <v>0</v>
      </c>
      <c r="X20" s="184">
        <v>0</v>
      </c>
      <c r="Y20" s="177">
        <f t="shared" si="3"/>
        <v>3208</v>
      </c>
      <c r="Z20" s="198">
        <v>0</v>
      </c>
      <c r="AA20" s="198">
        <v>2520</v>
      </c>
      <c r="AB20" s="198">
        <v>688</v>
      </c>
      <c r="AC20" s="198">
        <v>0</v>
      </c>
      <c r="AD20" s="198">
        <v>0</v>
      </c>
      <c r="AE20" s="312">
        <v>0</v>
      </c>
    </row>
    <row r="21" spans="1:31" s="61" customFormat="1" ht="27.75" customHeight="1">
      <c r="A21" s="152" t="s">
        <v>201</v>
      </c>
      <c r="B21" s="194">
        <f t="shared" si="4"/>
        <v>24062</v>
      </c>
      <c r="C21" s="313">
        <f>B21*1000000/(365*'イ 排出 総括表'!U20)</f>
        <v>791.7952349471868</v>
      </c>
      <c r="D21" s="195">
        <f t="shared" si="5"/>
        <v>19718</v>
      </c>
      <c r="E21" s="186">
        <f t="shared" si="6"/>
        <v>14886</v>
      </c>
      <c r="F21" s="196">
        <v>71</v>
      </c>
      <c r="G21" s="303">
        <v>14815</v>
      </c>
      <c r="H21" s="186">
        <v>0</v>
      </c>
      <c r="I21" s="187">
        <f t="shared" si="7"/>
        <v>679</v>
      </c>
      <c r="J21" s="196">
        <v>0</v>
      </c>
      <c r="K21" s="303">
        <v>679</v>
      </c>
      <c r="L21" s="186">
        <v>0</v>
      </c>
      <c r="M21" s="188">
        <f t="shared" si="0"/>
        <v>4107</v>
      </c>
      <c r="N21" s="196">
        <v>0</v>
      </c>
      <c r="O21" s="303">
        <v>4107</v>
      </c>
      <c r="P21" s="186">
        <v>0</v>
      </c>
      <c r="Q21" s="187">
        <f t="shared" si="1"/>
        <v>0</v>
      </c>
      <c r="R21" s="196">
        <v>0</v>
      </c>
      <c r="S21" s="303">
        <v>0</v>
      </c>
      <c r="T21" s="186">
        <v>0</v>
      </c>
      <c r="U21" s="187">
        <f t="shared" si="2"/>
        <v>46</v>
      </c>
      <c r="V21" s="196">
        <v>32</v>
      </c>
      <c r="W21" s="303">
        <v>14</v>
      </c>
      <c r="X21" s="187">
        <v>0</v>
      </c>
      <c r="Y21" s="195">
        <f t="shared" si="3"/>
        <v>4344</v>
      </c>
      <c r="Z21" s="311">
        <v>0</v>
      </c>
      <c r="AA21" s="311">
        <v>2464</v>
      </c>
      <c r="AB21" s="311">
        <v>377</v>
      </c>
      <c r="AC21" s="311">
        <v>0</v>
      </c>
      <c r="AD21" s="311">
        <v>0</v>
      </c>
      <c r="AE21" s="313">
        <v>1503</v>
      </c>
    </row>
    <row r="22" spans="1:31" s="61" customFormat="1" ht="27.75" customHeight="1">
      <c r="A22" s="151" t="s">
        <v>202</v>
      </c>
      <c r="B22" s="189">
        <f t="shared" si="4"/>
        <v>16389</v>
      </c>
      <c r="C22" s="315">
        <f>B22*1000000/(365*'イ 排出 総括表'!U21)</f>
        <v>578.6035316033361</v>
      </c>
      <c r="D22" s="190">
        <f t="shared" si="5"/>
        <v>16389</v>
      </c>
      <c r="E22" s="191">
        <f t="shared" si="6"/>
        <v>11490</v>
      </c>
      <c r="F22" s="197">
        <v>0</v>
      </c>
      <c r="G22" s="304">
        <v>11490</v>
      </c>
      <c r="H22" s="191">
        <v>0</v>
      </c>
      <c r="I22" s="192">
        <f t="shared" si="7"/>
        <v>652</v>
      </c>
      <c r="J22" s="197">
        <v>0</v>
      </c>
      <c r="K22" s="304">
        <v>652</v>
      </c>
      <c r="L22" s="191">
        <v>0</v>
      </c>
      <c r="M22" s="193">
        <f t="shared" si="0"/>
        <v>4148</v>
      </c>
      <c r="N22" s="197">
        <v>0</v>
      </c>
      <c r="O22" s="304">
        <v>4148</v>
      </c>
      <c r="P22" s="191">
        <v>0</v>
      </c>
      <c r="Q22" s="192">
        <f t="shared" si="1"/>
        <v>45</v>
      </c>
      <c r="R22" s="197">
        <v>0</v>
      </c>
      <c r="S22" s="304">
        <v>45</v>
      </c>
      <c r="T22" s="191">
        <v>0</v>
      </c>
      <c r="U22" s="192">
        <f t="shared" si="2"/>
        <v>54</v>
      </c>
      <c r="V22" s="197">
        <v>0</v>
      </c>
      <c r="W22" s="304">
        <v>54</v>
      </c>
      <c r="X22" s="192">
        <v>0</v>
      </c>
      <c r="Y22" s="190">
        <f t="shared" si="3"/>
        <v>0</v>
      </c>
      <c r="Z22" s="198">
        <v>0</v>
      </c>
      <c r="AA22" s="198">
        <v>0</v>
      </c>
      <c r="AB22" s="198">
        <v>0</v>
      </c>
      <c r="AC22" s="198">
        <v>0</v>
      </c>
      <c r="AD22" s="198">
        <v>0</v>
      </c>
      <c r="AE22" s="312">
        <v>0</v>
      </c>
    </row>
    <row r="23" spans="1:31" s="61" customFormat="1" ht="27.75" customHeight="1">
      <c r="A23" s="154" t="s">
        <v>203</v>
      </c>
      <c r="B23" s="182">
        <f t="shared" si="4"/>
        <v>16467</v>
      </c>
      <c r="C23" s="312">
        <f>B23*1000000/(365*'イ 排出 総括表'!U22)</f>
        <v>810.9262050751462</v>
      </c>
      <c r="D23" s="177">
        <f t="shared" si="5"/>
        <v>14365</v>
      </c>
      <c r="E23" s="183">
        <f t="shared" si="6"/>
        <v>10842</v>
      </c>
      <c r="F23" s="176">
        <v>0</v>
      </c>
      <c r="G23" s="302">
        <v>10842</v>
      </c>
      <c r="H23" s="183">
        <v>0</v>
      </c>
      <c r="I23" s="184">
        <f t="shared" si="7"/>
        <v>874</v>
      </c>
      <c r="J23" s="176">
        <v>0</v>
      </c>
      <c r="K23" s="302">
        <v>874</v>
      </c>
      <c r="L23" s="183">
        <v>0</v>
      </c>
      <c r="M23" s="185">
        <f t="shared" si="0"/>
        <v>2649</v>
      </c>
      <c r="N23" s="176">
        <v>0</v>
      </c>
      <c r="O23" s="302">
        <v>2649</v>
      </c>
      <c r="P23" s="183">
        <v>0</v>
      </c>
      <c r="Q23" s="184">
        <f t="shared" si="1"/>
        <v>0</v>
      </c>
      <c r="R23" s="176">
        <v>0</v>
      </c>
      <c r="S23" s="302">
        <v>0</v>
      </c>
      <c r="T23" s="183">
        <v>0</v>
      </c>
      <c r="U23" s="184">
        <f t="shared" si="2"/>
        <v>0</v>
      </c>
      <c r="V23" s="176">
        <v>0</v>
      </c>
      <c r="W23" s="308">
        <v>0</v>
      </c>
      <c r="X23" s="184">
        <v>0</v>
      </c>
      <c r="Y23" s="177">
        <f t="shared" si="3"/>
        <v>2102</v>
      </c>
      <c r="Z23" s="198">
        <v>0</v>
      </c>
      <c r="AA23" s="198">
        <v>1116</v>
      </c>
      <c r="AB23" s="198">
        <v>986</v>
      </c>
      <c r="AC23" s="198">
        <v>0</v>
      </c>
      <c r="AD23" s="198">
        <v>0</v>
      </c>
      <c r="AE23" s="312">
        <v>0</v>
      </c>
    </row>
    <row r="24" spans="1:31" s="61" customFormat="1" ht="27.75" customHeight="1">
      <c r="A24" s="154" t="s">
        <v>204</v>
      </c>
      <c r="B24" s="182">
        <f t="shared" si="4"/>
        <v>21934</v>
      </c>
      <c r="C24" s="312">
        <f>B24*1000000/(365*'イ 排出 総括表'!U23)</f>
        <v>590.1900479761491</v>
      </c>
      <c r="D24" s="177">
        <f t="shared" si="5"/>
        <v>20772</v>
      </c>
      <c r="E24" s="183">
        <f t="shared" si="6"/>
        <v>14910</v>
      </c>
      <c r="F24" s="176">
        <v>1898</v>
      </c>
      <c r="G24" s="302">
        <v>13012</v>
      </c>
      <c r="H24" s="183">
        <v>0</v>
      </c>
      <c r="I24" s="184">
        <f t="shared" si="7"/>
        <v>561</v>
      </c>
      <c r="J24" s="176">
        <v>0</v>
      </c>
      <c r="K24" s="302">
        <v>561</v>
      </c>
      <c r="L24" s="183">
        <v>0</v>
      </c>
      <c r="M24" s="185">
        <f t="shared" si="0"/>
        <v>4407</v>
      </c>
      <c r="N24" s="176">
        <v>0</v>
      </c>
      <c r="O24" s="302">
        <v>4407</v>
      </c>
      <c r="P24" s="183">
        <v>0</v>
      </c>
      <c r="Q24" s="184">
        <f t="shared" si="1"/>
        <v>0</v>
      </c>
      <c r="R24" s="176">
        <v>0</v>
      </c>
      <c r="S24" s="302">
        <v>0</v>
      </c>
      <c r="T24" s="183">
        <v>0</v>
      </c>
      <c r="U24" s="184">
        <f t="shared" si="2"/>
        <v>894</v>
      </c>
      <c r="V24" s="176">
        <v>0</v>
      </c>
      <c r="W24" s="308">
        <v>894</v>
      </c>
      <c r="X24" s="184">
        <v>0</v>
      </c>
      <c r="Y24" s="177">
        <f t="shared" si="3"/>
        <v>1162</v>
      </c>
      <c r="Z24" s="198">
        <v>0</v>
      </c>
      <c r="AA24" s="198">
        <v>0</v>
      </c>
      <c r="AB24" s="198">
        <v>26</v>
      </c>
      <c r="AC24" s="198">
        <v>1135</v>
      </c>
      <c r="AD24" s="198">
        <v>0</v>
      </c>
      <c r="AE24" s="312">
        <v>1</v>
      </c>
    </row>
    <row r="25" spans="1:31" s="61" customFormat="1" ht="27.75" customHeight="1">
      <c r="A25" s="154" t="s">
        <v>205</v>
      </c>
      <c r="B25" s="182">
        <f t="shared" si="4"/>
        <v>34272</v>
      </c>
      <c r="C25" s="312">
        <f>B25*1000000/(365*'イ 排出 総括表'!U24)</f>
        <v>610.9553209507565</v>
      </c>
      <c r="D25" s="177">
        <f t="shared" si="5"/>
        <v>34272</v>
      </c>
      <c r="E25" s="183">
        <f t="shared" si="6"/>
        <v>22060</v>
      </c>
      <c r="F25" s="176">
        <v>0</v>
      </c>
      <c r="G25" s="302">
        <v>22060</v>
      </c>
      <c r="H25" s="183">
        <v>0</v>
      </c>
      <c r="I25" s="184">
        <f t="shared" si="7"/>
        <v>2812</v>
      </c>
      <c r="J25" s="176">
        <v>2812</v>
      </c>
      <c r="K25" s="302">
        <v>0</v>
      </c>
      <c r="L25" s="183">
        <v>0</v>
      </c>
      <c r="M25" s="185">
        <f t="shared" si="0"/>
        <v>9082</v>
      </c>
      <c r="N25" s="176">
        <v>1389</v>
      </c>
      <c r="O25" s="302">
        <v>7693</v>
      </c>
      <c r="P25" s="183">
        <v>0</v>
      </c>
      <c r="Q25" s="184">
        <f t="shared" si="1"/>
        <v>0</v>
      </c>
      <c r="R25" s="176">
        <v>0</v>
      </c>
      <c r="S25" s="302">
        <v>0</v>
      </c>
      <c r="T25" s="183">
        <v>0</v>
      </c>
      <c r="U25" s="184">
        <f t="shared" si="2"/>
        <v>318</v>
      </c>
      <c r="V25" s="176">
        <v>318</v>
      </c>
      <c r="W25" s="308">
        <v>0</v>
      </c>
      <c r="X25" s="184">
        <v>0</v>
      </c>
      <c r="Y25" s="177">
        <f t="shared" si="3"/>
        <v>0</v>
      </c>
      <c r="Z25" s="198">
        <v>0</v>
      </c>
      <c r="AA25" s="198">
        <v>0</v>
      </c>
      <c r="AB25" s="198">
        <v>0</v>
      </c>
      <c r="AC25" s="198">
        <v>0</v>
      </c>
      <c r="AD25" s="198">
        <v>0</v>
      </c>
      <c r="AE25" s="312">
        <v>0</v>
      </c>
    </row>
    <row r="26" spans="1:31" s="61" customFormat="1" ht="27.75" customHeight="1">
      <c r="A26" s="152" t="s">
        <v>206</v>
      </c>
      <c r="B26" s="194">
        <f t="shared" si="4"/>
        <v>35083</v>
      </c>
      <c r="C26" s="313">
        <f>B26*1000000/(365*'イ 排出 総括表'!U25)</f>
        <v>695.3871903110798</v>
      </c>
      <c r="D26" s="195">
        <f t="shared" si="5"/>
        <v>31630</v>
      </c>
      <c r="E26" s="186">
        <f t="shared" si="6"/>
        <v>21720</v>
      </c>
      <c r="F26" s="196">
        <v>3246</v>
      </c>
      <c r="G26" s="303">
        <v>18474</v>
      </c>
      <c r="H26" s="186">
        <v>0</v>
      </c>
      <c r="I26" s="187">
        <f t="shared" si="7"/>
        <v>1898</v>
      </c>
      <c r="J26" s="196">
        <v>458</v>
      </c>
      <c r="K26" s="303">
        <v>1440</v>
      </c>
      <c r="L26" s="186">
        <v>0</v>
      </c>
      <c r="M26" s="188">
        <f t="shared" si="0"/>
        <v>7919</v>
      </c>
      <c r="N26" s="196">
        <v>31</v>
      </c>
      <c r="O26" s="303">
        <v>7888</v>
      </c>
      <c r="P26" s="186">
        <v>0</v>
      </c>
      <c r="Q26" s="187">
        <f t="shared" si="1"/>
        <v>0</v>
      </c>
      <c r="R26" s="196">
        <v>0</v>
      </c>
      <c r="S26" s="303">
        <v>0</v>
      </c>
      <c r="T26" s="186">
        <v>0</v>
      </c>
      <c r="U26" s="187">
        <f t="shared" si="2"/>
        <v>93</v>
      </c>
      <c r="V26" s="196">
        <v>93</v>
      </c>
      <c r="W26" s="309">
        <v>0</v>
      </c>
      <c r="X26" s="187">
        <v>0</v>
      </c>
      <c r="Y26" s="195">
        <f t="shared" si="3"/>
        <v>3453</v>
      </c>
      <c r="Z26" s="311">
        <v>0</v>
      </c>
      <c r="AA26" s="311">
        <v>760</v>
      </c>
      <c r="AB26" s="311">
        <v>868</v>
      </c>
      <c r="AC26" s="311">
        <v>0</v>
      </c>
      <c r="AD26" s="311">
        <v>1825</v>
      </c>
      <c r="AE26" s="313">
        <v>0</v>
      </c>
    </row>
    <row r="27" spans="1:31" s="61" customFormat="1" ht="27.75" customHeight="1">
      <c r="A27" s="151" t="s">
        <v>207</v>
      </c>
      <c r="B27" s="189">
        <f t="shared" si="4"/>
        <v>12875</v>
      </c>
      <c r="C27" s="315">
        <f>B27*1000000/(365*'イ 排出 総括表'!U26)</f>
        <v>682.1763093281451</v>
      </c>
      <c r="D27" s="190">
        <f t="shared" si="5"/>
        <v>12261</v>
      </c>
      <c r="E27" s="191">
        <f t="shared" si="6"/>
        <v>9177</v>
      </c>
      <c r="F27" s="197">
        <v>4475</v>
      </c>
      <c r="G27" s="304">
        <v>4696</v>
      </c>
      <c r="H27" s="191">
        <v>6</v>
      </c>
      <c r="I27" s="192">
        <f t="shared" si="7"/>
        <v>388</v>
      </c>
      <c r="J27" s="197">
        <v>254</v>
      </c>
      <c r="K27" s="304">
        <v>134</v>
      </c>
      <c r="L27" s="191">
        <v>0</v>
      </c>
      <c r="M27" s="193">
        <f t="shared" si="0"/>
        <v>2640</v>
      </c>
      <c r="N27" s="197">
        <v>353</v>
      </c>
      <c r="O27" s="304">
        <v>2281</v>
      </c>
      <c r="P27" s="191">
        <v>6</v>
      </c>
      <c r="Q27" s="192">
        <f t="shared" si="1"/>
        <v>32</v>
      </c>
      <c r="R27" s="197">
        <v>20</v>
      </c>
      <c r="S27" s="304">
        <v>12</v>
      </c>
      <c r="T27" s="191">
        <v>0</v>
      </c>
      <c r="U27" s="192">
        <f t="shared" si="2"/>
        <v>24</v>
      </c>
      <c r="V27" s="197">
        <v>7</v>
      </c>
      <c r="W27" s="310">
        <v>0</v>
      </c>
      <c r="X27" s="192">
        <v>17</v>
      </c>
      <c r="Y27" s="190">
        <f t="shared" si="3"/>
        <v>614</v>
      </c>
      <c r="Z27" s="198">
        <v>0</v>
      </c>
      <c r="AA27" s="198">
        <v>153</v>
      </c>
      <c r="AB27" s="198">
        <v>20</v>
      </c>
      <c r="AC27" s="198">
        <v>226</v>
      </c>
      <c r="AD27" s="198">
        <v>0</v>
      </c>
      <c r="AE27" s="312">
        <v>215</v>
      </c>
    </row>
    <row r="28" spans="1:31" s="61" customFormat="1" ht="27.75" customHeight="1">
      <c r="A28" s="154" t="s">
        <v>208</v>
      </c>
      <c r="B28" s="182">
        <f t="shared" si="4"/>
        <v>25121</v>
      </c>
      <c r="C28" s="312">
        <f>B28*1000000/(365*'イ 排出 総括表'!U27)</f>
        <v>632.847136971942</v>
      </c>
      <c r="D28" s="177">
        <f t="shared" si="5"/>
        <v>22550</v>
      </c>
      <c r="E28" s="183">
        <f t="shared" si="6"/>
        <v>18109</v>
      </c>
      <c r="F28" s="176">
        <v>0</v>
      </c>
      <c r="G28" s="302">
        <v>18109</v>
      </c>
      <c r="H28" s="183">
        <v>0</v>
      </c>
      <c r="I28" s="184">
        <f t="shared" si="7"/>
        <v>1443</v>
      </c>
      <c r="J28" s="176">
        <v>0</v>
      </c>
      <c r="K28" s="302">
        <v>1443</v>
      </c>
      <c r="L28" s="183">
        <v>0</v>
      </c>
      <c r="M28" s="185">
        <f t="shared" si="0"/>
        <v>2521</v>
      </c>
      <c r="N28" s="176">
        <v>0</v>
      </c>
      <c r="O28" s="302">
        <v>2521</v>
      </c>
      <c r="P28" s="183">
        <v>0</v>
      </c>
      <c r="Q28" s="184">
        <f t="shared" si="1"/>
        <v>20</v>
      </c>
      <c r="R28" s="176">
        <v>20</v>
      </c>
      <c r="S28" s="302">
        <v>0</v>
      </c>
      <c r="T28" s="183">
        <v>0</v>
      </c>
      <c r="U28" s="184">
        <f t="shared" si="2"/>
        <v>457</v>
      </c>
      <c r="V28" s="176">
        <v>457</v>
      </c>
      <c r="W28" s="308"/>
      <c r="X28" s="184">
        <v>0</v>
      </c>
      <c r="Y28" s="177">
        <f t="shared" si="3"/>
        <v>2571</v>
      </c>
      <c r="Z28" s="198">
        <v>0</v>
      </c>
      <c r="AA28" s="198">
        <v>2348</v>
      </c>
      <c r="AB28" s="198">
        <v>223</v>
      </c>
      <c r="AC28" s="198">
        <v>0</v>
      </c>
      <c r="AD28" s="198">
        <v>0</v>
      </c>
      <c r="AE28" s="312">
        <v>0</v>
      </c>
    </row>
    <row r="29" spans="1:31" s="61" customFormat="1" ht="27.75" customHeight="1">
      <c r="A29" s="154" t="s">
        <v>209</v>
      </c>
      <c r="B29" s="182">
        <f t="shared" si="4"/>
        <v>22738</v>
      </c>
      <c r="C29" s="312">
        <f>B29*1000000/(365*'イ 排出 総括表'!U28)</f>
        <v>725.1127946149421</v>
      </c>
      <c r="D29" s="177">
        <f t="shared" si="5"/>
        <v>21982</v>
      </c>
      <c r="E29" s="183">
        <f t="shared" si="6"/>
        <v>15127</v>
      </c>
      <c r="F29" s="176">
        <v>0</v>
      </c>
      <c r="G29" s="302">
        <v>15091</v>
      </c>
      <c r="H29" s="183">
        <v>36</v>
      </c>
      <c r="I29" s="184">
        <f t="shared" si="7"/>
        <v>742</v>
      </c>
      <c r="J29" s="176">
        <v>0</v>
      </c>
      <c r="K29" s="302">
        <v>730</v>
      </c>
      <c r="L29" s="183">
        <v>12</v>
      </c>
      <c r="M29" s="185">
        <f t="shared" si="0"/>
        <v>6113</v>
      </c>
      <c r="N29" s="176">
        <v>0</v>
      </c>
      <c r="O29" s="302">
        <v>5112</v>
      </c>
      <c r="P29" s="183">
        <v>1001</v>
      </c>
      <c r="Q29" s="184">
        <f t="shared" si="1"/>
        <v>0</v>
      </c>
      <c r="R29" s="176">
        <v>0</v>
      </c>
      <c r="S29" s="302">
        <v>0</v>
      </c>
      <c r="T29" s="183">
        <v>0</v>
      </c>
      <c r="U29" s="184">
        <f t="shared" si="2"/>
        <v>0</v>
      </c>
      <c r="V29" s="176">
        <v>0</v>
      </c>
      <c r="W29" s="308">
        <v>0</v>
      </c>
      <c r="X29" s="184">
        <v>0</v>
      </c>
      <c r="Y29" s="177">
        <f t="shared" si="3"/>
        <v>756</v>
      </c>
      <c r="Z29" s="198">
        <v>0</v>
      </c>
      <c r="AA29" s="198">
        <v>659</v>
      </c>
      <c r="AB29" s="198">
        <v>97</v>
      </c>
      <c r="AC29" s="198">
        <v>0</v>
      </c>
      <c r="AD29" s="198">
        <v>0</v>
      </c>
      <c r="AE29" s="312">
        <v>0</v>
      </c>
    </row>
    <row r="30" spans="1:31" s="61" customFormat="1" ht="27.75" customHeight="1">
      <c r="A30" s="154" t="s">
        <v>210</v>
      </c>
      <c r="B30" s="182">
        <f t="shared" si="4"/>
        <v>23624</v>
      </c>
      <c r="C30" s="312">
        <f>B30*1000000/(365*'イ 排出 総括表'!U29)</f>
        <v>746.9766716820303</v>
      </c>
      <c r="D30" s="177">
        <f t="shared" si="5"/>
        <v>20699</v>
      </c>
      <c r="E30" s="183">
        <f t="shared" si="6"/>
        <v>16560</v>
      </c>
      <c r="F30" s="176">
        <v>7402</v>
      </c>
      <c r="G30" s="302">
        <v>9158</v>
      </c>
      <c r="H30" s="183">
        <v>0</v>
      </c>
      <c r="I30" s="184">
        <f t="shared" si="7"/>
        <v>1515</v>
      </c>
      <c r="J30" s="176">
        <v>687</v>
      </c>
      <c r="K30" s="302">
        <v>828</v>
      </c>
      <c r="L30" s="183">
        <v>0</v>
      </c>
      <c r="M30" s="185">
        <f t="shared" si="0"/>
        <v>2562</v>
      </c>
      <c r="N30" s="176">
        <v>2021</v>
      </c>
      <c r="O30" s="302">
        <v>541</v>
      </c>
      <c r="P30" s="183">
        <v>0</v>
      </c>
      <c r="Q30" s="184">
        <f t="shared" si="1"/>
        <v>0</v>
      </c>
      <c r="R30" s="176">
        <v>0</v>
      </c>
      <c r="S30" s="302">
        <v>0</v>
      </c>
      <c r="T30" s="183">
        <v>0</v>
      </c>
      <c r="U30" s="184">
        <f t="shared" si="2"/>
        <v>62</v>
      </c>
      <c r="V30" s="176">
        <v>62</v>
      </c>
      <c r="W30" s="308">
        <v>0</v>
      </c>
      <c r="X30" s="184">
        <v>0</v>
      </c>
      <c r="Y30" s="177">
        <f t="shared" si="3"/>
        <v>2925</v>
      </c>
      <c r="Z30" s="198">
        <v>0</v>
      </c>
      <c r="AA30" s="198">
        <v>0</v>
      </c>
      <c r="AB30" s="198">
        <v>0</v>
      </c>
      <c r="AC30" s="198">
        <v>821</v>
      </c>
      <c r="AD30" s="198">
        <v>0</v>
      </c>
      <c r="AE30" s="312">
        <v>2104</v>
      </c>
    </row>
    <row r="31" spans="1:31" s="61" customFormat="1" ht="27.75" customHeight="1">
      <c r="A31" s="152" t="s">
        <v>211</v>
      </c>
      <c r="B31" s="194">
        <f t="shared" si="4"/>
        <v>16398</v>
      </c>
      <c r="C31" s="313">
        <f>B31*1000000/(365*'イ 排出 総括表'!U30)</f>
        <v>647.0227896199362</v>
      </c>
      <c r="D31" s="195">
        <f t="shared" si="5"/>
        <v>14543</v>
      </c>
      <c r="E31" s="186">
        <f t="shared" si="6"/>
        <v>12075</v>
      </c>
      <c r="F31" s="196">
        <v>0</v>
      </c>
      <c r="G31" s="303">
        <v>12075</v>
      </c>
      <c r="H31" s="186">
        <v>0</v>
      </c>
      <c r="I31" s="187">
        <f t="shared" si="7"/>
        <v>448</v>
      </c>
      <c r="J31" s="196">
        <v>0</v>
      </c>
      <c r="K31" s="303">
        <v>448</v>
      </c>
      <c r="L31" s="186">
        <v>0</v>
      </c>
      <c r="M31" s="188">
        <f t="shared" si="0"/>
        <v>2003</v>
      </c>
      <c r="N31" s="196">
        <v>0</v>
      </c>
      <c r="O31" s="303">
        <v>2003</v>
      </c>
      <c r="P31" s="186">
        <v>0</v>
      </c>
      <c r="Q31" s="187">
        <f t="shared" si="1"/>
        <v>0</v>
      </c>
      <c r="R31" s="196">
        <v>0</v>
      </c>
      <c r="S31" s="303">
        <v>0</v>
      </c>
      <c r="T31" s="186">
        <v>0</v>
      </c>
      <c r="U31" s="187">
        <f t="shared" si="2"/>
        <v>17</v>
      </c>
      <c r="V31" s="196">
        <v>0</v>
      </c>
      <c r="W31" s="309">
        <v>17</v>
      </c>
      <c r="X31" s="187">
        <v>0</v>
      </c>
      <c r="Y31" s="195">
        <f t="shared" si="3"/>
        <v>1855</v>
      </c>
      <c r="Z31" s="311">
        <v>0</v>
      </c>
      <c r="AA31" s="311">
        <v>764</v>
      </c>
      <c r="AB31" s="311">
        <v>152</v>
      </c>
      <c r="AC31" s="311">
        <v>170</v>
      </c>
      <c r="AD31" s="311">
        <v>0</v>
      </c>
      <c r="AE31" s="313">
        <v>769</v>
      </c>
    </row>
    <row r="32" spans="1:31" s="61" customFormat="1" ht="27.75" customHeight="1">
      <c r="A32" s="151" t="s">
        <v>212</v>
      </c>
      <c r="B32" s="189">
        <f t="shared" si="4"/>
        <v>19424</v>
      </c>
      <c r="C32" s="315">
        <f>B32*1000000/(365*'イ 排出 総括表'!U31)</f>
        <v>652.36210059656</v>
      </c>
      <c r="D32" s="190">
        <f t="shared" si="5"/>
        <v>19424</v>
      </c>
      <c r="E32" s="191">
        <f t="shared" si="6"/>
        <v>14885</v>
      </c>
      <c r="F32" s="197">
        <v>4986</v>
      </c>
      <c r="G32" s="304">
        <v>9899</v>
      </c>
      <c r="H32" s="191">
        <v>0</v>
      </c>
      <c r="I32" s="192">
        <f t="shared" si="7"/>
        <v>712</v>
      </c>
      <c r="J32" s="197">
        <v>23</v>
      </c>
      <c r="K32" s="304">
        <v>689</v>
      </c>
      <c r="L32" s="191">
        <v>0</v>
      </c>
      <c r="M32" s="193">
        <f t="shared" si="0"/>
        <v>3333</v>
      </c>
      <c r="N32" s="197">
        <v>3333</v>
      </c>
      <c r="O32" s="304">
        <v>0</v>
      </c>
      <c r="P32" s="191">
        <v>0</v>
      </c>
      <c r="Q32" s="192">
        <f t="shared" si="1"/>
        <v>20</v>
      </c>
      <c r="R32" s="197">
        <v>20</v>
      </c>
      <c r="S32" s="304">
        <v>0</v>
      </c>
      <c r="T32" s="191">
        <v>0</v>
      </c>
      <c r="U32" s="192">
        <f t="shared" si="2"/>
        <v>474</v>
      </c>
      <c r="V32" s="197">
        <v>474</v>
      </c>
      <c r="W32" s="310">
        <v>0</v>
      </c>
      <c r="X32" s="192">
        <v>0</v>
      </c>
      <c r="Y32" s="190">
        <f t="shared" si="3"/>
        <v>0</v>
      </c>
      <c r="Z32" s="198">
        <v>0</v>
      </c>
      <c r="AA32" s="198">
        <v>0</v>
      </c>
      <c r="AB32" s="198">
        <v>0</v>
      </c>
      <c r="AC32" s="198">
        <v>0</v>
      </c>
      <c r="AD32" s="198">
        <v>0</v>
      </c>
      <c r="AE32" s="312">
        <v>0</v>
      </c>
    </row>
    <row r="33" spans="1:31" s="61" customFormat="1" ht="27.75" customHeight="1">
      <c r="A33" s="154" t="s">
        <v>213</v>
      </c>
      <c r="B33" s="182">
        <f t="shared" si="4"/>
        <v>10834</v>
      </c>
      <c r="C33" s="312">
        <f>B33*1000000/(365*'イ 排出 総括表'!U32)</f>
        <v>656.279114283672</v>
      </c>
      <c r="D33" s="177">
        <f t="shared" si="5"/>
        <v>8942</v>
      </c>
      <c r="E33" s="183">
        <f t="shared" si="6"/>
        <v>7139</v>
      </c>
      <c r="F33" s="176">
        <v>0</v>
      </c>
      <c r="G33" s="302">
        <v>7139</v>
      </c>
      <c r="H33" s="183">
        <v>0</v>
      </c>
      <c r="I33" s="184">
        <f t="shared" si="7"/>
        <v>251</v>
      </c>
      <c r="J33" s="176">
        <v>0</v>
      </c>
      <c r="K33" s="302">
        <v>251</v>
      </c>
      <c r="L33" s="183">
        <v>0</v>
      </c>
      <c r="M33" s="185">
        <f t="shared" si="0"/>
        <v>1552</v>
      </c>
      <c r="N33" s="176">
        <v>0</v>
      </c>
      <c r="O33" s="302">
        <v>1552</v>
      </c>
      <c r="P33" s="183">
        <v>0</v>
      </c>
      <c r="Q33" s="184">
        <f t="shared" si="1"/>
        <v>0</v>
      </c>
      <c r="R33" s="176">
        <v>0</v>
      </c>
      <c r="S33" s="302">
        <v>0</v>
      </c>
      <c r="T33" s="183">
        <v>0</v>
      </c>
      <c r="U33" s="184">
        <f t="shared" si="2"/>
        <v>0</v>
      </c>
      <c r="V33" s="176">
        <v>0</v>
      </c>
      <c r="W33" s="308">
        <v>0</v>
      </c>
      <c r="X33" s="184">
        <v>0</v>
      </c>
      <c r="Y33" s="177">
        <f t="shared" si="3"/>
        <v>1892</v>
      </c>
      <c r="Z33" s="198">
        <v>0</v>
      </c>
      <c r="AA33" s="198">
        <v>593</v>
      </c>
      <c r="AB33" s="198">
        <v>768</v>
      </c>
      <c r="AC33" s="198">
        <v>321</v>
      </c>
      <c r="AD33" s="198">
        <v>0</v>
      </c>
      <c r="AE33" s="312">
        <v>210</v>
      </c>
    </row>
    <row r="34" spans="1:31" s="61" customFormat="1" ht="27.75" customHeight="1">
      <c r="A34" s="154" t="s">
        <v>214</v>
      </c>
      <c r="B34" s="182">
        <f t="shared" si="4"/>
        <v>10750</v>
      </c>
      <c r="C34" s="312">
        <f>B34*1000000/(365*'イ 排出 総括表'!U33)</f>
        <v>605.6728729825107</v>
      </c>
      <c r="D34" s="177">
        <f t="shared" si="5"/>
        <v>10750</v>
      </c>
      <c r="E34" s="183">
        <f t="shared" si="6"/>
        <v>7769</v>
      </c>
      <c r="F34" s="176">
        <v>2920</v>
      </c>
      <c r="G34" s="302">
        <v>4849</v>
      </c>
      <c r="H34" s="183">
        <v>0</v>
      </c>
      <c r="I34" s="184">
        <f t="shared" si="7"/>
        <v>962</v>
      </c>
      <c r="J34" s="176">
        <v>689</v>
      </c>
      <c r="K34" s="302">
        <v>273</v>
      </c>
      <c r="L34" s="183">
        <v>0</v>
      </c>
      <c r="M34" s="185">
        <f t="shared" si="0"/>
        <v>1970</v>
      </c>
      <c r="N34" s="176">
        <v>532</v>
      </c>
      <c r="O34" s="302">
        <v>1438</v>
      </c>
      <c r="P34" s="183">
        <v>0</v>
      </c>
      <c r="Q34" s="184">
        <f t="shared" si="1"/>
        <v>0</v>
      </c>
      <c r="R34" s="176">
        <v>0</v>
      </c>
      <c r="S34" s="302">
        <v>0</v>
      </c>
      <c r="T34" s="183">
        <v>0</v>
      </c>
      <c r="U34" s="184">
        <f t="shared" si="2"/>
        <v>49</v>
      </c>
      <c r="V34" s="176">
        <v>0</v>
      </c>
      <c r="W34" s="308">
        <v>49</v>
      </c>
      <c r="X34" s="184">
        <v>0</v>
      </c>
      <c r="Y34" s="177">
        <f t="shared" si="3"/>
        <v>0</v>
      </c>
      <c r="Z34" s="198">
        <v>0</v>
      </c>
      <c r="AA34" s="198">
        <v>0</v>
      </c>
      <c r="AB34" s="198">
        <v>0</v>
      </c>
      <c r="AC34" s="198">
        <v>0</v>
      </c>
      <c r="AD34" s="198">
        <v>0</v>
      </c>
      <c r="AE34" s="312">
        <v>0</v>
      </c>
    </row>
    <row r="35" spans="1:31" s="61" customFormat="1" ht="27.75" customHeight="1">
      <c r="A35" s="154" t="s">
        <v>215</v>
      </c>
      <c r="B35" s="182">
        <f t="shared" si="4"/>
        <v>17396</v>
      </c>
      <c r="C35" s="312">
        <f>B35*1000000/(365*'イ 排出 総括表'!U34)</f>
        <v>692.6258007092288</v>
      </c>
      <c r="D35" s="177">
        <f t="shared" si="5"/>
        <v>16947</v>
      </c>
      <c r="E35" s="183">
        <f t="shared" si="6"/>
        <v>11347</v>
      </c>
      <c r="F35" s="176">
        <v>3676</v>
      </c>
      <c r="G35" s="302">
        <v>7660</v>
      </c>
      <c r="H35" s="183">
        <v>11</v>
      </c>
      <c r="I35" s="184">
        <f t="shared" si="7"/>
        <v>501</v>
      </c>
      <c r="J35" s="176">
        <v>180</v>
      </c>
      <c r="K35" s="302">
        <v>318</v>
      </c>
      <c r="L35" s="183">
        <v>3</v>
      </c>
      <c r="M35" s="185">
        <f t="shared" si="0"/>
        <v>5008</v>
      </c>
      <c r="N35" s="176">
        <v>132</v>
      </c>
      <c r="O35" s="302">
        <v>4876</v>
      </c>
      <c r="P35" s="183">
        <v>0</v>
      </c>
      <c r="Q35" s="184">
        <f t="shared" si="1"/>
        <v>0</v>
      </c>
      <c r="R35" s="176">
        <v>0</v>
      </c>
      <c r="S35" s="302">
        <v>0</v>
      </c>
      <c r="T35" s="183">
        <v>0</v>
      </c>
      <c r="U35" s="184">
        <f t="shared" si="2"/>
        <v>91</v>
      </c>
      <c r="V35" s="176">
        <v>91</v>
      </c>
      <c r="W35" s="308">
        <v>0</v>
      </c>
      <c r="X35" s="184">
        <v>0</v>
      </c>
      <c r="Y35" s="177">
        <f t="shared" si="3"/>
        <v>449</v>
      </c>
      <c r="Z35" s="198">
        <v>0</v>
      </c>
      <c r="AA35" s="198">
        <v>388</v>
      </c>
      <c r="AB35" s="198">
        <v>61</v>
      </c>
      <c r="AC35" s="198">
        <v>0</v>
      </c>
      <c r="AD35" s="198">
        <v>0</v>
      </c>
      <c r="AE35" s="312">
        <v>0</v>
      </c>
    </row>
    <row r="36" spans="1:31" s="61" customFormat="1" ht="27.75" customHeight="1">
      <c r="A36" s="152" t="s">
        <v>216</v>
      </c>
      <c r="B36" s="194">
        <f t="shared" si="4"/>
        <v>20463</v>
      </c>
      <c r="C36" s="313">
        <f>B36*1000000/(365*'イ 排出 総括表'!U35)</f>
        <v>683.2286938021612</v>
      </c>
      <c r="D36" s="195">
        <f t="shared" si="5"/>
        <v>19332</v>
      </c>
      <c r="E36" s="186">
        <f t="shared" si="6"/>
        <v>13521</v>
      </c>
      <c r="F36" s="196">
        <v>0</v>
      </c>
      <c r="G36" s="303">
        <v>13521</v>
      </c>
      <c r="H36" s="186">
        <v>0</v>
      </c>
      <c r="I36" s="187">
        <f t="shared" si="7"/>
        <v>1226</v>
      </c>
      <c r="J36" s="196">
        <v>0</v>
      </c>
      <c r="K36" s="303">
        <v>1226</v>
      </c>
      <c r="L36" s="186">
        <v>0</v>
      </c>
      <c r="M36" s="188">
        <f t="shared" si="0"/>
        <v>4324</v>
      </c>
      <c r="N36" s="196">
        <v>0</v>
      </c>
      <c r="O36" s="303">
        <v>4324</v>
      </c>
      <c r="P36" s="186">
        <v>0</v>
      </c>
      <c r="Q36" s="187">
        <f t="shared" si="1"/>
        <v>5</v>
      </c>
      <c r="R36" s="196">
        <v>0</v>
      </c>
      <c r="S36" s="303">
        <v>5</v>
      </c>
      <c r="T36" s="186">
        <v>0</v>
      </c>
      <c r="U36" s="187">
        <f t="shared" si="2"/>
        <v>256</v>
      </c>
      <c r="V36" s="196">
        <v>0</v>
      </c>
      <c r="W36" s="309">
        <v>256</v>
      </c>
      <c r="X36" s="187">
        <v>0</v>
      </c>
      <c r="Y36" s="195">
        <f t="shared" si="3"/>
        <v>1131</v>
      </c>
      <c r="Z36" s="311">
        <v>0</v>
      </c>
      <c r="AA36" s="311">
        <v>437</v>
      </c>
      <c r="AB36" s="311">
        <v>3</v>
      </c>
      <c r="AC36" s="311">
        <v>0</v>
      </c>
      <c r="AD36" s="311">
        <v>0</v>
      </c>
      <c r="AE36" s="313">
        <v>691</v>
      </c>
    </row>
    <row r="37" spans="1:31" s="61" customFormat="1" ht="27.75" customHeight="1">
      <c r="A37" s="154" t="s">
        <v>217</v>
      </c>
      <c r="B37" s="182">
        <f>SUM(D37,Y37)</f>
        <v>18241</v>
      </c>
      <c r="C37" s="312">
        <f>B37*1000000/(365*'イ 排出 総括表'!U36)</f>
        <v>739.6412814799152</v>
      </c>
      <c r="D37" s="177">
        <f aca="true" t="shared" si="8" ref="D37:D42">SUM(E37,I37,M37,Q37,U37)</f>
        <v>12653</v>
      </c>
      <c r="E37" s="183">
        <f aca="true" t="shared" si="9" ref="E37:E42">SUM(F37:H37)</f>
        <v>9680</v>
      </c>
      <c r="F37" s="176">
        <v>0</v>
      </c>
      <c r="G37" s="302">
        <v>9680</v>
      </c>
      <c r="H37" s="176"/>
      <c r="I37" s="176">
        <f aca="true" t="shared" si="10" ref="I37:I42">SUM(J37:L37)</f>
        <v>188</v>
      </c>
      <c r="J37" s="176">
        <v>0</v>
      </c>
      <c r="K37" s="302">
        <v>174</v>
      </c>
      <c r="L37" s="176">
        <v>14</v>
      </c>
      <c r="M37" s="176">
        <f aca="true" t="shared" si="11" ref="M37:M43">SUM(N37:P37)</f>
        <v>2785</v>
      </c>
      <c r="N37" s="176">
        <v>0</v>
      </c>
      <c r="O37" s="302">
        <v>2427</v>
      </c>
      <c r="P37" s="176">
        <v>358</v>
      </c>
      <c r="Q37" s="176">
        <f aca="true" t="shared" si="12" ref="Q37:Q42">SUM(R37:T37)</f>
        <v>0</v>
      </c>
      <c r="R37" s="176">
        <v>0</v>
      </c>
      <c r="S37" s="302">
        <v>0</v>
      </c>
      <c r="T37" s="176">
        <v>0</v>
      </c>
      <c r="U37" s="176">
        <f aca="true" t="shared" si="13" ref="U37:U42">SUM(V37:X37)</f>
        <v>0</v>
      </c>
      <c r="V37" s="176">
        <v>0</v>
      </c>
      <c r="W37" s="302">
        <v>0</v>
      </c>
      <c r="X37" s="244">
        <v>0</v>
      </c>
      <c r="Y37" s="177">
        <f aca="true" t="shared" si="14" ref="Y37:Y42">SUM(Z37:AE37)</f>
        <v>5588</v>
      </c>
      <c r="Z37" s="198">
        <v>0</v>
      </c>
      <c r="AA37" s="198">
        <v>2369</v>
      </c>
      <c r="AB37" s="198">
        <v>113</v>
      </c>
      <c r="AC37" s="198">
        <v>3106</v>
      </c>
      <c r="AD37" s="198">
        <v>0</v>
      </c>
      <c r="AE37" s="312">
        <v>0</v>
      </c>
    </row>
    <row r="38" spans="1:31" s="61" customFormat="1" ht="27.75" customHeight="1">
      <c r="A38" s="154" t="s">
        <v>218</v>
      </c>
      <c r="B38" s="182">
        <f>SUM(D38,Y38)</f>
        <v>15022</v>
      </c>
      <c r="C38" s="312">
        <f>B38*1000000/(365*'イ 排出 総括表'!U37)</f>
        <v>616.9969474628455</v>
      </c>
      <c r="D38" s="177">
        <f t="shared" si="8"/>
        <v>15001</v>
      </c>
      <c r="E38" s="183">
        <f t="shared" si="9"/>
        <v>10108</v>
      </c>
      <c r="F38" s="176">
        <v>0</v>
      </c>
      <c r="G38" s="302">
        <v>10108</v>
      </c>
      <c r="H38" s="176"/>
      <c r="I38" s="176">
        <f t="shared" si="10"/>
        <v>737</v>
      </c>
      <c r="J38" s="176">
        <v>0</v>
      </c>
      <c r="K38" s="302">
        <v>737</v>
      </c>
      <c r="L38" s="176">
        <v>0</v>
      </c>
      <c r="M38" s="176">
        <f t="shared" si="11"/>
        <v>2102</v>
      </c>
      <c r="N38" s="176">
        <v>0</v>
      </c>
      <c r="O38" s="302">
        <v>2102</v>
      </c>
      <c r="P38" s="176">
        <v>0</v>
      </c>
      <c r="Q38" s="176">
        <f t="shared" si="12"/>
        <v>1725</v>
      </c>
      <c r="R38" s="176">
        <v>0</v>
      </c>
      <c r="S38" s="302">
        <v>1725</v>
      </c>
      <c r="T38" s="176">
        <v>0</v>
      </c>
      <c r="U38" s="176">
        <f t="shared" si="13"/>
        <v>329</v>
      </c>
      <c r="V38" s="176">
        <v>0</v>
      </c>
      <c r="W38" s="302">
        <v>329</v>
      </c>
      <c r="X38" s="244">
        <v>0</v>
      </c>
      <c r="Y38" s="177">
        <f t="shared" si="14"/>
        <v>21</v>
      </c>
      <c r="Z38" s="198">
        <v>0</v>
      </c>
      <c r="AA38" s="198">
        <v>8</v>
      </c>
      <c r="AB38" s="198">
        <v>1</v>
      </c>
      <c r="AC38" s="198">
        <v>0</v>
      </c>
      <c r="AD38" s="198">
        <v>0</v>
      </c>
      <c r="AE38" s="312">
        <v>12</v>
      </c>
    </row>
    <row r="39" spans="1:31" s="61" customFormat="1" ht="27.75" customHeight="1">
      <c r="A39" s="154" t="s">
        <v>219</v>
      </c>
      <c r="B39" s="182">
        <f>SUM(D39,Y39)</f>
        <v>15108</v>
      </c>
      <c r="C39" s="312">
        <f>B39*1000000/(365*'イ 排出 総括表'!U38)</f>
        <v>615.7383755845143</v>
      </c>
      <c r="D39" s="177">
        <f t="shared" si="8"/>
        <v>15108</v>
      </c>
      <c r="E39" s="183">
        <f t="shared" si="9"/>
        <v>10995</v>
      </c>
      <c r="F39" s="176">
        <v>0</v>
      </c>
      <c r="G39" s="302">
        <v>10995</v>
      </c>
      <c r="H39" s="176">
        <v>0</v>
      </c>
      <c r="I39" s="176">
        <f t="shared" si="10"/>
        <v>1026</v>
      </c>
      <c r="J39" s="176">
        <v>0</v>
      </c>
      <c r="K39" s="302">
        <v>1026</v>
      </c>
      <c r="L39" s="176">
        <v>0</v>
      </c>
      <c r="M39" s="176">
        <f t="shared" si="11"/>
        <v>1969</v>
      </c>
      <c r="N39" s="176">
        <v>0</v>
      </c>
      <c r="O39" s="302">
        <v>1969</v>
      </c>
      <c r="P39" s="176">
        <v>0</v>
      </c>
      <c r="Q39" s="176">
        <f t="shared" si="12"/>
        <v>901</v>
      </c>
      <c r="R39" s="176">
        <v>0</v>
      </c>
      <c r="S39" s="302">
        <v>901</v>
      </c>
      <c r="T39" s="176">
        <v>0</v>
      </c>
      <c r="U39" s="176">
        <f t="shared" si="13"/>
        <v>217</v>
      </c>
      <c r="V39" s="176">
        <v>0</v>
      </c>
      <c r="W39" s="302">
        <v>217</v>
      </c>
      <c r="X39" s="244">
        <v>0</v>
      </c>
      <c r="Y39" s="177">
        <f t="shared" si="14"/>
        <v>0</v>
      </c>
      <c r="Z39" s="198">
        <v>0</v>
      </c>
      <c r="AA39" s="198">
        <v>0</v>
      </c>
      <c r="AB39" s="198">
        <v>0</v>
      </c>
      <c r="AC39" s="198">
        <v>0</v>
      </c>
      <c r="AD39" s="198">
        <v>0</v>
      </c>
      <c r="AE39" s="312">
        <v>0</v>
      </c>
    </row>
    <row r="40" spans="1:31" s="61" customFormat="1" ht="27.75" customHeight="1">
      <c r="A40" s="154" t="s">
        <v>220</v>
      </c>
      <c r="B40" s="182">
        <f>SUM(D40,Y40)</f>
        <v>20920</v>
      </c>
      <c r="C40" s="312">
        <f>B40*1000000/(365*'イ 排出 総括表'!U39)</f>
        <v>701.5308261095555</v>
      </c>
      <c r="D40" s="177">
        <f t="shared" si="8"/>
        <v>20920</v>
      </c>
      <c r="E40" s="183">
        <f t="shared" si="9"/>
        <v>15018</v>
      </c>
      <c r="F40" s="176">
        <v>2313</v>
      </c>
      <c r="G40" s="302">
        <v>12705</v>
      </c>
      <c r="H40" s="176">
        <v>0</v>
      </c>
      <c r="I40" s="176">
        <f t="shared" si="10"/>
        <v>1368</v>
      </c>
      <c r="J40" s="176">
        <v>415</v>
      </c>
      <c r="K40" s="302">
        <v>953</v>
      </c>
      <c r="L40" s="176">
        <v>0</v>
      </c>
      <c r="M40" s="176">
        <f t="shared" si="11"/>
        <v>4333</v>
      </c>
      <c r="N40" s="176">
        <v>0</v>
      </c>
      <c r="O40" s="302">
        <v>4333</v>
      </c>
      <c r="P40" s="176">
        <v>0</v>
      </c>
      <c r="Q40" s="176">
        <f t="shared" si="12"/>
        <v>15</v>
      </c>
      <c r="R40" s="176">
        <v>15</v>
      </c>
      <c r="S40" s="302">
        <v>0</v>
      </c>
      <c r="T40" s="176">
        <v>0</v>
      </c>
      <c r="U40" s="176">
        <f t="shared" si="13"/>
        <v>186</v>
      </c>
      <c r="V40" s="176">
        <v>186</v>
      </c>
      <c r="W40" s="302">
        <v>0</v>
      </c>
      <c r="X40" s="244">
        <v>0</v>
      </c>
      <c r="Y40" s="177">
        <f t="shared" si="14"/>
        <v>0</v>
      </c>
      <c r="Z40" s="198">
        <v>0</v>
      </c>
      <c r="AA40" s="198">
        <v>0</v>
      </c>
      <c r="AB40" s="198">
        <v>0</v>
      </c>
      <c r="AC40" s="198">
        <v>0</v>
      </c>
      <c r="AD40" s="198">
        <v>0</v>
      </c>
      <c r="AE40" s="312">
        <v>0</v>
      </c>
    </row>
    <row r="41" spans="1:31" s="61" customFormat="1" ht="27.75" customHeight="1">
      <c r="A41" s="152" t="s">
        <v>171</v>
      </c>
      <c r="B41" s="194">
        <f>SUM(D41,Y41)</f>
        <v>9762</v>
      </c>
      <c r="C41" s="313">
        <f>B41*1000000/(365*'イ 排出 総括表'!U40)</f>
        <v>602.2609772890482</v>
      </c>
      <c r="D41" s="195">
        <f t="shared" si="8"/>
        <v>9557</v>
      </c>
      <c r="E41" s="186">
        <f t="shared" si="9"/>
        <v>7922</v>
      </c>
      <c r="F41" s="196">
        <v>0</v>
      </c>
      <c r="G41" s="303">
        <v>7922</v>
      </c>
      <c r="H41" s="196">
        <v>0</v>
      </c>
      <c r="I41" s="196">
        <f t="shared" si="10"/>
        <v>372</v>
      </c>
      <c r="J41" s="196">
        <v>0</v>
      </c>
      <c r="K41" s="303">
        <v>372</v>
      </c>
      <c r="L41" s="196">
        <v>0</v>
      </c>
      <c r="M41" s="196">
        <f t="shared" si="11"/>
        <v>999</v>
      </c>
      <c r="N41" s="196">
        <v>0</v>
      </c>
      <c r="O41" s="303">
        <v>999</v>
      </c>
      <c r="P41" s="196">
        <v>0</v>
      </c>
      <c r="Q41" s="196">
        <f t="shared" si="12"/>
        <v>0</v>
      </c>
      <c r="R41" s="196">
        <v>0</v>
      </c>
      <c r="S41" s="303">
        <v>0</v>
      </c>
      <c r="T41" s="196">
        <v>0</v>
      </c>
      <c r="U41" s="196">
        <f t="shared" si="13"/>
        <v>264</v>
      </c>
      <c r="V41" s="196">
        <v>0</v>
      </c>
      <c r="W41" s="303">
        <v>264</v>
      </c>
      <c r="X41" s="318">
        <v>0</v>
      </c>
      <c r="Y41" s="195">
        <f t="shared" si="14"/>
        <v>205</v>
      </c>
      <c r="Z41" s="311">
        <v>0</v>
      </c>
      <c r="AA41" s="311">
        <v>139</v>
      </c>
      <c r="AB41" s="311">
        <v>20</v>
      </c>
      <c r="AC41" s="311">
        <v>0</v>
      </c>
      <c r="AD41" s="311"/>
      <c r="AE41" s="313">
        <v>46</v>
      </c>
    </row>
    <row r="42" spans="1:31" s="61" customFormat="1" ht="27.75" customHeight="1">
      <c r="A42" s="154" t="s">
        <v>275</v>
      </c>
      <c r="B42" s="182">
        <f aca="true" t="shared" si="15" ref="B42:B63">SUM(D42,Y42)</f>
        <v>14067</v>
      </c>
      <c r="C42" s="312">
        <f>B42*1000000/(365*'イ 排出 総括表'!U41)</f>
        <v>664.4894916704988</v>
      </c>
      <c r="D42" s="190">
        <f t="shared" si="8"/>
        <v>13436</v>
      </c>
      <c r="E42" s="183">
        <f t="shared" si="9"/>
        <v>9947</v>
      </c>
      <c r="F42" s="176">
        <v>0</v>
      </c>
      <c r="G42" s="302">
        <v>9947</v>
      </c>
      <c r="H42" s="176">
        <v>0</v>
      </c>
      <c r="I42" s="176">
        <f t="shared" si="10"/>
        <v>931</v>
      </c>
      <c r="J42" s="176">
        <v>20</v>
      </c>
      <c r="K42" s="302">
        <v>911</v>
      </c>
      <c r="L42" s="176">
        <v>0</v>
      </c>
      <c r="M42" s="176">
        <f t="shared" si="11"/>
        <v>2462</v>
      </c>
      <c r="N42" s="176">
        <v>12</v>
      </c>
      <c r="O42" s="302">
        <v>2450</v>
      </c>
      <c r="P42" s="176">
        <v>0</v>
      </c>
      <c r="Q42" s="176">
        <f t="shared" si="12"/>
        <v>18</v>
      </c>
      <c r="R42" s="176">
        <v>18</v>
      </c>
      <c r="S42" s="302">
        <v>0</v>
      </c>
      <c r="T42" s="176">
        <v>0</v>
      </c>
      <c r="U42" s="176">
        <f t="shared" si="13"/>
        <v>78</v>
      </c>
      <c r="V42" s="176">
        <v>0</v>
      </c>
      <c r="W42" s="302">
        <v>78</v>
      </c>
      <c r="X42" s="244">
        <v>0</v>
      </c>
      <c r="Y42" s="177">
        <f t="shared" si="14"/>
        <v>631</v>
      </c>
      <c r="Z42" s="198">
        <v>0</v>
      </c>
      <c r="AA42" s="198">
        <v>100</v>
      </c>
      <c r="AB42" s="198">
        <v>10</v>
      </c>
      <c r="AC42" s="198">
        <v>0</v>
      </c>
      <c r="AD42" s="198"/>
      <c r="AE42" s="312">
        <v>521</v>
      </c>
    </row>
    <row r="43" spans="1:31" s="61" customFormat="1" ht="27.75" customHeight="1">
      <c r="A43" s="154" t="s">
        <v>276</v>
      </c>
      <c r="B43" s="182">
        <f aca="true" t="shared" si="16" ref="B43:B48">SUM(D43,Y43)</f>
        <v>20145</v>
      </c>
      <c r="C43" s="312">
        <f>B43*1000000/(365*'イ 排出 総括表'!U42)</f>
        <v>626.7875852809926</v>
      </c>
      <c r="D43" s="177">
        <f aca="true" t="shared" si="17" ref="D43:D48">SUM(E43,I43,M43,Q43,U43)</f>
        <v>20119</v>
      </c>
      <c r="E43" s="183">
        <f aca="true" t="shared" si="18" ref="E43:E63">SUM(F43:H43)</f>
        <v>14520</v>
      </c>
      <c r="F43" s="176">
        <v>0</v>
      </c>
      <c r="G43" s="302">
        <v>14520</v>
      </c>
      <c r="H43" s="176">
        <v>0</v>
      </c>
      <c r="I43" s="176">
        <f aca="true" t="shared" si="19" ref="I43:I63">SUM(J43:L43)</f>
        <v>1721</v>
      </c>
      <c r="J43" s="176">
        <v>0</v>
      </c>
      <c r="K43" s="302">
        <v>1721</v>
      </c>
      <c r="L43" s="176">
        <v>0</v>
      </c>
      <c r="M43" s="176">
        <f t="shared" si="11"/>
        <v>1847</v>
      </c>
      <c r="N43" s="176">
        <v>0</v>
      </c>
      <c r="O43" s="302">
        <v>1847</v>
      </c>
      <c r="P43" s="176">
        <v>0</v>
      </c>
      <c r="Q43" s="176">
        <f aca="true" t="shared" si="20" ref="Q43:Q63">SUM(R43:T43)</f>
        <v>1584</v>
      </c>
      <c r="R43" s="176">
        <v>0</v>
      </c>
      <c r="S43" s="302">
        <v>1584</v>
      </c>
      <c r="T43" s="176">
        <v>0</v>
      </c>
      <c r="U43" s="176">
        <f aca="true" t="shared" si="21" ref="U43:U63">SUM(V43:X43)</f>
        <v>447</v>
      </c>
      <c r="V43" s="176">
        <v>0</v>
      </c>
      <c r="W43" s="302">
        <v>447</v>
      </c>
      <c r="X43" s="244">
        <v>0</v>
      </c>
      <c r="Y43" s="177">
        <f aca="true" t="shared" si="22" ref="Y43:Y63">SUM(Z43:AE43)</f>
        <v>26</v>
      </c>
      <c r="Z43" s="198">
        <v>0</v>
      </c>
      <c r="AA43" s="198">
        <v>16</v>
      </c>
      <c r="AB43" s="198">
        <v>1</v>
      </c>
      <c r="AC43" s="198">
        <v>0</v>
      </c>
      <c r="AD43" s="198">
        <v>1</v>
      </c>
      <c r="AE43" s="312">
        <v>8</v>
      </c>
    </row>
    <row r="44" spans="1:31" s="61" customFormat="1" ht="27.75" customHeight="1">
      <c r="A44" s="154" t="s">
        <v>221</v>
      </c>
      <c r="B44" s="182">
        <f t="shared" si="16"/>
        <v>10126</v>
      </c>
      <c r="C44" s="312">
        <f>B44*1000000/(365*'イ 排出 総括表'!U43)</f>
        <v>664.5538675184367</v>
      </c>
      <c r="D44" s="177">
        <f t="shared" si="17"/>
        <v>9565</v>
      </c>
      <c r="E44" s="183">
        <f t="shared" si="18"/>
        <v>7728</v>
      </c>
      <c r="F44" s="176">
        <v>0</v>
      </c>
      <c r="G44" s="302">
        <v>7728</v>
      </c>
      <c r="H44" s="176">
        <v>0</v>
      </c>
      <c r="I44" s="176">
        <f t="shared" si="19"/>
        <v>877</v>
      </c>
      <c r="J44" s="176">
        <v>0</v>
      </c>
      <c r="K44" s="302">
        <v>877</v>
      </c>
      <c r="L44" s="176">
        <v>0</v>
      </c>
      <c r="M44" s="176">
        <f aca="true" t="shared" si="23" ref="M44:M63">SUM(N44:P44)</f>
        <v>890</v>
      </c>
      <c r="N44" s="176">
        <v>0</v>
      </c>
      <c r="O44" s="302">
        <v>890</v>
      </c>
      <c r="P44" s="176">
        <v>0</v>
      </c>
      <c r="Q44" s="176">
        <f t="shared" si="20"/>
        <v>0</v>
      </c>
      <c r="R44" s="176">
        <v>0</v>
      </c>
      <c r="S44" s="302"/>
      <c r="T44" s="176">
        <v>0</v>
      </c>
      <c r="U44" s="176">
        <f t="shared" si="21"/>
        <v>70</v>
      </c>
      <c r="V44" s="176">
        <v>0</v>
      </c>
      <c r="W44" s="302">
        <v>70</v>
      </c>
      <c r="X44" s="244">
        <v>0</v>
      </c>
      <c r="Y44" s="177">
        <f t="shared" si="22"/>
        <v>561</v>
      </c>
      <c r="Z44" s="198">
        <v>0</v>
      </c>
      <c r="AA44" s="198">
        <v>124</v>
      </c>
      <c r="AB44" s="198">
        <v>0</v>
      </c>
      <c r="AC44" s="198">
        <v>0</v>
      </c>
      <c r="AD44" s="198">
        <v>0</v>
      </c>
      <c r="AE44" s="312">
        <v>437</v>
      </c>
    </row>
    <row r="45" spans="1:31" s="61" customFormat="1" ht="27.75" customHeight="1">
      <c r="A45" s="154" t="s">
        <v>222</v>
      </c>
      <c r="B45" s="182">
        <f t="shared" si="16"/>
        <v>12106</v>
      </c>
      <c r="C45" s="312">
        <f>B45*1000000/(365*'イ 排出 総括表'!U44)</f>
        <v>663.7141456750027</v>
      </c>
      <c r="D45" s="177">
        <f t="shared" si="17"/>
        <v>12106</v>
      </c>
      <c r="E45" s="183">
        <f t="shared" si="18"/>
        <v>8436</v>
      </c>
      <c r="F45" s="176">
        <v>507</v>
      </c>
      <c r="G45" s="302">
        <v>7929</v>
      </c>
      <c r="H45" s="176"/>
      <c r="I45" s="176">
        <f t="shared" si="19"/>
        <v>681</v>
      </c>
      <c r="J45" s="176">
        <v>681</v>
      </c>
      <c r="K45" s="302">
        <v>0</v>
      </c>
      <c r="L45" s="176">
        <v>0</v>
      </c>
      <c r="M45" s="176">
        <f t="shared" si="23"/>
        <v>2591</v>
      </c>
      <c r="N45" s="176">
        <v>1337</v>
      </c>
      <c r="O45" s="302">
        <v>1254</v>
      </c>
      <c r="P45" s="176">
        <v>0</v>
      </c>
      <c r="Q45" s="176">
        <f t="shared" si="20"/>
        <v>13</v>
      </c>
      <c r="R45" s="176">
        <v>13</v>
      </c>
      <c r="S45" s="302">
        <v>0</v>
      </c>
      <c r="T45" s="176">
        <v>0</v>
      </c>
      <c r="U45" s="176">
        <f t="shared" si="21"/>
        <v>385</v>
      </c>
      <c r="V45" s="176">
        <v>292</v>
      </c>
      <c r="W45" s="302">
        <v>93</v>
      </c>
      <c r="X45" s="244">
        <v>0</v>
      </c>
      <c r="Y45" s="177">
        <f t="shared" si="22"/>
        <v>0</v>
      </c>
      <c r="Z45" s="198">
        <v>0</v>
      </c>
      <c r="AA45" s="198">
        <v>0</v>
      </c>
      <c r="AB45" s="198">
        <v>0</v>
      </c>
      <c r="AC45" s="198">
        <v>0</v>
      </c>
      <c r="AD45" s="198">
        <v>0</v>
      </c>
      <c r="AE45" s="312">
        <v>0</v>
      </c>
    </row>
    <row r="46" spans="1:31" s="61" customFormat="1" ht="27.75" customHeight="1">
      <c r="A46" s="152" t="s">
        <v>223</v>
      </c>
      <c r="B46" s="194">
        <f t="shared" si="16"/>
        <v>3734</v>
      </c>
      <c r="C46" s="313">
        <f>B46*1000000/(365*'イ 排出 総括表'!U45)</f>
        <v>706.7452149430998</v>
      </c>
      <c r="D46" s="195">
        <f t="shared" si="17"/>
        <v>3734</v>
      </c>
      <c r="E46" s="186">
        <f t="shared" si="18"/>
        <v>2927</v>
      </c>
      <c r="F46" s="196">
        <v>0</v>
      </c>
      <c r="G46" s="303">
        <v>2927</v>
      </c>
      <c r="H46" s="196">
        <v>0</v>
      </c>
      <c r="I46" s="196">
        <f t="shared" si="19"/>
        <v>315</v>
      </c>
      <c r="J46" s="196">
        <v>0</v>
      </c>
      <c r="K46" s="303">
        <v>315</v>
      </c>
      <c r="L46" s="196">
        <v>0</v>
      </c>
      <c r="M46" s="196">
        <f t="shared" si="23"/>
        <v>456</v>
      </c>
      <c r="N46" s="196">
        <v>0</v>
      </c>
      <c r="O46" s="303">
        <v>456</v>
      </c>
      <c r="P46" s="196">
        <v>0</v>
      </c>
      <c r="Q46" s="196">
        <f t="shared" si="20"/>
        <v>3</v>
      </c>
      <c r="R46" s="196">
        <v>3</v>
      </c>
      <c r="S46" s="303">
        <v>0</v>
      </c>
      <c r="T46" s="196">
        <v>0</v>
      </c>
      <c r="U46" s="196">
        <f t="shared" si="21"/>
        <v>33</v>
      </c>
      <c r="V46" s="196">
        <v>0</v>
      </c>
      <c r="W46" s="303">
        <v>33</v>
      </c>
      <c r="X46" s="318">
        <v>0</v>
      </c>
      <c r="Y46" s="195">
        <f t="shared" si="22"/>
        <v>0</v>
      </c>
      <c r="Z46" s="311">
        <v>0</v>
      </c>
      <c r="AA46" s="311">
        <v>0</v>
      </c>
      <c r="AB46" s="311">
        <v>0</v>
      </c>
      <c r="AC46" s="311">
        <v>0</v>
      </c>
      <c r="AD46" s="311">
        <v>0</v>
      </c>
      <c r="AE46" s="313">
        <v>0</v>
      </c>
    </row>
    <row r="47" spans="1:31" s="61" customFormat="1" ht="27.75" customHeight="1">
      <c r="A47" s="154" t="s">
        <v>224</v>
      </c>
      <c r="B47" s="189">
        <f t="shared" si="16"/>
        <v>5716</v>
      </c>
      <c r="C47" s="315">
        <f>B47*1000000/(365*'イ 排出 総括表'!U46)</f>
        <v>680.7334915280478</v>
      </c>
      <c r="D47" s="190">
        <f t="shared" si="17"/>
        <v>5716</v>
      </c>
      <c r="E47" s="191">
        <f t="shared" si="18"/>
        <v>3355</v>
      </c>
      <c r="F47" s="197">
        <v>0</v>
      </c>
      <c r="G47" s="304">
        <v>3355</v>
      </c>
      <c r="H47" s="197">
        <v>0</v>
      </c>
      <c r="I47" s="197">
        <f t="shared" si="19"/>
        <v>52</v>
      </c>
      <c r="J47" s="197">
        <v>0</v>
      </c>
      <c r="K47" s="304">
        <v>52</v>
      </c>
      <c r="L47" s="197">
        <v>0</v>
      </c>
      <c r="M47" s="176">
        <f t="shared" si="23"/>
        <v>2072</v>
      </c>
      <c r="N47" s="197">
        <v>0</v>
      </c>
      <c r="O47" s="304">
        <v>2072</v>
      </c>
      <c r="P47" s="197">
        <v>0</v>
      </c>
      <c r="Q47" s="176">
        <f t="shared" si="20"/>
        <v>10</v>
      </c>
      <c r="R47" s="176">
        <v>0</v>
      </c>
      <c r="S47" s="302">
        <v>10</v>
      </c>
      <c r="T47" s="176">
        <v>0</v>
      </c>
      <c r="U47" s="176">
        <f t="shared" si="21"/>
        <v>227</v>
      </c>
      <c r="V47" s="176">
        <v>0</v>
      </c>
      <c r="W47" s="302">
        <v>227</v>
      </c>
      <c r="X47" s="244">
        <v>0</v>
      </c>
      <c r="Y47" s="177">
        <f t="shared" si="22"/>
        <v>0</v>
      </c>
      <c r="Z47" s="198">
        <v>0</v>
      </c>
      <c r="AA47" s="198">
        <v>0</v>
      </c>
      <c r="AB47" s="198">
        <v>0</v>
      </c>
      <c r="AC47" s="198">
        <v>0</v>
      </c>
      <c r="AD47" s="198">
        <v>0</v>
      </c>
      <c r="AE47" s="312">
        <v>0</v>
      </c>
    </row>
    <row r="48" spans="1:31" s="61" customFormat="1" ht="27.75" customHeight="1">
      <c r="A48" s="83" t="s">
        <v>225</v>
      </c>
      <c r="B48" s="182">
        <f t="shared" si="16"/>
        <v>6799</v>
      </c>
      <c r="C48" s="312">
        <f>B48*1000000/(365*'イ 排出 総括表'!U47)</f>
        <v>547.3494728571336</v>
      </c>
      <c r="D48" s="177">
        <f t="shared" si="17"/>
        <v>6799</v>
      </c>
      <c r="E48" s="183">
        <f t="shared" si="18"/>
        <v>5517</v>
      </c>
      <c r="F48" s="176">
        <v>0</v>
      </c>
      <c r="G48" s="302">
        <v>5517</v>
      </c>
      <c r="H48" s="176">
        <v>0</v>
      </c>
      <c r="I48" s="176">
        <f t="shared" si="19"/>
        <v>83</v>
      </c>
      <c r="J48" s="176">
        <v>0</v>
      </c>
      <c r="K48" s="302">
        <v>83</v>
      </c>
      <c r="L48" s="176">
        <v>0</v>
      </c>
      <c r="M48" s="176">
        <f t="shared" si="23"/>
        <v>981</v>
      </c>
      <c r="N48" s="176">
        <v>0</v>
      </c>
      <c r="O48" s="302">
        <v>981</v>
      </c>
      <c r="P48" s="176">
        <v>0</v>
      </c>
      <c r="Q48" s="176">
        <f t="shared" si="20"/>
        <v>8</v>
      </c>
      <c r="R48" s="176">
        <v>0</v>
      </c>
      <c r="S48" s="302">
        <v>8</v>
      </c>
      <c r="T48" s="176">
        <v>0</v>
      </c>
      <c r="U48" s="176">
        <f t="shared" si="21"/>
        <v>210</v>
      </c>
      <c r="V48" s="176">
        <v>0</v>
      </c>
      <c r="W48" s="302">
        <v>210</v>
      </c>
      <c r="X48" s="244">
        <v>0</v>
      </c>
      <c r="Y48" s="177">
        <f t="shared" si="22"/>
        <v>0</v>
      </c>
      <c r="Z48" s="198">
        <v>0</v>
      </c>
      <c r="AA48" s="198">
        <v>0</v>
      </c>
      <c r="AB48" s="198">
        <v>0</v>
      </c>
      <c r="AC48" s="198">
        <v>0</v>
      </c>
      <c r="AD48" s="198">
        <v>0</v>
      </c>
      <c r="AE48" s="312"/>
    </row>
    <row r="49" spans="1:31" s="61" customFormat="1" ht="27.75" customHeight="1">
      <c r="A49" s="83" t="s">
        <v>226</v>
      </c>
      <c r="B49" s="182">
        <f t="shared" si="15"/>
        <v>6421</v>
      </c>
      <c r="C49" s="312">
        <f>B49*1000000/(365*'イ 排出 総括表'!U48)</f>
        <v>586.9796737376646</v>
      </c>
      <c r="D49" s="177">
        <f aca="true" t="shared" si="24" ref="D49:D63">SUM(E49,I49,M49,Q49,U49)</f>
        <v>6407</v>
      </c>
      <c r="E49" s="183">
        <f t="shared" si="18"/>
        <v>4613</v>
      </c>
      <c r="F49" s="176">
        <v>0</v>
      </c>
      <c r="G49" s="302">
        <v>4613</v>
      </c>
      <c r="H49" s="176">
        <v>0</v>
      </c>
      <c r="I49" s="176">
        <f t="shared" si="19"/>
        <v>330</v>
      </c>
      <c r="J49" s="176">
        <v>0</v>
      </c>
      <c r="K49" s="302">
        <v>330</v>
      </c>
      <c r="L49" s="176">
        <v>0</v>
      </c>
      <c r="M49" s="176">
        <f t="shared" si="23"/>
        <v>708</v>
      </c>
      <c r="N49" s="176">
        <v>0</v>
      </c>
      <c r="O49" s="302">
        <v>708</v>
      </c>
      <c r="P49" s="176">
        <v>0</v>
      </c>
      <c r="Q49" s="176">
        <f t="shared" si="20"/>
        <v>666</v>
      </c>
      <c r="R49" s="176">
        <v>0</v>
      </c>
      <c r="S49" s="302">
        <v>666</v>
      </c>
      <c r="T49" s="176">
        <v>0</v>
      </c>
      <c r="U49" s="176">
        <f t="shared" si="21"/>
        <v>90</v>
      </c>
      <c r="V49" s="176">
        <v>0</v>
      </c>
      <c r="W49" s="302">
        <v>90</v>
      </c>
      <c r="X49" s="244">
        <v>0</v>
      </c>
      <c r="Y49" s="177">
        <f t="shared" si="22"/>
        <v>14</v>
      </c>
      <c r="Z49" s="198">
        <v>0</v>
      </c>
      <c r="AA49" s="198">
        <v>14</v>
      </c>
      <c r="AB49" s="198">
        <v>0</v>
      </c>
      <c r="AC49" s="198">
        <v>0</v>
      </c>
      <c r="AD49" s="198">
        <v>0</v>
      </c>
      <c r="AE49" s="312">
        <v>0</v>
      </c>
    </row>
    <row r="50" spans="1:31" s="61" customFormat="1" ht="27.75" customHeight="1">
      <c r="A50" s="154" t="s">
        <v>227</v>
      </c>
      <c r="B50" s="182">
        <f t="shared" si="15"/>
        <v>9946</v>
      </c>
      <c r="C50" s="312">
        <f>B50*1000000/(365*'イ 排出 総括表'!U49)</f>
        <v>726.0482019795143</v>
      </c>
      <c r="D50" s="177">
        <f t="shared" si="24"/>
        <v>9789</v>
      </c>
      <c r="E50" s="183">
        <f t="shared" si="18"/>
        <v>7554</v>
      </c>
      <c r="F50" s="176">
        <v>0</v>
      </c>
      <c r="G50" s="302">
        <v>7554</v>
      </c>
      <c r="H50" s="176">
        <v>0</v>
      </c>
      <c r="I50" s="176">
        <f t="shared" si="19"/>
        <v>513</v>
      </c>
      <c r="J50" s="176">
        <v>0</v>
      </c>
      <c r="K50" s="302">
        <v>513</v>
      </c>
      <c r="L50" s="176">
        <v>0</v>
      </c>
      <c r="M50" s="176">
        <f t="shared" si="23"/>
        <v>1527</v>
      </c>
      <c r="N50" s="176">
        <v>0</v>
      </c>
      <c r="O50" s="302">
        <v>1527</v>
      </c>
      <c r="P50" s="176">
        <v>0</v>
      </c>
      <c r="Q50" s="176">
        <f t="shared" si="20"/>
        <v>0</v>
      </c>
      <c r="R50" s="176">
        <v>0</v>
      </c>
      <c r="S50" s="302">
        <v>0</v>
      </c>
      <c r="T50" s="176">
        <v>0</v>
      </c>
      <c r="U50" s="176">
        <f t="shared" si="21"/>
        <v>195</v>
      </c>
      <c r="V50" s="176">
        <v>0</v>
      </c>
      <c r="W50" s="302">
        <v>195</v>
      </c>
      <c r="X50" s="244">
        <v>0</v>
      </c>
      <c r="Y50" s="177">
        <f t="shared" si="22"/>
        <v>157</v>
      </c>
      <c r="Z50" s="198">
        <v>0</v>
      </c>
      <c r="AA50" s="198">
        <v>157</v>
      </c>
      <c r="AB50" s="198">
        <v>0</v>
      </c>
      <c r="AC50" s="198">
        <v>0</v>
      </c>
      <c r="AD50" s="198">
        <v>0</v>
      </c>
      <c r="AE50" s="312">
        <v>0</v>
      </c>
    </row>
    <row r="51" spans="1:31" s="61" customFormat="1" ht="27.75" customHeight="1">
      <c r="A51" s="152" t="s">
        <v>228</v>
      </c>
      <c r="B51" s="194">
        <f t="shared" si="15"/>
        <v>2474</v>
      </c>
      <c r="C51" s="313">
        <f>B51*1000000/(365*'イ 排出 総括表'!U50)</f>
        <v>1452.9651000601975</v>
      </c>
      <c r="D51" s="195">
        <f t="shared" si="24"/>
        <v>1690</v>
      </c>
      <c r="E51" s="186">
        <f t="shared" si="18"/>
        <v>950</v>
      </c>
      <c r="F51" s="196">
        <v>0</v>
      </c>
      <c r="G51" s="303">
        <v>950</v>
      </c>
      <c r="H51" s="196">
        <v>0</v>
      </c>
      <c r="I51" s="196">
        <f t="shared" si="19"/>
        <v>200</v>
      </c>
      <c r="J51" s="196">
        <v>0</v>
      </c>
      <c r="K51" s="303">
        <v>200</v>
      </c>
      <c r="L51" s="196">
        <v>0</v>
      </c>
      <c r="M51" s="196">
        <f t="shared" si="23"/>
        <v>30</v>
      </c>
      <c r="N51" s="196">
        <v>0</v>
      </c>
      <c r="O51" s="303">
        <v>30</v>
      </c>
      <c r="P51" s="176">
        <v>0</v>
      </c>
      <c r="Q51" s="196">
        <f t="shared" si="20"/>
        <v>200</v>
      </c>
      <c r="R51" s="196">
        <v>0</v>
      </c>
      <c r="S51" s="303">
        <v>200</v>
      </c>
      <c r="T51" s="196">
        <v>0</v>
      </c>
      <c r="U51" s="196">
        <f t="shared" si="21"/>
        <v>310</v>
      </c>
      <c r="V51" s="196">
        <v>0</v>
      </c>
      <c r="W51" s="303">
        <v>310</v>
      </c>
      <c r="X51" s="318">
        <v>0</v>
      </c>
      <c r="Y51" s="195">
        <f t="shared" si="22"/>
        <v>784</v>
      </c>
      <c r="Z51" s="311">
        <v>0</v>
      </c>
      <c r="AA51" s="311">
        <v>0</v>
      </c>
      <c r="AB51" s="311">
        <v>0</v>
      </c>
      <c r="AC51" s="311">
        <v>784</v>
      </c>
      <c r="AD51" s="311">
        <v>0</v>
      </c>
      <c r="AE51" s="313">
        <v>0</v>
      </c>
    </row>
    <row r="52" spans="1:31" s="61" customFormat="1" ht="27.75" customHeight="1">
      <c r="A52" s="83" t="s">
        <v>229</v>
      </c>
      <c r="B52" s="182">
        <f t="shared" si="15"/>
        <v>7205</v>
      </c>
      <c r="C52" s="312">
        <f>B52*1000000/(365*'イ 排出 総括表'!U51)</f>
        <v>761.2404468550098</v>
      </c>
      <c r="D52" s="177">
        <f t="shared" si="24"/>
        <v>7117</v>
      </c>
      <c r="E52" s="183">
        <f t="shared" si="18"/>
        <v>5014</v>
      </c>
      <c r="F52" s="176">
        <v>0</v>
      </c>
      <c r="G52" s="302">
        <v>5014</v>
      </c>
      <c r="H52" s="176">
        <v>0</v>
      </c>
      <c r="I52" s="176">
        <f t="shared" si="19"/>
        <v>237</v>
      </c>
      <c r="J52" s="176">
        <v>0</v>
      </c>
      <c r="K52" s="302">
        <v>236</v>
      </c>
      <c r="L52" s="176">
        <v>1</v>
      </c>
      <c r="M52" s="176">
        <f t="shared" si="23"/>
        <v>1684</v>
      </c>
      <c r="N52" s="176">
        <v>0</v>
      </c>
      <c r="O52" s="302">
        <v>1684</v>
      </c>
      <c r="P52" s="197">
        <v>0</v>
      </c>
      <c r="Q52" s="176">
        <f t="shared" si="20"/>
        <v>10</v>
      </c>
      <c r="R52" s="176">
        <v>0</v>
      </c>
      <c r="S52" s="302">
        <v>10</v>
      </c>
      <c r="T52" s="176">
        <v>0</v>
      </c>
      <c r="U52" s="176">
        <f t="shared" si="21"/>
        <v>172</v>
      </c>
      <c r="V52" s="176">
        <v>0</v>
      </c>
      <c r="W52" s="302">
        <v>172</v>
      </c>
      <c r="X52" s="244">
        <v>0</v>
      </c>
      <c r="Y52" s="177">
        <f t="shared" si="22"/>
        <v>88</v>
      </c>
      <c r="Z52" s="198">
        <v>0</v>
      </c>
      <c r="AA52" s="198">
        <v>27</v>
      </c>
      <c r="AB52" s="198">
        <v>5</v>
      </c>
      <c r="AC52" s="198">
        <v>0</v>
      </c>
      <c r="AD52" s="198">
        <v>56</v>
      </c>
      <c r="AE52" s="312">
        <v>0</v>
      </c>
    </row>
    <row r="53" spans="1:31" s="61" customFormat="1" ht="27.75" customHeight="1">
      <c r="A53" s="154" t="s">
        <v>230</v>
      </c>
      <c r="B53" s="182">
        <f t="shared" si="15"/>
        <v>12932</v>
      </c>
      <c r="C53" s="312">
        <f>B53*1000000/(365*'イ 排出 総括表'!U52)</f>
        <v>705.8921140082358</v>
      </c>
      <c r="D53" s="177">
        <f t="shared" si="24"/>
        <v>12601</v>
      </c>
      <c r="E53" s="183">
        <f t="shared" si="18"/>
        <v>8996</v>
      </c>
      <c r="F53" s="176">
        <v>0</v>
      </c>
      <c r="G53" s="302">
        <v>8984</v>
      </c>
      <c r="H53" s="176">
        <v>12</v>
      </c>
      <c r="I53" s="176">
        <f t="shared" si="19"/>
        <v>324</v>
      </c>
      <c r="J53" s="176">
        <v>0</v>
      </c>
      <c r="K53" s="302">
        <v>321</v>
      </c>
      <c r="L53" s="176">
        <v>3</v>
      </c>
      <c r="M53" s="176">
        <f t="shared" si="23"/>
        <v>3255</v>
      </c>
      <c r="N53" s="176">
        <v>0</v>
      </c>
      <c r="O53" s="302">
        <v>3255</v>
      </c>
      <c r="P53" s="176">
        <v>0</v>
      </c>
      <c r="Q53" s="176">
        <f t="shared" si="20"/>
        <v>12</v>
      </c>
      <c r="R53" s="176">
        <v>0</v>
      </c>
      <c r="S53" s="302">
        <v>12</v>
      </c>
      <c r="T53" s="176">
        <v>0</v>
      </c>
      <c r="U53" s="176">
        <f t="shared" si="21"/>
        <v>14</v>
      </c>
      <c r="V53" s="176">
        <v>0</v>
      </c>
      <c r="W53" s="302">
        <v>14</v>
      </c>
      <c r="X53" s="244">
        <v>0</v>
      </c>
      <c r="Y53" s="177">
        <f t="shared" si="22"/>
        <v>331</v>
      </c>
      <c r="Z53" s="198">
        <v>0</v>
      </c>
      <c r="AA53" s="198">
        <v>274</v>
      </c>
      <c r="AB53" s="198">
        <v>57</v>
      </c>
      <c r="AC53" s="198">
        <v>0</v>
      </c>
      <c r="AD53" s="198">
        <v>0</v>
      </c>
      <c r="AE53" s="312">
        <v>0</v>
      </c>
    </row>
    <row r="54" spans="1:31" s="61" customFormat="1" ht="27.75" customHeight="1">
      <c r="A54" s="154" t="s">
        <v>231</v>
      </c>
      <c r="B54" s="182">
        <f t="shared" si="15"/>
        <v>6803</v>
      </c>
      <c r="C54" s="312">
        <f>B54*1000000/(365*'イ 排出 総括表'!U53)</f>
        <v>886.5275953378787</v>
      </c>
      <c r="D54" s="177">
        <f t="shared" si="24"/>
        <v>5337</v>
      </c>
      <c r="E54" s="183">
        <f t="shared" si="18"/>
        <v>4520</v>
      </c>
      <c r="F54" s="176">
        <v>0</v>
      </c>
      <c r="G54" s="302">
        <v>4520</v>
      </c>
      <c r="H54" s="176"/>
      <c r="I54" s="176">
        <f t="shared" si="19"/>
        <v>193</v>
      </c>
      <c r="J54" s="176">
        <v>0</v>
      </c>
      <c r="K54" s="302">
        <v>193</v>
      </c>
      <c r="L54" s="176">
        <v>0</v>
      </c>
      <c r="M54" s="176">
        <f t="shared" si="23"/>
        <v>493</v>
      </c>
      <c r="N54" s="176">
        <v>0</v>
      </c>
      <c r="O54" s="302">
        <v>493</v>
      </c>
      <c r="P54" s="176">
        <v>0</v>
      </c>
      <c r="Q54" s="176">
        <f t="shared" si="20"/>
        <v>0</v>
      </c>
      <c r="R54" s="176">
        <v>0</v>
      </c>
      <c r="S54" s="302">
        <v>0</v>
      </c>
      <c r="T54" s="176">
        <v>0</v>
      </c>
      <c r="U54" s="176">
        <f t="shared" si="21"/>
        <v>131</v>
      </c>
      <c r="V54" s="176">
        <v>0</v>
      </c>
      <c r="W54" s="302">
        <v>131</v>
      </c>
      <c r="X54" s="244">
        <v>0</v>
      </c>
      <c r="Y54" s="177">
        <f t="shared" si="22"/>
        <v>1466</v>
      </c>
      <c r="Z54" s="198">
        <v>0</v>
      </c>
      <c r="AA54" s="198">
        <v>268</v>
      </c>
      <c r="AB54" s="198">
        <v>292</v>
      </c>
      <c r="AC54" s="198">
        <v>197</v>
      </c>
      <c r="AD54" s="198">
        <v>0</v>
      </c>
      <c r="AE54" s="312">
        <v>709</v>
      </c>
    </row>
    <row r="55" spans="1:31" s="61" customFormat="1" ht="27.75" customHeight="1">
      <c r="A55" s="154" t="s">
        <v>232</v>
      </c>
      <c r="B55" s="182">
        <f t="shared" si="15"/>
        <v>6889</v>
      </c>
      <c r="C55" s="312">
        <f>B55*1000000/(365*'イ 排出 総括表'!U54)</f>
        <v>794.6935832732516</v>
      </c>
      <c r="D55" s="177">
        <f t="shared" si="24"/>
        <v>5281</v>
      </c>
      <c r="E55" s="183">
        <f t="shared" si="18"/>
        <v>4496</v>
      </c>
      <c r="F55" s="176">
        <v>0</v>
      </c>
      <c r="G55" s="302">
        <v>4496</v>
      </c>
      <c r="H55" s="176">
        <v>0</v>
      </c>
      <c r="I55" s="176">
        <f t="shared" si="19"/>
        <v>168</v>
      </c>
      <c r="J55" s="176">
        <v>0</v>
      </c>
      <c r="K55" s="302">
        <v>168</v>
      </c>
      <c r="L55" s="176">
        <v>0</v>
      </c>
      <c r="M55" s="176">
        <f t="shared" si="23"/>
        <v>587</v>
      </c>
      <c r="N55" s="176">
        <v>0</v>
      </c>
      <c r="O55" s="302">
        <v>587</v>
      </c>
      <c r="P55" s="176">
        <v>0</v>
      </c>
      <c r="Q55" s="176">
        <f t="shared" si="20"/>
        <v>0</v>
      </c>
      <c r="R55" s="176">
        <v>0</v>
      </c>
      <c r="S55" s="302">
        <v>0</v>
      </c>
      <c r="T55" s="176">
        <v>0</v>
      </c>
      <c r="U55" s="176">
        <f t="shared" si="21"/>
        <v>30</v>
      </c>
      <c r="V55" s="176">
        <v>0</v>
      </c>
      <c r="W55" s="302">
        <v>30</v>
      </c>
      <c r="X55" s="244">
        <v>0</v>
      </c>
      <c r="Y55" s="177">
        <f t="shared" si="22"/>
        <v>1608</v>
      </c>
      <c r="Z55" s="198">
        <v>0</v>
      </c>
      <c r="AA55" s="198">
        <v>335</v>
      </c>
      <c r="AB55" s="198">
        <v>125</v>
      </c>
      <c r="AC55" s="198">
        <v>255</v>
      </c>
      <c r="AD55" s="198">
        <v>0</v>
      </c>
      <c r="AE55" s="312">
        <v>893</v>
      </c>
    </row>
    <row r="56" spans="1:31" s="61" customFormat="1" ht="27.75" customHeight="1">
      <c r="A56" s="152" t="s">
        <v>233</v>
      </c>
      <c r="B56" s="194">
        <f t="shared" si="15"/>
        <v>12257</v>
      </c>
      <c r="C56" s="313">
        <f>B56*1000000/(365*'イ 排出 総括表'!U55)</f>
        <v>789.7467584912918</v>
      </c>
      <c r="D56" s="195">
        <f t="shared" si="24"/>
        <v>10661</v>
      </c>
      <c r="E56" s="186">
        <f t="shared" si="18"/>
        <v>7571</v>
      </c>
      <c r="F56" s="196">
        <v>0</v>
      </c>
      <c r="G56" s="303">
        <v>7571</v>
      </c>
      <c r="H56" s="196">
        <v>0</v>
      </c>
      <c r="I56" s="196">
        <f t="shared" si="19"/>
        <v>514</v>
      </c>
      <c r="J56" s="196">
        <v>0</v>
      </c>
      <c r="K56" s="303">
        <v>514</v>
      </c>
      <c r="L56" s="196">
        <v>0</v>
      </c>
      <c r="M56" s="196">
        <f t="shared" si="23"/>
        <v>2473</v>
      </c>
      <c r="N56" s="196">
        <v>0</v>
      </c>
      <c r="O56" s="303">
        <v>2473</v>
      </c>
      <c r="P56" s="196">
        <v>0</v>
      </c>
      <c r="Q56" s="196">
        <f t="shared" si="20"/>
        <v>0</v>
      </c>
      <c r="R56" s="196">
        <v>0</v>
      </c>
      <c r="S56" s="303">
        <v>0</v>
      </c>
      <c r="T56" s="196">
        <v>0</v>
      </c>
      <c r="U56" s="196">
        <f t="shared" si="21"/>
        <v>103</v>
      </c>
      <c r="V56" s="196">
        <v>0</v>
      </c>
      <c r="W56" s="303">
        <v>103</v>
      </c>
      <c r="X56" s="318">
        <v>0</v>
      </c>
      <c r="Y56" s="195">
        <f t="shared" si="22"/>
        <v>1596</v>
      </c>
      <c r="Z56" s="311">
        <v>0</v>
      </c>
      <c r="AA56" s="311">
        <v>924</v>
      </c>
      <c r="AB56" s="311">
        <v>672</v>
      </c>
      <c r="AC56" s="311">
        <v>0</v>
      </c>
      <c r="AD56" s="311">
        <v>0</v>
      </c>
      <c r="AE56" s="312"/>
    </row>
    <row r="57" spans="1:31" s="61" customFormat="1" ht="27.75" customHeight="1">
      <c r="A57" s="83" t="s">
        <v>234</v>
      </c>
      <c r="B57" s="182">
        <f t="shared" si="15"/>
        <v>6285</v>
      </c>
      <c r="C57" s="312">
        <f>B57*1000000/(365*'イ 排出 総括表'!U56)</f>
        <v>703.5702411617137</v>
      </c>
      <c r="D57" s="177">
        <f t="shared" si="24"/>
        <v>5434</v>
      </c>
      <c r="E57" s="183">
        <f t="shared" si="18"/>
        <v>4474</v>
      </c>
      <c r="F57" s="176">
        <v>0</v>
      </c>
      <c r="G57" s="302">
        <v>4474</v>
      </c>
      <c r="H57" s="176">
        <v>0</v>
      </c>
      <c r="I57" s="176">
        <f t="shared" si="19"/>
        <v>0</v>
      </c>
      <c r="J57" s="176">
        <v>0</v>
      </c>
      <c r="K57" s="302">
        <v>0</v>
      </c>
      <c r="L57" s="176">
        <v>0</v>
      </c>
      <c r="M57" s="176">
        <f t="shared" si="23"/>
        <v>943</v>
      </c>
      <c r="N57" s="176">
        <v>8</v>
      </c>
      <c r="O57" s="302">
        <v>935</v>
      </c>
      <c r="P57" s="176">
        <v>0</v>
      </c>
      <c r="Q57" s="176">
        <f t="shared" si="20"/>
        <v>12</v>
      </c>
      <c r="R57" s="176">
        <v>0</v>
      </c>
      <c r="S57" s="302">
        <v>12</v>
      </c>
      <c r="T57" s="176">
        <v>0</v>
      </c>
      <c r="U57" s="176">
        <f t="shared" si="21"/>
        <v>5</v>
      </c>
      <c r="V57" s="176">
        <v>5</v>
      </c>
      <c r="W57" s="302">
        <v>0</v>
      </c>
      <c r="X57" s="244">
        <v>0</v>
      </c>
      <c r="Y57" s="177">
        <f t="shared" si="22"/>
        <v>851</v>
      </c>
      <c r="Z57" s="198">
        <v>0</v>
      </c>
      <c r="AA57" s="198">
        <v>206</v>
      </c>
      <c r="AB57" s="198">
        <v>235</v>
      </c>
      <c r="AC57" s="198">
        <v>0</v>
      </c>
      <c r="AD57" s="198">
        <v>0</v>
      </c>
      <c r="AE57" s="315">
        <v>410</v>
      </c>
    </row>
    <row r="58" spans="1:31" s="61" customFormat="1" ht="27.75" customHeight="1">
      <c r="A58" s="154" t="s">
        <v>235</v>
      </c>
      <c r="B58" s="182">
        <f t="shared" si="15"/>
        <v>5296</v>
      </c>
      <c r="C58" s="312">
        <f>B58*1000000/(365*'イ 排出 総括表'!U57)</f>
        <v>633.3023019988603</v>
      </c>
      <c r="D58" s="177">
        <f t="shared" si="24"/>
        <v>4231</v>
      </c>
      <c r="E58" s="183">
        <f t="shared" si="18"/>
        <v>3975</v>
      </c>
      <c r="F58" s="176">
        <v>0</v>
      </c>
      <c r="G58" s="302">
        <v>3975</v>
      </c>
      <c r="H58" s="176">
        <v>0</v>
      </c>
      <c r="I58" s="176">
        <f t="shared" si="19"/>
        <v>39</v>
      </c>
      <c r="J58" s="176">
        <v>39</v>
      </c>
      <c r="K58" s="302">
        <v>0</v>
      </c>
      <c r="L58" s="176">
        <v>0</v>
      </c>
      <c r="M58" s="176">
        <f t="shared" si="23"/>
        <v>204</v>
      </c>
      <c r="N58" s="176">
        <v>42</v>
      </c>
      <c r="O58" s="302">
        <v>162</v>
      </c>
      <c r="P58" s="176">
        <v>0</v>
      </c>
      <c r="Q58" s="176">
        <f t="shared" si="20"/>
        <v>10</v>
      </c>
      <c r="R58" s="176">
        <v>0</v>
      </c>
      <c r="S58" s="302">
        <v>10</v>
      </c>
      <c r="T58" s="176">
        <v>0</v>
      </c>
      <c r="U58" s="176">
        <f t="shared" si="21"/>
        <v>3</v>
      </c>
      <c r="V58" s="176">
        <v>3</v>
      </c>
      <c r="W58" s="302">
        <v>0</v>
      </c>
      <c r="X58" s="244">
        <v>0</v>
      </c>
      <c r="Y58" s="177">
        <f t="shared" si="22"/>
        <v>1065</v>
      </c>
      <c r="Z58" s="198">
        <v>0</v>
      </c>
      <c r="AA58" s="198">
        <v>325</v>
      </c>
      <c r="AB58" s="198">
        <v>140</v>
      </c>
      <c r="AC58" s="198">
        <v>0</v>
      </c>
      <c r="AD58" s="198">
        <v>0</v>
      </c>
      <c r="AE58" s="312">
        <v>600</v>
      </c>
    </row>
    <row r="59" spans="1:31" s="61" customFormat="1" ht="27.75" customHeight="1">
      <c r="A59" s="154" t="s">
        <v>236</v>
      </c>
      <c r="B59" s="182">
        <f t="shared" si="15"/>
        <v>3554</v>
      </c>
      <c r="C59" s="312">
        <f>B59*1000000/(365*'イ 排出 総括表'!U58)</f>
        <v>769.9048233865631</v>
      </c>
      <c r="D59" s="177">
        <f t="shared" si="24"/>
        <v>2799</v>
      </c>
      <c r="E59" s="183">
        <f t="shared" si="18"/>
        <v>1945</v>
      </c>
      <c r="F59" s="176">
        <v>0</v>
      </c>
      <c r="G59" s="302">
        <v>1945</v>
      </c>
      <c r="H59" s="176">
        <v>0</v>
      </c>
      <c r="I59" s="176">
        <f t="shared" si="19"/>
        <v>54</v>
      </c>
      <c r="J59" s="176">
        <v>0</v>
      </c>
      <c r="K59" s="302">
        <v>54</v>
      </c>
      <c r="L59" s="176">
        <v>0</v>
      </c>
      <c r="M59" s="176">
        <f t="shared" si="23"/>
        <v>796</v>
      </c>
      <c r="N59" s="176">
        <v>0</v>
      </c>
      <c r="O59" s="302">
        <v>796</v>
      </c>
      <c r="P59" s="176">
        <v>0</v>
      </c>
      <c r="Q59" s="176">
        <f t="shared" si="20"/>
        <v>4</v>
      </c>
      <c r="R59" s="176">
        <v>0</v>
      </c>
      <c r="S59" s="302">
        <v>4</v>
      </c>
      <c r="T59" s="176">
        <v>0</v>
      </c>
      <c r="U59" s="176">
        <f t="shared" si="21"/>
        <v>0</v>
      </c>
      <c r="V59" s="176">
        <v>0</v>
      </c>
      <c r="W59" s="302">
        <v>0</v>
      </c>
      <c r="X59" s="244">
        <v>0</v>
      </c>
      <c r="Y59" s="177">
        <f t="shared" si="22"/>
        <v>755</v>
      </c>
      <c r="Z59" s="198">
        <v>0</v>
      </c>
      <c r="AA59" s="198">
        <v>190</v>
      </c>
      <c r="AB59" s="198">
        <v>273</v>
      </c>
      <c r="AC59" s="198">
        <v>0</v>
      </c>
      <c r="AD59" s="198">
        <v>0</v>
      </c>
      <c r="AE59" s="312">
        <v>292</v>
      </c>
    </row>
    <row r="60" spans="1:31" s="61" customFormat="1" ht="27.75" customHeight="1">
      <c r="A60" s="154" t="s">
        <v>237</v>
      </c>
      <c r="B60" s="182">
        <f t="shared" si="15"/>
        <v>6496</v>
      </c>
      <c r="C60" s="312">
        <f>B60*1000000/(365*'イ 排出 総括表'!U59)</f>
        <v>472.67768708096787</v>
      </c>
      <c r="D60" s="177">
        <f t="shared" si="24"/>
        <v>6486</v>
      </c>
      <c r="E60" s="183">
        <f t="shared" si="18"/>
        <v>4664</v>
      </c>
      <c r="F60" s="176">
        <v>0</v>
      </c>
      <c r="G60" s="302">
        <v>4664</v>
      </c>
      <c r="H60" s="176">
        <v>0</v>
      </c>
      <c r="I60" s="176">
        <f t="shared" si="19"/>
        <v>164</v>
      </c>
      <c r="J60" s="176">
        <v>0</v>
      </c>
      <c r="K60" s="302">
        <v>164</v>
      </c>
      <c r="L60" s="176">
        <v>0</v>
      </c>
      <c r="M60" s="176">
        <f t="shared" si="23"/>
        <v>1194</v>
      </c>
      <c r="N60" s="176">
        <v>0</v>
      </c>
      <c r="O60" s="302">
        <v>1194</v>
      </c>
      <c r="P60" s="176">
        <v>0</v>
      </c>
      <c r="Q60" s="176">
        <f t="shared" si="20"/>
        <v>22</v>
      </c>
      <c r="R60" s="176">
        <v>0</v>
      </c>
      <c r="S60" s="302">
        <v>22</v>
      </c>
      <c r="T60" s="176">
        <v>0</v>
      </c>
      <c r="U60" s="176">
        <f t="shared" si="21"/>
        <v>442</v>
      </c>
      <c r="V60" s="176">
        <v>0</v>
      </c>
      <c r="W60" s="302">
        <v>442</v>
      </c>
      <c r="X60" s="244">
        <v>0</v>
      </c>
      <c r="Y60" s="177">
        <f t="shared" si="22"/>
        <v>10</v>
      </c>
      <c r="Z60" s="198">
        <v>0</v>
      </c>
      <c r="AA60" s="198">
        <v>0</v>
      </c>
      <c r="AB60" s="198">
        <v>0</v>
      </c>
      <c r="AC60" s="198">
        <v>10</v>
      </c>
      <c r="AD60" s="198">
        <v>0</v>
      </c>
      <c r="AE60" s="312">
        <v>0</v>
      </c>
    </row>
    <row r="61" spans="1:31" s="61" customFormat="1" ht="27.75" customHeight="1">
      <c r="A61" s="155" t="s">
        <v>238</v>
      </c>
      <c r="B61" s="194">
        <f t="shared" si="15"/>
        <v>1403</v>
      </c>
      <c r="C61" s="313">
        <f>B61*1000000/(365*'イ 排出 総括表'!U60)</f>
        <v>630.0337020879128</v>
      </c>
      <c r="D61" s="195">
        <f t="shared" si="24"/>
        <v>1168</v>
      </c>
      <c r="E61" s="186">
        <f t="shared" si="18"/>
        <v>1045</v>
      </c>
      <c r="F61" s="196">
        <v>0</v>
      </c>
      <c r="G61" s="303">
        <v>1045</v>
      </c>
      <c r="H61" s="196">
        <v>0</v>
      </c>
      <c r="I61" s="196">
        <f t="shared" si="19"/>
        <v>10</v>
      </c>
      <c r="J61" s="196">
        <v>0</v>
      </c>
      <c r="K61" s="303">
        <v>10</v>
      </c>
      <c r="L61" s="196">
        <v>0</v>
      </c>
      <c r="M61" s="196">
        <f t="shared" si="23"/>
        <v>113</v>
      </c>
      <c r="N61" s="196">
        <v>0</v>
      </c>
      <c r="O61" s="303">
        <v>113</v>
      </c>
      <c r="P61" s="196">
        <v>0</v>
      </c>
      <c r="Q61" s="196">
        <f t="shared" si="20"/>
        <v>0</v>
      </c>
      <c r="R61" s="196">
        <v>0</v>
      </c>
      <c r="S61" s="303">
        <v>0</v>
      </c>
      <c r="T61" s="196">
        <v>0</v>
      </c>
      <c r="U61" s="196">
        <f t="shared" si="21"/>
        <v>0</v>
      </c>
      <c r="V61" s="196">
        <v>0</v>
      </c>
      <c r="W61" s="303">
        <v>0</v>
      </c>
      <c r="X61" s="318">
        <v>0</v>
      </c>
      <c r="Y61" s="195">
        <f t="shared" si="22"/>
        <v>235</v>
      </c>
      <c r="Z61" s="311">
        <v>0</v>
      </c>
      <c r="AA61" s="311">
        <v>114</v>
      </c>
      <c r="AB61" s="311">
        <v>6</v>
      </c>
      <c r="AC61" s="311">
        <v>68</v>
      </c>
      <c r="AD61" s="311">
        <v>0</v>
      </c>
      <c r="AE61" s="313">
        <v>47</v>
      </c>
    </row>
    <row r="62" spans="1:31" s="61" customFormat="1" ht="27.75" customHeight="1">
      <c r="A62" s="154" t="s">
        <v>239</v>
      </c>
      <c r="B62" s="182">
        <f t="shared" si="15"/>
        <v>957</v>
      </c>
      <c r="C62" s="312">
        <f>B62*1000000/(365*'イ 排出 総括表'!U61)</f>
        <v>655.4794520547945</v>
      </c>
      <c r="D62" s="177">
        <f t="shared" si="24"/>
        <v>832</v>
      </c>
      <c r="E62" s="183">
        <f t="shared" si="18"/>
        <v>752</v>
      </c>
      <c r="F62" s="176"/>
      <c r="G62" s="302">
        <v>752</v>
      </c>
      <c r="H62" s="176">
        <v>0</v>
      </c>
      <c r="I62" s="176">
        <f t="shared" si="19"/>
        <v>7</v>
      </c>
      <c r="J62" s="176"/>
      <c r="K62" s="302">
        <v>7</v>
      </c>
      <c r="L62" s="176">
        <v>0</v>
      </c>
      <c r="M62" s="176">
        <f t="shared" si="23"/>
        <v>73</v>
      </c>
      <c r="N62" s="176"/>
      <c r="O62" s="302">
        <v>73</v>
      </c>
      <c r="P62" s="176">
        <v>0</v>
      </c>
      <c r="Q62" s="176">
        <f t="shared" si="20"/>
        <v>0</v>
      </c>
      <c r="R62" s="176">
        <v>0</v>
      </c>
      <c r="S62" s="302">
        <v>0</v>
      </c>
      <c r="T62" s="176">
        <v>0</v>
      </c>
      <c r="U62" s="176">
        <f t="shared" si="21"/>
        <v>0</v>
      </c>
      <c r="V62" s="176">
        <v>0</v>
      </c>
      <c r="W62" s="302">
        <v>0</v>
      </c>
      <c r="X62" s="244">
        <v>0</v>
      </c>
      <c r="Y62" s="177">
        <f t="shared" si="22"/>
        <v>125</v>
      </c>
      <c r="Z62" s="198">
        <v>0</v>
      </c>
      <c r="AA62" s="198">
        <v>66</v>
      </c>
      <c r="AB62" s="198">
        <v>4</v>
      </c>
      <c r="AC62" s="198">
        <v>29</v>
      </c>
      <c r="AD62" s="198">
        <v>0</v>
      </c>
      <c r="AE62" s="312">
        <v>26</v>
      </c>
    </row>
    <row r="63" spans="1:31" s="61" customFormat="1" ht="27.75" customHeight="1">
      <c r="A63" s="152" t="s">
        <v>240</v>
      </c>
      <c r="B63" s="194">
        <f t="shared" si="15"/>
        <v>300</v>
      </c>
      <c r="C63" s="313">
        <f>B63*1000000/(365*'イ 排出 総括表'!U62)</f>
        <v>580.8606418510093</v>
      </c>
      <c r="D63" s="195">
        <f t="shared" si="24"/>
        <v>257</v>
      </c>
      <c r="E63" s="186">
        <f t="shared" si="18"/>
        <v>222</v>
      </c>
      <c r="F63" s="196">
        <v>0</v>
      </c>
      <c r="G63" s="303">
        <v>222</v>
      </c>
      <c r="H63" s="196">
        <v>0</v>
      </c>
      <c r="I63" s="196">
        <f t="shared" si="19"/>
        <v>3</v>
      </c>
      <c r="J63" s="196">
        <v>0</v>
      </c>
      <c r="K63" s="303">
        <v>3</v>
      </c>
      <c r="L63" s="196">
        <v>0</v>
      </c>
      <c r="M63" s="196">
        <f t="shared" si="23"/>
        <v>32</v>
      </c>
      <c r="N63" s="196">
        <v>0</v>
      </c>
      <c r="O63" s="303">
        <v>32</v>
      </c>
      <c r="P63" s="196">
        <v>0</v>
      </c>
      <c r="Q63" s="196">
        <f t="shared" si="20"/>
        <v>0</v>
      </c>
      <c r="R63" s="196">
        <v>0</v>
      </c>
      <c r="S63" s="303">
        <v>0</v>
      </c>
      <c r="T63" s="196">
        <v>0</v>
      </c>
      <c r="U63" s="196">
        <f t="shared" si="21"/>
        <v>0</v>
      </c>
      <c r="V63" s="196">
        <v>0</v>
      </c>
      <c r="W63" s="303">
        <v>0</v>
      </c>
      <c r="X63" s="318">
        <v>0</v>
      </c>
      <c r="Y63" s="195">
        <f t="shared" si="22"/>
        <v>43</v>
      </c>
      <c r="Z63" s="311">
        <v>0</v>
      </c>
      <c r="AA63" s="311">
        <v>22</v>
      </c>
      <c r="AB63" s="311">
        <v>0</v>
      </c>
      <c r="AC63" s="311">
        <v>12</v>
      </c>
      <c r="AD63" s="311">
        <v>0</v>
      </c>
      <c r="AE63" s="313">
        <v>9</v>
      </c>
    </row>
    <row r="64" spans="1:31" s="61" customFormat="1" ht="43.5" customHeight="1" thickBot="1">
      <c r="A64" s="226" t="s">
        <v>31</v>
      </c>
      <c r="B64" s="416">
        <f aca="true" t="shared" si="25" ref="B64:AE64">SUM(B7:B36,B37:B63)</f>
        <v>1783277</v>
      </c>
      <c r="C64" s="314">
        <f>B64*1000000/(365*'イ 排出 総括表'!U63)</f>
        <v>652.7981791787882</v>
      </c>
      <c r="D64" s="293">
        <f>SUM(D7:D63)</f>
        <v>1696064</v>
      </c>
      <c r="E64" s="319">
        <f t="shared" si="25"/>
        <v>1274118</v>
      </c>
      <c r="F64" s="199">
        <f t="shared" si="25"/>
        <v>711299</v>
      </c>
      <c r="G64" s="199">
        <f t="shared" si="25"/>
        <v>562493</v>
      </c>
      <c r="H64" s="199">
        <f t="shared" si="25"/>
        <v>326</v>
      </c>
      <c r="I64" s="199">
        <f t="shared" si="25"/>
        <v>108543</v>
      </c>
      <c r="J64" s="199">
        <f t="shared" si="25"/>
        <v>61252</v>
      </c>
      <c r="K64" s="199">
        <f t="shared" si="25"/>
        <v>47214</v>
      </c>
      <c r="L64" s="199">
        <f t="shared" si="25"/>
        <v>77</v>
      </c>
      <c r="M64" s="199">
        <f t="shared" si="25"/>
        <v>285494</v>
      </c>
      <c r="N64" s="199">
        <f t="shared" si="25"/>
        <v>35715</v>
      </c>
      <c r="O64" s="199">
        <f t="shared" si="25"/>
        <v>248414</v>
      </c>
      <c r="P64" s="199">
        <f t="shared" si="25"/>
        <v>1365</v>
      </c>
      <c r="Q64" s="199">
        <f t="shared" si="25"/>
        <v>8911</v>
      </c>
      <c r="R64" s="199">
        <f t="shared" si="25"/>
        <v>3047</v>
      </c>
      <c r="S64" s="199">
        <f t="shared" si="25"/>
        <v>5864</v>
      </c>
      <c r="T64" s="199">
        <f t="shared" si="25"/>
        <v>0</v>
      </c>
      <c r="U64" s="199">
        <f t="shared" si="25"/>
        <v>18998</v>
      </c>
      <c r="V64" s="199">
        <f t="shared" si="25"/>
        <v>11305</v>
      </c>
      <c r="W64" s="199">
        <f t="shared" si="25"/>
        <v>7611</v>
      </c>
      <c r="X64" s="314">
        <f t="shared" si="25"/>
        <v>82</v>
      </c>
      <c r="Y64" s="293">
        <f t="shared" si="25"/>
        <v>87213</v>
      </c>
      <c r="Z64" s="316">
        <f t="shared" si="25"/>
        <v>10</v>
      </c>
      <c r="AA64" s="316">
        <f t="shared" si="25"/>
        <v>30089</v>
      </c>
      <c r="AB64" s="316">
        <f t="shared" si="25"/>
        <v>18357</v>
      </c>
      <c r="AC64" s="316">
        <f t="shared" si="25"/>
        <v>12295</v>
      </c>
      <c r="AD64" s="316">
        <f t="shared" si="25"/>
        <v>2732</v>
      </c>
      <c r="AE64" s="317">
        <f t="shared" si="25"/>
        <v>23730</v>
      </c>
    </row>
  </sheetData>
  <mergeCells count="21">
    <mergeCell ref="AA5:AA6"/>
    <mergeCell ref="Z5:Z6"/>
    <mergeCell ref="Y5:Y6"/>
    <mergeCell ref="AE5:AE6"/>
    <mergeCell ref="AD5:AD6"/>
    <mergeCell ref="AC5:AC6"/>
    <mergeCell ref="AB5:AB6"/>
    <mergeCell ref="A3:A6"/>
    <mergeCell ref="I5:I6"/>
    <mergeCell ref="E5:E6"/>
    <mergeCell ref="F5:H5"/>
    <mergeCell ref="B4:B6"/>
    <mergeCell ref="C4:C6"/>
    <mergeCell ref="V5:X5"/>
    <mergeCell ref="D5:D6"/>
    <mergeCell ref="Q5:Q6"/>
    <mergeCell ref="M5:M6"/>
    <mergeCell ref="R5:T5"/>
    <mergeCell ref="N5:P5"/>
    <mergeCell ref="J5:L5"/>
    <mergeCell ref="U5:U6"/>
  </mergeCells>
  <printOptions/>
  <pageMargins left="0.5905511811023623" right="0.5905511811023623" top="0.5905511811023623" bottom="0.5905511811023623" header="0.3937007874015748" footer="0.3937007874015748"/>
  <pageSetup firstPageNumber="21" useFirstPageNumber="1" fitToHeight="2" fitToWidth="2" horizontalDpi="600" verticalDpi="600" orientation="portrait" pageOrder="overThenDown" paperSize="9" scale="45" r:id="rId2"/>
  <headerFooter alignWithMargins="0">
    <oddFooter>&amp;C&amp;P</oddFooter>
  </headerFooter>
  <colBreaks count="1" manualBreakCount="1">
    <brk id="14" max="6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AE64"/>
  <sheetViews>
    <sheetView view="pageBreakPreview" zoomScale="75" zoomScaleNormal="75" zoomScaleSheetLayoutView="75" workbookViewId="0" topLeftCell="A1">
      <pane xSplit="1" ySplit="6" topLeftCell="O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796875" defaultRowHeight="27.75" customHeight="1"/>
  <cols>
    <col min="1" max="1" width="14.5" style="9" customWidth="1"/>
    <col min="2" max="2" width="14" style="9" customWidth="1"/>
    <col min="3" max="3" width="8.69921875" style="9" customWidth="1"/>
    <col min="4" max="4" width="14.59765625" style="9" customWidth="1"/>
    <col min="5" max="5" width="14.5" style="9" customWidth="1"/>
    <col min="6" max="7" width="11.8984375" style="9" customWidth="1"/>
    <col min="8" max="8" width="15.3984375" style="9" customWidth="1"/>
    <col min="9" max="9" width="14.59765625" style="9" customWidth="1"/>
    <col min="10" max="10" width="12.3984375" style="9" customWidth="1"/>
    <col min="11" max="11" width="12.8984375" style="9" customWidth="1"/>
    <col min="12" max="12" width="14.5" style="9" customWidth="1"/>
    <col min="13" max="13" width="12.69921875" style="9" customWidth="1"/>
    <col min="14" max="15" width="10.3984375" style="9" customWidth="1"/>
    <col min="16" max="16" width="11.19921875" style="9" customWidth="1"/>
    <col min="17" max="17" width="9.69921875" style="9" customWidth="1"/>
    <col min="18" max="19" width="9.8984375" style="9" customWidth="1"/>
    <col min="20" max="20" width="8.19921875" style="9" customWidth="1"/>
    <col min="21" max="21" width="11.3984375" style="9" customWidth="1"/>
    <col min="22" max="23" width="9.09765625" style="9" customWidth="1"/>
    <col min="24" max="24" width="13.59765625" style="9" customWidth="1"/>
    <col min="25" max="25" width="13.3984375" style="2" customWidth="1"/>
    <col min="26" max="26" width="8.59765625" style="9" customWidth="1"/>
    <col min="27" max="27" width="12" style="10" customWidth="1"/>
    <col min="28" max="31" width="12" style="9" customWidth="1"/>
    <col min="32" max="16384" width="11" style="9" customWidth="1"/>
  </cols>
  <sheetData>
    <row r="1" spans="1:27" s="7" customFormat="1" ht="30.75" customHeight="1">
      <c r="A1" s="59" t="s">
        <v>176</v>
      </c>
      <c r="B1" s="59"/>
      <c r="C1" s="59"/>
      <c r="Y1" s="4"/>
      <c r="AA1" s="291"/>
    </row>
    <row r="2" spans="1:31" s="7" customFormat="1" ht="32.25" customHeight="1" thickBot="1">
      <c r="A2" s="59" t="s">
        <v>279</v>
      </c>
      <c r="B2" s="59"/>
      <c r="C2" s="59"/>
      <c r="Y2" s="78"/>
      <c r="Z2" s="296"/>
      <c r="AA2" s="296"/>
      <c r="AB2" s="296"/>
      <c r="AC2" s="296"/>
      <c r="AD2" s="296"/>
      <c r="AE2" s="78" t="s">
        <v>104</v>
      </c>
    </row>
    <row r="3" spans="1:31" s="61" customFormat="1" ht="24" customHeight="1" thickBot="1">
      <c r="A3" s="497" t="s">
        <v>28</v>
      </c>
      <c r="B3" s="76" t="s">
        <v>277</v>
      </c>
      <c r="C3" s="75"/>
      <c r="D3" s="75"/>
      <c r="E3" s="92"/>
      <c r="F3" s="92"/>
      <c r="G3" s="92"/>
      <c r="H3" s="92"/>
      <c r="I3" s="92"/>
      <c r="J3" s="92"/>
      <c r="K3" s="92"/>
      <c r="L3" s="92"/>
      <c r="M3" s="97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7"/>
      <c r="Z3" s="294"/>
      <c r="AA3" s="295"/>
      <c r="AB3" s="295"/>
      <c r="AC3" s="295"/>
      <c r="AD3" s="295"/>
      <c r="AE3" s="297"/>
    </row>
    <row r="4" spans="1:31" s="61" customFormat="1" ht="24" customHeight="1">
      <c r="A4" s="498"/>
      <c r="B4" s="500" t="s">
        <v>127</v>
      </c>
      <c r="C4" s="469" t="s">
        <v>255</v>
      </c>
      <c r="D4" s="95" t="s">
        <v>129</v>
      </c>
      <c r="E4" s="93"/>
      <c r="F4" s="93"/>
      <c r="G4" s="93"/>
      <c r="H4" s="93"/>
      <c r="I4" s="93"/>
      <c r="J4" s="93"/>
      <c r="K4" s="93"/>
      <c r="L4" s="93"/>
      <c r="M4" s="96"/>
      <c r="N4" s="93"/>
      <c r="O4" s="93"/>
      <c r="P4" s="93"/>
      <c r="Q4" s="93"/>
      <c r="R4" s="93"/>
      <c r="S4" s="93"/>
      <c r="T4" s="93"/>
      <c r="U4" s="93"/>
      <c r="V4" s="93"/>
      <c r="W4" s="93"/>
      <c r="X4" s="94"/>
      <c r="Y4" s="76" t="s">
        <v>130</v>
      </c>
      <c r="Z4" s="77"/>
      <c r="AA4" s="292"/>
      <c r="AE4" s="298"/>
    </row>
    <row r="5" spans="1:31" s="61" customFormat="1" ht="18.75" customHeight="1">
      <c r="A5" s="498"/>
      <c r="B5" s="500"/>
      <c r="C5" s="469"/>
      <c r="D5" s="490" t="s">
        <v>128</v>
      </c>
      <c r="E5" s="495" t="s">
        <v>27</v>
      </c>
      <c r="F5" s="488" t="s">
        <v>182</v>
      </c>
      <c r="G5" s="488"/>
      <c r="H5" s="494"/>
      <c r="I5" s="492" t="s">
        <v>27</v>
      </c>
      <c r="J5" s="488" t="s">
        <v>183</v>
      </c>
      <c r="K5" s="488"/>
      <c r="L5" s="494"/>
      <c r="M5" s="492" t="s">
        <v>27</v>
      </c>
      <c r="N5" s="488" t="s">
        <v>184</v>
      </c>
      <c r="O5" s="488"/>
      <c r="P5" s="494"/>
      <c r="Q5" s="492" t="s">
        <v>27</v>
      </c>
      <c r="R5" s="488" t="s">
        <v>185</v>
      </c>
      <c r="S5" s="488"/>
      <c r="T5" s="494"/>
      <c r="U5" s="495" t="s">
        <v>27</v>
      </c>
      <c r="V5" s="488" t="s">
        <v>186</v>
      </c>
      <c r="W5" s="488"/>
      <c r="X5" s="489"/>
      <c r="Y5" s="504" t="s">
        <v>27</v>
      </c>
      <c r="Z5" s="502" t="s">
        <v>268</v>
      </c>
      <c r="AA5" s="502" t="s">
        <v>269</v>
      </c>
      <c r="AB5" s="502" t="s">
        <v>270</v>
      </c>
      <c r="AC5" s="502" t="s">
        <v>271</v>
      </c>
      <c r="AD5" s="502" t="s">
        <v>272</v>
      </c>
      <c r="AE5" s="506" t="s">
        <v>273</v>
      </c>
    </row>
    <row r="6" spans="1:31" s="61" customFormat="1" ht="18.75" customHeight="1" thickBot="1">
      <c r="A6" s="498"/>
      <c r="B6" s="501"/>
      <c r="C6" s="470"/>
      <c r="D6" s="491"/>
      <c r="E6" s="499"/>
      <c r="F6" s="299" t="s">
        <v>37</v>
      </c>
      <c r="G6" s="299" t="s">
        <v>38</v>
      </c>
      <c r="H6" s="299" t="s">
        <v>50</v>
      </c>
      <c r="I6" s="493"/>
      <c r="J6" s="299" t="s">
        <v>37</v>
      </c>
      <c r="K6" s="299" t="s">
        <v>38</v>
      </c>
      <c r="L6" s="299" t="s">
        <v>50</v>
      </c>
      <c r="M6" s="493"/>
      <c r="N6" s="299" t="s">
        <v>37</v>
      </c>
      <c r="O6" s="299" t="s">
        <v>38</v>
      </c>
      <c r="P6" s="299" t="s">
        <v>50</v>
      </c>
      <c r="Q6" s="493"/>
      <c r="R6" s="299" t="s">
        <v>37</v>
      </c>
      <c r="S6" s="299" t="s">
        <v>38</v>
      </c>
      <c r="T6" s="299" t="s">
        <v>50</v>
      </c>
      <c r="U6" s="496"/>
      <c r="V6" s="299" t="s">
        <v>37</v>
      </c>
      <c r="W6" s="299" t="s">
        <v>38</v>
      </c>
      <c r="X6" s="322" t="s">
        <v>50</v>
      </c>
      <c r="Y6" s="505"/>
      <c r="Z6" s="503"/>
      <c r="AA6" s="503"/>
      <c r="AB6" s="503"/>
      <c r="AC6" s="503"/>
      <c r="AD6" s="503"/>
      <c r="AE6" s="507"/>
    </row>
    <row r="7" spans="1:31" s="61" customFormat="1" ht="27.75" customHeight="1">
      <c r="A7" s="153" t="s">
        <v>187</v>
      </c>
      <c r="B7" s="178">
        <f>SUM(D7,Y7)</f>
        <v>199689</v>
      </c>
      <c r="C7" s="417">
        <f>B7*1000000/(365*'イ 排出 総括表'!U6)</f>
        <v>243.58446787188458</v>
      </c>
      <c r="D7" s="175">
        <f>SUM(E7,I7,M7,Q7,U7)</f>
        <v>181012</v>
      </c>
      <c r="E7" s="225">
        <f aca="true" t="shared" si="0" ref="E7:E36">SUM(F7:H7)</f>
        <v>163150</v>
      </c>
      <c r="F7" s="225">
        <v>0</v>
      </c>
      <c r="G7" s="301">
        <v>0</v>
      </c>
      <c r="H7" s="225">
        <v>163150</v>
      </c>
      <c r="I7" s="225">
        <f aca="true" t="shared" si="1" ref="I7:I36">SUM(J7:L7)</f>
        <v>17862</v>
      </c>
      <c r="J7" s="225">
        <v>0</v>
      </c>
      <c r="K7" s="301">
        <v>0</v>
      </c>
      <c r="L7" s="225">
        <v>17862</v>
      </c>
      <c r="M7" s="225">
        <f aca="true" t="shared" si="2" ref="M7:M36">SUM(N7:P7)</f>
        <v>0</v>
      </c>
      <c r="N7" s="225">
        <v>0</v>
      </c>
      <c r="O7" s="225">
        <v>0</v>
      </c>
      <c r="P7" s="301">
        <v>0</v>
      </c>
      <c r="Q7" s="225">
        <f aca="true" t="shared" si="3" ref="Q7:Q36">SUM(R7:T7)</f>
        <v>0</v>
      </c>
      <c r="R7" s="225">
        <v>0</v>
      </c>
      <c r="S7" s="301">
        <v>0</v>
      </c>
      <c r="T7" s="301">
        <v>0</v>
      </c>
      <c r="U7" s="225">
        <f aca="true" t="shared" si="4" ref="U7:U36">SUM(V7:X7)</f>
        <v>0</v>
      </c>
      <c r="V7" s="225">
        <v>0</v>
      </c>
      <c r="W7" s="301">
        <v>0</v>
      </c>
      <c r="X7" s="320">
        <v>0</v>
      </c>
      <c r="Y7" s="175">
        <f aca="true" t="shared" si="5" ref="Y7:Y36">SUM(Z7:AE7)</f>
        <v>18677</v>
      </c>
      <c r="Z7" s="198">
        <v>0</v>
      </c>
      <c r="AA7" s="198">
        <v>9039</v>
      </c>
      <c r="AB7" s="198">
        <v>9638</v>
      </c>
      <c r="AC7" s="198">
        <v>0</v>
      </c>
      <c r="AD7" s="198">
        <v>0</v>
      </c>
      <c r="AE7" s="312">
        <v>0</v>
      </c>
    </row>
    <row r="8" spans="1:31" s="61" customFormat="1" ht="27.75" customHeight="1">
      <c r="A8" s="154" t="s">
        <v>188</v>
      </c>
      <c r="B8" s="182">
        <f aca="true" t="shared" si="6" ref="B8:B36">SUM(D8,Y8)</f>
        <v>39995</v>
      </c>
      <c r="C8" s="312">
        <f>B8*1000000/(365*'イ 排出 総括表'!U7)</f>
        <v>286.4647432236978</v>
      </c>
      <c r="D8" s="177">
        <f aca="true" t="shared" si="7" ref="D8:D36">SUM(E8,I8,M8,Q8,U8)</f>
        <v>27354</v>
      </c>
      <c r="E8" s="176">
        <f t="shared" si="0"/>
        <v>27354</v>
      </c>
      <c r="F8" s="176">
        <v>0</v>
      </c>
      <c r="G8" s="302">
        <v>0</v>
      </c>
      <c r="H8" s="176">
        <v>27354</v>
      </c>
      <c r="I8" s="176">
        <f t="shared" si="1"/>
        <v>0</v>
      </c>
      <c r="J8" s="176">
        <v>0</v>
      </c>
      <c r="K8" s="302">
        <v>0</v>
      </c>
      <c r="L8" s="176">
        <v>0</v>
      </c>
      <c r="M8" s="176">
        <f t="shared" si="2"/>
        <v>0</v>
      </c>
      <c r="N8" s="176">
        <v>0</v>
      </c>
      <c r="O8" s="302">
        <v>0</v>
      </c>
      <c r="P8" s="176">
        <v>0</v>
      </c>
      <c r="Q8" s="176">
        <f t="shared" si="3"/>
        <v>0</v>
      </c>
      <c r="R8" s="176">
        <v>0</v>
      </c>
      <c r="S8" s="302">
        <v>0</v>
      </c>
      <c r="T8" s="176">
        <v>0</v>
      </c>
      <c r="U8" s="176">
        <f t="shared" si="4"/>
        <v>0</v>
      </c>
      <c r="V8" s="176">
        <v>0</v>
      </c>
      <c r="W8" s="302">
        <v>0</v>
      </c>
      <c r="X8" s="244">
        <v>0</v>
      </c>
      <c r="Y8" s="177">
        <f t="shared" si="5"/>
        <v>12641</v>
      </c>
      <c r="Z8" s="198">
        <v>0</v>
      </c>
      <c r="AA8" s="198">
        <v>11603</v>
      </c>
      <c r="AB8" s="198">
        <v>1038</v>
      </c>
      <c r="AC8" s="198">
        <v>0</v>
      </c>
      <c r="AD8" s="198">
        <v>0</v>
      </c>
      <c r="AE8" s="312">
        <v>0</v>
      </c>
    </row>
    <row r="9" spans="1:31" s="61" customFormat="1" ht="27.75" customHeight="1">
      <c r="A9" s="154" t="s">
        <v>189</v>
      </c>
      <c r="B9" s="182">
        <f t="shared" si="6"/>
        <v>36984</v>
      </c>
      <c r="C9" s="312">
        <f>B9*1000000/(365*'イ 排出 総括表'!U8)</f>
        <v>262.02341674879693</v>
      </c>
      <c r="D9" s="177">
        <f t="shared" si="7"/>
        <v>26553</v>
      </c>
      <c r="E9" s="176">
        <f t="shared" si="0"/>
        <v>26292</v>
      </c>
      <c r="F9" s="176">
        <v>0</v>
      </c>
      <c r="G9" s="302">
        <v>0</v>
      </c>
      <c r="H9" s="176">
        <v>26292</v>
      </c>
      <c r="I9" s="176">
        <f t="shared" si="1"/>
        <v>177</v>
      </c>
      <c r="J9" s="176">
        <v>0</v>
      </c>
      <c r="K9" s="302">
        <v>0</v>
      </c>
      <c r="L9" s="176">
        <v>177</v>
      </c>
      <c r="M9" s="176">
        <f t="shared" si="2"/>
        <v>84</v>
      </c>
      <c r="N9" s="176">
        <v>0</v>
      </c>
      <c r="O9" s="302">
        <v>0</v>
      </c>
      <c r="P9" s="176">
        <v>84</v>
      </c>
      <c r="Q9" s="176">
        <f t="shared" si="3"/>
        <v>0</v>
      </c>
      <c r="R9" s="176">
        <v>0</v>
      </c>
      <c r="S9" s="302">
        <v>0</v>
      </c>
      <c r="T9" s="176">
        <v>0</v>
      </c>
      <c r="U9" s="176">
        <f t="shared" si="4"/>
        <v>0</v>
      </c>
      <c r="V9" s="176">
        <v>0</v>
      </c>
      <c r="W9" s="302">
        <v>0</v>
      </c>
      <c r="X9" s="244">
        <v>0</v>
      </c>
      <c r="Y9" s="177">
        <f t="shared" si="5"/>
        <v>10431</v>
      </c>
      <c r="Z9" s="198">
        <v>0</v>
      </c>
      <c r="AA9" s="198">
        <v>9044</v>
      </c>
      <c r="AB9" s="198">
        <v>1375</v>
      </c>
      <c r="AC9" s="198">
        <v>12</v>
      </c>
      <c r="AD9" s="198">
        <v>0</v>
      </c>
      <c r="AE9" s="312">
        <v>0</v>
      </c>
    </row>
    <row r="10" spans="1:31" s="61" customFormat="1" ht="27.75" customHeight="1">
      <c r="A10" s="154" t="s">
        <v>190</v>
      </c>
      <c r="B10" s="182">
        <f t="shared" si="6"/>
        <v>25839</v>
      </c>
      <c r="C10" s="312">
        <f>B10*1000000/(365*'イ 排出 総括表'!U9)</f>
        <v>183.343297925799</v>
      </c>
      <c r="D10" s="177">
        <f t="shared" si="7"/>
        <v>19312</v>
      </c>
      <c r="E10" s="176">
        <f t="shared" si="0"/>
        <v>19312</v>
      </c>
      <c r="F10" s="176">
        <v>0</v>
      </c>
      <c r="G10" s="302">
        <v>0</v>
      </c>
      <c r="H10" s="176">
        <v>19312</v>
      </c>
      <c r="I10" s="176">
        <f t="shared" si="1"/>
        <v>0</v>
      </c>
      <c r="J10" s="176">
        <v>0</v>
      </c>
      <c r="K10" s="302">
        <v>0</v>
      </c>
      <c r="L10" s="176">
        <v>0</v>
      </c>
      <c r="M10" s="176">
        <f t="shared" si="2"/>
        <v>0</v>
      </c>
      <c r="N10" s="176">
        <v>0</v>
      </c>
      <c r="O10" s="302">
        <v>0</v>
      </c>
      <c r="P10" s="176">
        <v>0</v>
      </c>
      <c r="Q10" s="176">
        <f t="shared" si="3"/>
        <v>0</v>
      </c>
      <c r="R10" s="176">
        <v>0</v>
      </c>
      <c r="S10" s="302">
        <v>0</v>
      </c>
      <c r="T10" s="176">
        <v>0</v>
      </c>
      <c r="U10" s="176">
        <f t="shared" si="4"/>
        <v>0</v>
      </c>
      <c r="V10" s="176">
        <v>0</v>
      </c>
      <c r="W10" s="302">
        <v>0</v>
      </c>
      <c r="X10" s="244">
        <v>0</v>
      </c>
      <c r="Y10" s="177">
        <f t="shared" si="5"/>
        <v>6527</v>
      </c>
      <c r="Z10" s="198">
        <v>0</v>
      </c>
      <c r="AA10" s="198">
        <v>6527</v>
      </c>
      <c r="AB10" s="198">
        <v>0</v>
      </c>
      <c r="AC10" s="198">
        <v>0</v>
      </c>
      <c r="AD10" s="198">
        <v>0</v>
      </c>
      <c r="AE10" s="312">
        <v>0</v>
      </c>
    </row>
    <row r="11" spans="1:31" s="61" customFormat="1" ht="27.75" customHeight="1">
      <c r="A11" s="152" t="s">
        <v>191</v>
      </c>
      <c r="B11" s="182">
        <f t="shared" si="6"/>
        <v>8771</v>
      </c>
      <c r="C11" s="312">
        <f>B11*1000000/(365*'イ 排出 総括表'!U10)</f>
        <v>180.06846748820809</v>
      </c>
      <c r="D11" s="177">
        <f t="shared" si="7"/>
        <v>6027</v>
      </c>
      <c r="E11" s="196">
        <f t="shared" si="0"/>
        <v>6027</v>
      </c>
      <c r="F11" s="196">
        <v>0</v>
      </c>
      <c r="G11" s="303">
        <v>0</v>
      </c>
      <c r="H11" s="196">
        <v>6027</v>
      </c>
      <c r="I11" s="196">
        <f t="shared" si="1"/>
        <v>0</v>
      </c>
      <c r="J11" s="196">
        <v>0</v>
      </c>
      <c r="K11" s="303">
        <v>0</v>
      </c>
      <c r="L11" s="196">
        <v>0</v>
      </c>
      <c r="M11" s="196">
        <f t="shared" si="2"/>
        <v>0</v>
      </c>
      <c r="N11" s="196">
        <v>0</v>
      </c>
      <c r="O11" s="303">
        <v>0</v>
      </c>
      <c r="P11" s="196">
        <v>0</v>
      </c>
      <c r="Q11" s="196">
        <f t="shared" si="3"/>
        <v>0</v>
      </c>
      <c r="R11" s="196">
        <v>0</v>
      </c>
      <c r="S11" s="303">
        <v>0</v>
      </c>
      <c r="T11" s="196">
        <v>0</v>
      </c>
      <c r="U11" s="196">
        <f t="shared" si="4"/>
        <v>0</v>
      </c>
      <c r="V11" s="196">
        <v>0</v>
      </c>
      <c r="W11" s="303">
        <v>0</v>
      </c>
      <c r="X11" s="318">
        <v>0</v>
      </c>
      <c r="Y11" s="195">
        <f t="shared" si="5"/>
        <v>2744</v>
      </c>
      <c r="Z11" s="311">
        <v>0</v>
      </c>
      <c r="AA11" s="311">
        <v>2567</v>
      </c>
      <c r="AB11" s="311">
        <v>71</v>
      </c>
      <c r="AC11" s="311">
        <v>0</v>
      </c>
      <c r="AD11" s="311">
        <v>0</v>
      </c>
      <c r="AE11" s="313">
        <v>106</v>
      </c>
    </row>
    <row r="12" spans="1:31" s="61" customFormat="1" ht="27.75" customHeight="1">
      <c r="A12" s="151" t="s">
        <v>192</v>
      </c>
      <c r="B12" s="189">
        <f t="shared" si="6"/>
        <v>8176</v>
      </c>
      <c r="C12" s="315">
        <f>B12*1000000/(365*'イ 排出 総括表'!U11)</f>
        <v>182.00875917153513</v>
      </c>
      <c r="D12" s="190">
        <f t="shared" si="7"/>
        <v>5888</v>
      </c>
      <c r="E12" s="197">
        <f t="shared" si="0"/>
        <v>5888</v>
      </c>
      <c r="F12" s="197">
        <v>0</v>
      </c>
      <c r="G12" s="304">
        <v>0</v>
      </c>
      <c r="H12" s="197">
        <v>5888</v>
      </c>
      <c r="I12" s="197">
        <f t="shared" si="1"/>
        <v>0</v>
      </c>
      <c r="J12" s="197">
        <v>0</v>
      </c>
      <c r="K12" s="304">
        <v>0</v>
      </c>
      <c r="L12" s="197">
        <v>0</v>
      </c>
      <c r="M12" s="197">
        <f t="shared" si="2"/>
        <v>0</v>
      </c>
      <c r="N12" s="197">
        <v>0</v>
      </c>
      <c r="O12" s="304">
        <v>0</v>
      </c>
      <c r="P12" s="197">
        <v>0</v>
      </c>
      <c r="Q12" s="197">
        <f t="shared" si="3"/>
        <v>0</v>
      </c>
      <c r="R12" s="197">
        <v>0</v>
      </c>
      <c r="S12" s="304">
        <v>0</v>
      </c>
      <c r="T12" s="197">
        <v>0</v>
      </c>
      <c r="U12" s="197">
        <f t="shared" si="4"/>
        <v>0</v>
      </c>
      <c r="V12" s="197">
        <v>0</v>
      </c>
      <c r="W12" s="304">
        <v>0</v>
      </c>
      <c r="X12" s="321">
        <v>0</v>
      </c>
      <c r="Y12" s="190">
        <f t="shared" si="5"/>
        <v>2288</v>
      </c>
      <c r="Z12" s="198">
        <v>0</v>
      </c>
      <c r="AA12" s="198">
        <v>2003</v>
      </c>
      <c r="AB12" s="198">
        <v>285</v>
      </c>
      <c r="AC12" s="198">
        <v>0</v>
      </c>
      <c r="AD12" s="198">
        <v>0</v>
      </c>
      <c r="AE12" s="312">
        <v>0</v>
      </c>
    </row>
    <row r="13" spans="1:31" s="61" customFormat="1" ht="27.75" customHeight="1">
      <c r="A13" s="154" t="s">
        <v>193</v>
      </c>
      <c r="B13" s="182">
        <f t="shared" si="6"/>
        <v>20127</v>
      </c>
      <c r="C13" s="312">
        <f>B13*1000000/(365*'イ 排出 総括表'!U12)</f>
        <v>179.1898982017621</v>
      </c>
      <c r="D13" s="177">
        <f t="shared" si="7"/>
        <v>16752</v>
      </c>
      <c r="E13" s="176">
        <f t="shared" si="0"/>
        <v>16727</v>
      </c>
      <c r="F13" s="176">
        <v>0</v>
      </c>
      <c r="G13" s="302">
        <v>581</v>
      </c>
      <c r="H13" s="176">
        <v>16146</v>
      </c>
      <c r="I13" s="176">
        <f t="shared" si="1"/>
        <v>25</v>
      </c>
      <c r="J13" s="176">
        <v>0</v>
      </c>
      <c r="K13" s="302">
        <v>19</v>
      </c>
      <c r="L13" s="176">
        <v>6</v>
      </c>
      <c r="M13" s="176">
        <f t="shared" si="2"/>
        <v>0</v>
      </c>
      <c r="N13" s="176">
        <v>0</v>
      </c>
      <c r="O13" s="302">
        <v>0</v>
      </c>
      <c r="P13" s="176">
        <v>0</v>
      </c>
      <c r="Q13" s="176">
        <f t="shared" si="3"/>
        <v>0</v>
      </c>
      <c r="R13" s="176">
        <v>0</v>
      </c>
      <c r="S13" s="302">
        <v>0</v>
      </c>
      <c r="T13" s="176">
        <v>0</v>
      </c>
      <c r="U13" s="176">
        <f t="shared" si="4"/>
        <v>0</v>
      </c>
      <c r="V13" s="176">
        <v>0</v>
      </c>
      <c r="W13" s="302">
        <v>0</v>
      </c>
      <c r="X13" s="244">
        <v>0</v>
      </c>
      <c r="Y13" s="177">
        <f t="shared" si="5"/>
        <v>3375</v>
      </c>
      <c r="Z13" s="198">
        <v>0</v>
      </c>
      <c r="AA13" s="198">
        <v>3165</v>
      </c>
      <c r="AB13" s="198">
        <v>210</v>
      </c>
      <c r="AC13" s="198">
        <v>0</v>
      </c>
      <c r="AD13" s="198">
        <v>0</v>
      </c>
      <c r="AE13" s="312">
        <v>0</v>
      </c>
    </row>
    <row r="14" spans="1:31" s="61" customFormat="1" ht="27.75" customHeight="1">
      <c r="A14" s="154" t="s">
        <v>194</v>
      </c>
      <c r="B14" s="182">
        <f t="shared" si="6"/>
        <v>17124</v>
      </c>
      <c r="C14" s="312">
        <f>B14*1000000/(365*'イ 排出 総括表'!U13)</f>
        <v>252.4269783765425</v>
      </c>
      <c r="D14" s="177">
        <f t="shared" si="7"/>
        <v>12409</v>
      </c>
      <c r="E14" s="176">
        <f t="shared" si="0"/>
        <v>12409</v>
      </c>
      <c r="F14" s="176">
        <v>0</v>
      </c>
      <c r="G14" s="302">
        <v>0</v>
      </c>
      <c r="H14" s="176">
        <v>12409</v>
      </c>
      <c r="I14" s="176">
        <f t="shared" si="1"/>
        <v>0</v>
      </c>
      <c r="J14" s="176">
        <v>0</v>
      </c>
      <c r="K14" s="302">
        <v>0</v>
      </c>
      <c r="L14" s="176">
        <v>0</v>
      </c>
      <c r="M14" s="176">
        <f t="shared" si="2"/>
        <v>0</v>
      </c>
      <c r="N14" s="176">
        <v>0</v>
      </c>
      <c r="O14" s="302">
        <v>0</v>
      </c>
      <c r="P14" s="176">
        <v>0</v>
      </c>
      <c r="Q14" s="176">
        <f t="shared" si="3"/>
        <v>0</v>
      </c>
      <c r="R14" s="176">
        <v>0</v>
      </c>
      <c r="S14" s="302">
        <v>0</v>
      </c>
      <c r="T14" s="176">
        <v>0</v>
      </c>
      <c r="U14" s="176">
        <f t="shared" si="4"/>
        <v>0</v>
      </c>
      <c r="V14" s="176">
        <v>0</v>
      </c>
      <c r="W14" s="302">
        <v>0</v>
      </c>
      <c r="X14" s="244">
        <v>0</v>
      </c>
      <c r="Y14" s="177">
        <f t="shared" si="5"/>
        <v>4715</v>
      </c>
      <c r="Z14" s="198">
        <v>0</v>
      </c>
      <c r="AA14" s="198">
        <v>3880</v>
      </c>
      <c r="AB14" s="198">
        <v>734</v>
      </c>
      <c r="AC14" s="198">
        <v>0</v>
      </c>
      <c r="AD14" s="198">
        <v>0</v>
      </c>
      <c r="AE14" s="312">
        <v>101</v>
      </c>
    </row>
    <row r="15" spans="1:31" s="61" customFormat="1" ht="27.75" customHeight="1">
      <c r="A15" s="154" t="s">
        <v>195</v>
      </c>
      <c r="B15" s="182">
        <f t="shared" si="6"/>
        <v>5570</v>
      </c>
      <c r="C15" s="312">
        <f>B15*1000000/(365*'イ 排出 総括表'!U14)</f>
        <v>229.119481902029</v>
      </c>
      <c r="D15" s="177">
        <f t="shared" si="7"/>
        <v>5570</v>
      </c>
      <c r="E15" s="176">
        <f t="shared" si="0"/>
        <v>5570</v>
      </c>
      <c r="F15" s="176">
        <v>0</v>
      </c>
      <c r="G15" s="302">
        <v>0</v>
      </c>
      <c r="H15" s="176">
        <v>5570</v>
      </c>
      <c r="I15" s="176">
        <f t="shared" si="1"/>
        <v>0</v>
      </c>
      <c r="J15" s="176">
        <v>0</v>
      </c>
      <c r="K15" s="302">
        <v>0</v>
      </c>
      <c r="L15" s="176">
        <v>0</v>
      </c>
      <c r="M15" s="176">
        <f t="shared" si="2"/>
        <v>0</v>
      </c>
      <c r="N15" s="176">
        <v>0</v>
      </c>
      <c r="O15" s="302">
        <v>0</v>
      </c>
      <c r="P15" s="176">
        <v>0</v>
      </c>
      <c r="Q15" s="176">
        <f t="shared" si="3"/>
        <v>0</v>
      </c>
      <c r="R15" s="176">
        <v>0</v>
      </c>
      <c r="S15" s="302">
        <v>0</v>
      </c>
      <c r="T15" s="176">
        <v>0</v>
      </c>
      <c r="U15" s="176">
        <f t="shared" si="4"/>
        <v>0</v>
      </c>
      <c r="V15" s="176">
        <v>0</v>
      </c>
      <c r="W15" s="302">
        <v>0</v>
      </c>
      <c r="X15" s="244">
        <v>0</v>
      </c>
      <c r="Y15" s="177">
        <f t="shared" si="5"/>
        <v>0</v>
      </c>
      <c r="Z15" s="198">
        <v>0</v>
      </c>
      <c r="AA15" s="198">
        <v>0</v>
      </c>
      <c r="AB15" s="198">
        <v>0</v>
      </c>
      <c r="AC15" s="198">
        <v>0</v>
      </c>
      <c r="AD15" s="198">
        <v>0</v>
      </c>
      <c r="AE15" s="312">
        <v>0</v>
      </c>
    </row>
    <row r="16" spans="1:31" s="61" customFormat="1" ht="27.75" customHeight="1">
      <c r="A16" s="152" t="s">
        <v>196</v>
      </c>
      <c r="B16" s="194">
        <f t="shared" si="6"/>
        <v>8051</v>
      </c>
      <c r="C16" s="313">
        <f>B16*1000000/(365*'イ 排出 総括表'!U15)</f>
        <v>301.5054299813464</v>
      </c>
      <c r="D16" s="195">
        <f t="shared" si="7"/>
        <v>6324</v>
      </c>
      <c r="E16" s="196">
        <f t="shared" si="0"/>
        <v>5261</v>
      </c>
      <c r="F16" s="196">
        <v>0</v>
      </c>
      <c r="G16" s="303">
        <v>0</v>
      </c>
      <c r="H16" s="196">
        <v>5261</v>
      </c>
      <c r="I16" s="196">
        <f t="shared" si="1"/>
        <v>230</v>
      </c>
      <c r="J16" s="196">
        <v>0</v>
      </c>
      <c r="K16" s="303">
        <v>0</v>
      </c>
      <c r="L16" s="196">
        <v>230</v>
      </c>
      <c r="M16" s="196">
        <f t="shared" si="2"/>
        <v>255</v>
      </c>
      <c r="N16" s="196">
        <v>0</v>
      </c>
      <c r="O16" s="303">
        <v>0</v>
      </c>
      <c r="P16" s="196">
        <v>255</v>
      </c>
      <c r="Q16" s="196">
        <f t="shared" si="3"/>
        <v>0</v>
      </c>
      <c r="R16" s="196">
        <v>0</v>
      </c>
      <c r="S16" s="303">
        <v>0</v>
      </c>
      <c r="T16" s="196">
        <v>0</v>
      </c>
      <c r="U16" s="196">
        <f t="shared" si="4"/>
        <v>578</v>
      </c>
      <c r="V16" s="196">
        <v>0</v>
      </c>
      <c r="W16" s="303">
        <v>0</v>
      </c>
      <c r="X16" s="318">
        <v>578</v>
      </c>
      <c r="Y16" s="195">
        <f t="shared" si="5"/>
        <v>1727</v>
      </c>
      <c r="Z16" s="311">
        <v>0</v>
      </c>
      <c r="AA16" s="311">
        <v>395</v>
      </c>
      <c r="AB16" s="311">
        <v>32</v>
      </c>
      <c r="AC16" s="311">
        <v>0</v>
      </c>
      <c r="AD16" s="311">
        <v>0</v>
      </c>
      <c r="AE16" s="313">
        <v>1300</v>
      </c>
    </row>
    <row r="17" spans="1:31" s="61" customFormat="1" ht="27.75" customHeight="1">
      <c r="A17" s="151" t="s">
        <v>197</v>
      </c>
      <c r="B17" s="182">
        <f t="shared" si="6"/>
        <v>15324</v>
      </c>
      <c r="C17" s="312">
        <f>B17*1000000/(365*'イ 排出 総括表'!U16)</f>
        <v>287.96494810373275</v>
      </c>
      <c r="D17" s="177">
        <f t="shared" si="7"/>
        <v>10417</v>
      </c>
      <c r="E17" s="197">
        <f t="shared" si="0"/>
        <v>10305</v>
      </c>
      <c r="F17" s="197">
        <v>200</v>
      </c>
      <c r="G17" s="304">
        <v>180</v>
      </c>
      <c r="H17" s="197">
        <v>9925</v>
      </c>
      <c r="I17" s="197">
        <f t="shared" si="1"/>
        <v>22</v>
      </c>
      <c r="J17" s="197">
        <v>0</v>
      </c>
      <c r="K17" s="304">
        <v>22</v>
      </c>
      <c r="L17" s="197">
        <v>0</v>
      </c>
      <c r="M17" s="197">
        <f t="shared" si="2"/>
        <v>90</v>
      </c>
      <c r="N17" s="197">
        <v>3</v>
      </c>
      <c r="O17" s="304">
        <v>87</v>
      </c>
      <c r="P17" s="197">
        <v>0</v>
      </c>
      <c r="Q17" s="197">
        <f t="shared" si="3"/>
        <v>0</v>
      </c>
      <c r="R17" s="197">
        <v>0</v>
      </c>
      <c r="S17" s="304">
        <v>0</v>
      </c>
      <c r="T17" s="197">
        <v>0</v>
      </c>
      <c r="U17" s="197">
        <f t="shared" si="4"/>
        <v>0</v>
      </c>
      <c r="V17" s="197">
        <v>0</v>
      </c>
      <c r="W17" s="304">
        <v>0</v>
      </c>
      <c r="X17" s="321">
        <v>0</v>
      </c>
      <c r="Y17" s="190">
        <f t="shared" si="5"/>
        <v>4907</v>
      </c>
      <c r="Z17" s="198">
        <v>0</v>
      </c>
      <c r="AA17" s="198">
        <v>3858</v>
      </c>
      <c r="AB17" s="198">
        <v>81</v>
      </c>
      <c r="AC17" s="198">
        <v>281</v>
      </c>
      <c r="AD17" s="198">
        <v>568</v>
      </c>
      <c r="AE17" s="312">
        <v>119</v>
      </c>
    </row>
    <row r="18" spans="1:31" s="61" customFormat="1" ht="27.75" customHeight="1">
      <c r="A18" s="154" t="s">
        <v>198</v>
      </c>
      <c r="B18" s="182">
        <f t="shared" si="6"/>
        <v>36830</v>
      </c>
      <c r="C18" s="312">
        <f>B18*1000000/(365*'イ 排出 総括表'!U17)</f>
        <v>231.03137820755595</v>
      </c>
      <c r="D18" s="177">
        <f t="shared" si="7"/>
        <v>31557</v>
      </c>
      <c r="E18" s="176">
        <f t="shared" si="0"/>
        <v>30684</v>
      </c>
      <c r="F18" s="176">
        <v>0</v>
      </c>
      <c r="G18" s="302">
        <v>0</v>
      </c>
      <c r="H18" s="176">
        <v>30684</v>
      </c>
      <c r="I18" s="176">
        <f t="shared" si="1"/>
        <v>0</v>
      </c>
      <c r="J18" s="176">
        <v>0</v>
      </c>
      <c r="K18" s="302">
        <v>0</v>
      </c>
      <c r="L18" s="176">
        <v>0</v>
      </c>
      <c r="M18" s="176">
        <f t="shared" si="2"/>
        <v>873</v>
      </c>
      <c r="N18" s="176">
        <v>0</v>
      </c>
      <c r="O18" s="302">
        <v>0</v>
      </c>
      <c r="P18" s="176">
        <v>873</v>
      </c>
      <c r="Q18" s="176">
        <f t="shared" si="3"/>
        <v>0</v>
      </c>
      <c r="R18" s="176">
        <v>0</v>
      </c>
      <c r="S18" s="302">
        <v>0</v>
      </c>
      <c r="T18" s="176">
        <v>0</v>
      </c>
      <c r="U18" s="176">
        <f t="shared" si="4"/>
        <v>0</v>
      </c>
      <c r="V18" s="176">
        <v>0</v>
      </c>
      <c r="W18" s="302">
        <v>0</v>
      </c>
      <c r="X18" s="244">
        <v>0</v>
      </c>
      <c r="Y18" s="177">
        <f t="shared" si="5"/>
        <v>5273</v>
      </c>
      <c r="Z18" s="198">
        <v>0</v>
      </c>
      <c r="AA18" s="198">
        <v>1744</v>
      </c>
      <c r="AB18" s="198">
        <v>565</v>
      </c>
      <c r="AC18" s="198">
        <v>2964</v>
      </c>
      <c r="AD18" s="198">
        <v>0</v>
      </c>
      <c r="AE18" s="312">
        <v>0</v>
      </c>
    </row>
    <row r="19" spans="1:31" s="61" customFormat="1" ht="27.75" customHeight="1">
      <c r="A19" s="154" t="s">
        <v>199</v>
      </c>
      <c r="B19" s="182">
        <f t="shared" si="6"/>
        <v>16420</v>
      </c>
      <c r="C19" s="312">
        <f>B19*1000000/(365*'イ 排出 総括表'!U18)</f>
        <v>248.88549092322043</v>
      </c>
      <c r="D19" s="177">
        <f t="shared" si="7"/>
        <v>11190</v>
      </c>
      <c r="E19" s="176">
        <f t="shared" si="0"/>
        <v>11190</v>
      </c>
      <c r="F19" s="176">
        <v>0</v>
      </c>
      <c r="G19" s="302">
        <v>0</v>
      </c>
      <c r="H19" s="176">
        <v>11190</v>
      </c>
      <c r="I19" s="176">
        <f t="shared" si="1"/>
        <v>0</v>
      </c>
      <c r="J19" s="176">
        <v>0</v>
      </c>
      <c r="K19" s="302">
        <v>0</v>
      </c>
      <c r="L19" s="176">
        <v>0</v>
      </c>
      <c r="M19" s="176">
        <f t="shared" si="2"/>
        <v>0</v>
      </c>
      <c r="N19" s="176">
        <v>0</v>
      </c>
      <c r="O19" s="302">
        <v>0</v>
      </c>
      <c r="P19" s="176">
        <v>0</v>
      </c>
      <c r="Q19" s="176">
        <f t="shared" si="3"/>
        <v>0</v>
      </c>
      <c r="R19" s="176">
        <v>0</v>
      </c>
      <c r="S19" s="302">
        <v>0</v>
      </c>
      <c r="T19" s="176">
        <v>0</v>
      </c>
      <c r="U19" s="176">
        <f t="shared" si="4"/>
        <v>0</v>
      </c>
      <c r="V19" s="176">
        <v>0</v>
      </c>
      <c r="W19" s="302">
        <v>0</v>
      </c>
      <c r="X19" s="244">
        <v>0</v>
      </c>
      <c r="Y19" s="177">
        <f t="shared" si="5"/>
        <v>5230</v>
      </c>
      <c r="Z19" s="198">
        <v>0</v>
      </c>
      <c r="AA19" s="198">
        <v>3862</v>
      </c>
      <c r="AB19" s="198">
        <v>26</v>
      </c>
      <c r="AC19" s="198">
        <v>1158</v>
      </c>
      <c r="AD19" s="198">
        <v>0</v>
      </c>
      <c r="AE19" s="312">
        <v>184</v>
      </c>
    </row>
    <row r="20" spans="1:31" s="61" customFormat="1" ht="27.75" customHeight="1">
      <c r="A20" s="154" t="s">
        <v>200</v>
      </c>
      <c r="B20" s="182">
        <f t="shared" si="6"/>
        <v>10367</v>
      </c>
      <c r="C20" s="312">
        <f>B20*1000000/(365*'イ 排出 総括表'!U19)</f>
        <v>260.41074664686937</v>
      </c>
      <c r="D20" s="177">
        <f t="shared" si="7"/>
        <v>9023</v>
      </c>
      <c r="E20" s="176">
        <f t="shared" si="0"/>
        <v>8781</v>
      </c>
      <c r="F20" s="176">
        <v>0</v>
      </c>
      <c r="G20" s="302">
        <v>0</v>
      </c>
      <c r="H20" s="176">
        <v>8781</v>
      </c>
      <c r="I20" s="176">
        <f t="shared" si="1"/>
        <v>28</v>
      </c>
      <c r="J20" s="176">
        <v>0</v>
      </c>
      <c r="K20" s="302">
        <v>0</v>
      </c>
      <c r="L20" s="176">
        <v>28</v>
      </c>
      <c r="M20" s="176">
        <f t="shared" si="2"/>
        <v>0</v>
      </c>
      <c r="N20" s="176">
        <v>0</v>
      </c>
      <c r="O20" s="302">
        <v>0</v>
      </c>
      <c r="P20" s="176">
        <v>0</v>
      </c>
      <c r="Q20" s="176">
        <f t="shared" si="3"/>
        <v>0</v>
      </c>
      <c r="R20" s="176">
        <v>0</v>
      </c>
      <c r="S20" s="302">
        <v>0</v>
      </c>
      <c r="T20" s="176">
        <v>0</v>
      </c>
      <c r="U20" s="176">
        <f t="shared" si="4"/>
        <v>214</v>
      </c>
      <c r="V20" s="176">
        <v>0</v>
      </c>
      <c r="W20" s="302">
        <v>0</v>
      </c>
      <c r="X20" s="244">
        <v>214</v>
      </c>
      <c r="Y20" s="177">
        <f t="shared" si="5"/>
        <v>1344</v>
      </c>
      <c r="Z20" s="198">
        <v>0</v>
      </c>
      <c r="AA20" s="198">
        <v>1299</v>
      </c>
      <c r="AB20" s="198">
        <v>45</v>
      </c>
      <c r="AC20" s="198">
        <v>0</v>
      </c>
      <c r="AD20" s="198">
        <v>0</v>
      </c>
      <c r="AE20" s="312">
        <v>0</v>
      </c>
    </row>
    <row r="21" spans="1:31" s="61" customFormat="1" ht="27.75" customHeight="1">
      <c r="A21" s="152" t="s">
        <v>201</v>
      </c>
      <c r="B21" s="194">
        <f t="shared" si="6"/>
        <v>10053</v>
      </c>
      <c r="C21" s="313">
        <f>B21*1000000/(365*'イ 排出 総括表'!U20)</f>
        <v>330.80864005170264</v>
      </c>
      <c r="D21" s="195">
        <f t="shared" si="7"/>
        <v>6361</v>
      </c>
      <c r="E21" s="196">
        <f t="shared" si="0"/>
        <v>6332</v>
      </c>
      <c r="F21" s="196">
        <v>0</v>
      </c>
      <c r="G21" s="303">
        <v>0</v>
      </c>
      <c r="H21" s="196">
        <v>6332</v>
      </c>
      <c r="I21" s="196">
        <f t="shared" si="1"/>
        <v>0</v>
      </c>
      <c r="J21" s="196">
        <v>0</v>
      </c>
      <c r="K21" s="303">
        <v>0</v>
      </c>
      <c r="L21" s="196">
        <v>0</v>
      </c>
      <c r="M21" s="196">
        <f t="shared" si="2"/>
        <v>0</v>
      </c>
      <c r="N21" s="196">
        <v>0</v>
      </c>
      <c r="O21" s="303">
        <v>0</v>
      </c>
      <c r="P21" s="196">
        <v>0</v>
      </c>
      <c r="Q21" s="196">
        <f t="shared" si="3"/>
        <v>0</v>
      </c>
      <c r="R21" s="196">
        <v>0</v>
      </c>
      <c r="S21" s="303">
        <v>0</v>
      </c>
      <c r="T21" s="196">
        <v>0</v>
      </c>
      <c r="U21" s="196">
        <f t="shared" si="4"/>
        <v>29</v>
      </c>
      <c r="V21" s="196">
        <v>0</v>
      </c>
      <c r="W21" s="303">
        <v>0</v>
      </c>
      <c r="X21" s="318">
        <v>29</v>
      </c>
      <c r="Y21" s="195">
        <f t="shared" si="5"/>
        <v>3692</v>
      </c>
      <c r="Z21" s="311">
        <v>0</v>
      </c>
      <c r="AA21" s="311">
        <v>3560</v>
      </c>
      <c r="AB21" s="311">
        <v>7</v>
      </c>
      <c r="AC21" s="311">
        <v>0</v>
      </c>
      <c r="AD21" s="311">
        <v>0</v>
      </c>
      <c r="AE21" s="313">
        <v>125</v>
      </c>
    </row>
    <row r="22" spans="1:31" s="61" customFormat="1" ht="27.75" customHeight="1">
      <c r="A22" s="151" t="s">
        <v>202</v>
      </c>
      <c r="B22" s="189">
        <f t="shared" si="6"/>
        <v>6184</v>
      </c>
      <c r="C22" s="315">
        <f>B22*1000000/(365*'イ 排出 総括表'!U21)</f>
        <v>218.3223039499073</v>
      </c>
      <c r="D22" s="190">
        <f t="shared" si="7"/>
        <v>4711</v>
      </c>
      <c r="E22" s="197">
        <f t="shared" si="0"/>
        <v>4637</v>
      </c>
      <c r="F22" s="197">
        <v>0</v>
      </c>
      <c r="G22" s="304">
        <v>0</v>
      </c>
      <c r="H22" s="197">
        <v>4637</v>
      </c>
      <c r="I22" s="197">
        <f t="shared" si="1"/>
        <v>74</v>
      </c>
      <c r="J22" s="197">
        <v>0</v>
      </c>
      <c r="K22" s="304">
        <v>0</v>
      </c>
      <c r="L22" s="197">
        <v>74</v>
      </c>
      <c r="M22" s="197">
        <f t="shared" si="2"/>
        <v>0</v>
      </c>
      <c r="N22" s="197">
        <v>0</v>
      </c>
      <c r="O22" s="304">
        <v>0</v>
      </c>
      <c r="P22" s="197">
        <v>0</v>
      </c>
      <c r="Q22" s="197">
        <f t="shared" si="3"/>
        <v>0</v>
      </c>
      <c r="R22" s="197">
        <v>0</v>
      </c>
      <c r="S22" s="304">
        <v>0</v>
      </c>
      <c r="T22" s="197">
        <v>0</v>
      </c>
      <c r="U22" s="197">
        <f t="shared" si="4"/>
        <v>0</v>
      </c>
      <c r="V22" s="197">
        <v>0</v>
      </c>
      <c r="W22" s="304">
        <v>0</v>
      </c>
      <c r="X22" s="321">
        <v>0</v>
      </c>
      <c r="Y22" s="190">
        <f t="shared" si="5"/>
        <v>1473</v>
      </c>
      <c r="Z22" s="198">
        <v>0</v>
      </c>
      <c r="AA22" s="198">
        <v>961</v>
      </c>
      <c r="AB22" s="198">
        <v>512</v>
      </c>
      <c r="AC22" s="198">
        <v>0</v>
      </c>
      <c r="AD22" s="198">
        <v>0</v>
      </c>
      <c r="AE22" s="312">
        <v>0</v>
      </c>
    </row>
    <row r="23" spans="1:31" s="61" customFormat="1" ht="27.75" customHeight="1">
      <c r="A23" s="154" t="s">
        <v>203</v>
      </c>
      <c r="B23" s="182">
        <f t="shared" si="6"/>
        <v>5708</v>
      </c>
      <c r="C23" s="312">
        <f>B23*1000000/(365*'イ 排出 総括表'!U22)</f>
        <v>281.09350692712303</v>
      </c>
      <c r="D23" s="177">
        <f t="shared" si="7"/>
        <v>5223</v>
      </c>
      <c r="E23" s="176">
        <f t="shared" si="0"/>
        <v>5138</v>
      </c>
      <c r="F23" s="176">
        <v>0</v>
      </c>
      <c r="G23" s="302">
        <v>0</v>
      </c>
      <c r="H23" s="176">
        <v>5138</v>
      </c>
      <c r="I23" s="176">
        <f t="shared" si="1"/>
        <v>85</v>
      </c>
      <c r="J23" s="176">
        <v>0</v>
      </c>
      <c r="K23" s="302">
        <v>0</v>
      </c>
      <c r="L23" s="176">
        <v>85</v>
      </c>
      <c r="M23" s="176">
        <f t="shared" si="2"/>
        <v>0</v>
      </c>
      <c r="N23" s="176">
        <v>0</v>
      </c>
      <c r="O23" s="302">
        <v>0</v>
      </c>
      <c r="P23" s="176">
        <v>0</v>
      </c>
      <c r="Q23" s="176">
        <f t="shared" si="3"/>
        <v>0</v>
      </c>
      <c r="R23" s="176">
        <v>0</v>
      </c>
      <c r="S23" s="302">
        <v>0</v>
      </c>
      <c r="T23" s="176">
        <v>0</v>
      </c>
      <c r="U23" s="176">
        <f t="shared" si="4"/>
        <v>0</v>
      </c>
      <c r="V23" s="176">
        <v>0</v>
      </c>
      <c r="W23" s="302">
        <v>0</v>
      </c>
      <c r="X23" s="244">
        <v>0</v>
      </c>
      <c r="Y23" s="177">
        <f t="shared" si="5"/>
        <v>485</v>
      </c>
      <c r="Z23" s="198">
        <v>0</v>
      </c>
      <c r="AA23" s="198">
        <v>439</v>
      </c>
      <c r="AB23" s="198">
        <v>46</v>
      </c>
      <c r="AC23" s="198">
        <v>0</v>
      </c>
      <c r="AD23" s="198">
        <v>0</v>
      </c>
      <c r="AE23" s="312">
        <v>0</v>
      </c>
    </row>
    <row r="24" spans="1:31" s="61" customFormat="1" ht="27.75" customHeight="1">
      <c r="A24" s="154" t="s">
        <v>204</v>
      </c>
      <c r="B24" s="182">
        <f t="shared" si="6"/>
        <v>5423</v>
      </c>
      <c r="C24" s="312">
        <f>B24*1000000/(365*'イ 排出 総括表'!U23)</f>
        <v>145.91960564304992</v>
      </c>
      <c r="D24" s="177">
        <f t="shared" si="7"/>
        <v>5423</v>
      </c>
      <c r="E24" s="176">
        <f t="shared" si="0"/>
        <v>5423</v>
      </c>
      <c r="F24" s="176">
        <v>0</v>
      </c>
      <c r="G24" s="302">
        <v>0</v>
      </c>
      <c r="H24" s="176">
        <v>5423</v>
      </c>
      <c r="I24" s="176">
        <f t="shared" si="1"/>
        <v>0</v>
      </c>
      <c r="J24" s="176">
        <v>0</v>
      </c>
      <c r="K24" s="302">
        <v>0</v>
      </c>
      <c r="L24" s="176">
        <v>0</v>
      </c>
      <c r="M24" s="176">
        <f t="shared" si="2"/>
        <v>0</v>
      </c>
      <c r="N24" s="176">
        <v>0</v>
      </c>
      <c r="O24" s="302">
        <v>0</v>
      </c>
      <c r="P24" s="176">
        <v>0</v>
      </c>
      <c r="Q24" s="176">
        <f t="shared" si="3"/>
        <v>0</v>
      </c>
      <c r="R24" s="176">
        <v>0</v>
      </c>
      <c r="S24" s="302">
        <v>0</v>
      </c>
      <c r="T24" s="176">
        <v>0</v>
      </c>
      <c r="U24" s="176">
        <f t="shared" si="4"/>
        <v>0</v>
      </c>
      <c r="V24" s="176">
        <v>0</v>
      </c>
      <c r="W24" s="302">
        <v>0</v>
      </c>
      <c r="X24" s="244">
        <v>0</v>
      </c>
      <c r="Y24" s="177">
        <f t="shared" si="5"/>
        <v>0</v>
      </c>
      <c r="Z24" s="198">
        <v>0</v>
      </c>
      <c r="AA24" s="198">
        <v>0</v>
      </c>
      <c r="AB24" s="198">
        <v>0</v>
      </c>
      <c r="AC24" s="198">
        <v>0</v>
      </c>
      <c r="AD24" s="198">
        <v>0</v>
      </c>
      <c r="AE24" s="312">
        <v>0</v>
      </c>
    </row>
    <row r="25" spans="1:31" s="61" customFormat="1" ht="27.75" customHeight="1">
      <c r="A25" s="154" t="s">
        <v>205</v>
      </c>
      <c r="B25" s="182">
        <f t="shared" si="6"/>
        <v>12833</v>
      </c>
      <c r="C25" s="312">
        <f>B25*1000000/(365*'イ 排出 総括表'!U24)</f>
        <v>228.7695388002176</v>
      </c>
      <c r="D25" s="177">
        <f t="shared" si="7"/>
        <v>11141</v>
      </c>
      <c r="E25" s="176">
        <f t="shared" si="0"/>
        <v>11118</v>
      </c>
      <c r="F25" s="176">
        <v>0</v>
      </c>
      <c r="G25" s="302">
        <v>0</v>
      </c>
      <c r="H25" s="176">
        <v>11118</v>
      </c>
      <c r="I25" s="176">
        <f t="shared" si="1"/>
        <v>0</v>
      </c>
      <c r="J25" s="176">
        <v>0</v>
      </c>
      <c r="K25" s="302">
        <v>0</v>
      </c>
      <c r="L25" s="176">
        <v>0</v>
      </c>
      <c r="M25" s="176">
        <f t="shared" si="2"/>
        <v>0</v>
      </c>
      <c r="N25" s="176">
        <v>0</v>
      </c>
      <c r="O25" s="302">
        <v>0</v>
      </c>
      <c r="P25" s="176">
        <v>0</v>
      </c>
      <c r="Q25" s="176">
        <f t="shared" si="3"/>
        <v>0</v>
      </c>
      <c r="R25" s="176">
        <v>0</v>
      </c>
      <c r="S25" s="302">
        <v>0</v>
      </c>
      <c r="T25" s="176">
        <v>0</v>
      </c>
      <c r="U25" s="176">
        <f t="shared" si="4"/>
        <v>23</v>
      </c>
      <c r="V25" s="176">
        <v>0</v>
      </c>
      <c r="W25" s="302">
        <v>0</v>
      </c>
      <c r="X25" s="244">
        <v>23</v>
      </c>
      <c r="Y25" s="177">
        <f t="shared" si="5"/>
        <v>1692</v>
      </c>
      <c r="Z25" s="198">
        <v>0</v>
      </c>
      <c r="AA25" s="198">
        <v>694</v>
      </c>
      <c r="AB25" s="198">
        <v>199</v>
      </c>
      <c r="AC25" s="198">
        <v>0</v>
      </c>
      <c r="AD25" s="198">
        <v>82</v>
      </c>
      <c r="AE25" s="312">
        <v>717</v>
      </c>
    </row>
    <row r="26" spans="1:31" s="61" customFormat="1" ht="27.75" customHeight="1">
      <c r="A26" s="152" t="s">
        <v>206</v>
      </c>
      <c r="B26" s="194">
        <f t="shared" si="6"/>
        <v>7670</v>
      </c>
      <c r="C26" s="313">
        <f>B26*1000000/(365*'イ 排出 総括表'!U25)</f>
        <v>152.02861071419156</v>
      </c>
      <c r="D26" s="195">
        <f t="shared" si="7"/>
        <v>7670</v>
      </c>
      <c r="E26" s="196">
        <f t="shared" si="0"/>
        <v>7406</v>
      </c>
      <c r="F26" s="196">
        <v>0</v>
      </c>
      <c r="G26" s="303">
        <v>0</v>
      </c>
      <c r="H26" s="196">
        <v>7406</v>
      </c>
      <c r="I26" s="196">
        <f t="shared" si="1"/>
        <v>264</v>
      </c>
      <c r="J26" s="196">
        <v>0</v>
      </c>
      <c r="K26" s="303">
        <v>0</v>
      </c>
      <c r="L26" s="196">
        <v>264</v>
      </c>
      <c r="M26" s="196">
        <f t="shared" si="2"/>
        <v>0</v>
      </c>
      <c r="N26" s="196">
        <v>0</v>
      </c>
      <c r="O26" s="303">
        <v>0</v>
      </c>
      <c r="P26" s="196">
        <v>0</v>
      </c>
      <c r="Q26" s="196">
        <f t="shared" si="3"/>
        <v>0</v>
      </c>
      <c r="R26" s="196">
        <v>0</v>
      </c>
      <c r="S26" s="303">
        <v>0</v>
      </c>
      <c r="T26" s="196">
        <v>0</v>
      </c>
      <c r="U26" s="196">
        <f t="shared" si="4"/>
        <v>0</v>
      </c>
      <c r="V26" s="196">
        <v>0</v>
      </c>
      <c r="W26" s="303">
        <v>0</v>
      </c>
      <c r="X26" s="318">
        <v>0</v>
      </c>
      <c r="Y26" s="195">
        <f t="shared" si="5"/>
        <v>0</v>
      </c>
      <c r="Z26" s="311">
        <v>0</v>
      </c>
      <c r="AA26" s="311">
        <v>0</v>
      </c>
      <c r="AB26" s="311">
        <v>0</v>
      </c>
      <c r="AC26" s="311">
        <v>0</v>
      </c>
      <c r="AD26" s="311">
        <v>0</v>
      </c>
      <c r="AE26" s="313">
        <v>0</v>
      </c>
    </row>
    <row r="27" spans="1:31" s="61" customFormat="1" ht="27.75" customHeight="1">
      <c r="A27" s="151" t="s">
        <v>207</v>
      </c>
      <c r="B27" s="189">
        <f t="shared" si="6"/>
        <v>3027</v>
      </c>
      <c r="C27" s="315">
        <f>B27*1000000/(365*'イ 排出 総括表'!U26)</f>
        <v>160.38428647272195</v>
      </c>
      <c r="D27" s="190">
        <f t="shared" si="7"/>
        <v>2680</v>
      </c>
      <c r="E27" s="197">
        <f t="shared" si="0"/>
        <v>2235</v>
      </c>
      <c r="F27" s="197">
        <v>0</v>
      </c>
      <c r="G27" s="304">
        <v>0</v>
      </c>
      <c r="H27" s="197">
        <v>2235</v>
      </c>
      <c r="I27" s="197">
        <f t="shared" si="1"/>
        <v>5</v>
      </c>
      <c r="J27" s="197">
        <v>5</v>
      </c>
      <c r="K27" s="304">
        <v>0</v>
      </c>
      <c r="L27" s="197">
        <v>0</v>
      </c>
      <c r="M27" s="197">
        <f t="shared" si="2"/>
        <v>437</v>
      </c>
      <c r="N27" s="197">
        <v>36</v>
      </c>
      <c r="O27" s="304">
        <v>0</v>
      </c>
      <c r="P27" s="197">
        <v>401</v>
      </c>
      <c r="Q27" s="197">
        <f t="shared" si="3"/>
        <v>0</v>
      </c>
      <c r="R27" s="197">
        <v>0</v>
      </c>
      <c r="S27" s="304">
        <v>0</v>
      </c>
      <c r="T27" s="197">
        <v>0</v>
      </c>
      <c r="U27" s="197">
        <f t="shared" si="4"/>
        <v>3</v>
      </c>
      <c r="V27" s="197">
        <v>0</v>
      </c>
      <c r="W27" s="304">
        <v>0</v>
      </c>
      <c r="X27" s="321">
        <v>3</v>
      </c>
      <c r="Y27" s="190">
        <f t="shared" si="5"/>
        <v>347</v>
      </c>
      <c r="Z27" s="198">
        <v>0</v>
      </c>
      <c r="AA27" s="198">
        <v>312</v>
      </c>
      <c r="AB27" s="198">
        <v>1</v>
      </c>
      <c r="AC27" s="198">
        <v>22</v>
      </c>
      <c r="AD27" s="198">
        <v>0</v>
      </c>
      <c r="AE27" s="312">
        <v>12</v>
      </c>
    </row>
    <row r="28" spans="1:31" s="61" customFormat="1" ht="27.75" customHeight="1">
      <c r="A28" s="154" t="s">
        <v>208</v>
      </c>
      <c r="B28" s="182">
        <f t="shared" si="6"/>
        <v>10429</v>
      </c>
      <c r="C28" s="312">
        <f>B28*1000000/(365*'イ 排出 総括表'!U27)</f>
        <v>262.72691339836723</v>
      </c>
      <c r="D28" s="177">
        <f t="shared" si="7"/>
        <v>7461</v>
      </c>
      <c r="E28" s="176">
        <f t="shared" si="0"/>
        <v>7365</v>
      </c>
      <c r="F28" s="176">
        <v>0</v>
      </c>
      <c r="G28" s="302">
        <v>0</v>
      </c>
      <c r="H28" s="176">
        <v>7365</v>
      </c>
      <c r="I28" s="176">
        <f t="shared" si="1"/>
        <v>96</v>
      </c>
      <c r="J28" s="176">
        <v>0</v>
      </c>
      <c r="K28" s="302">
        <v>0</v>
      </c>
      <c r="L28" s="176">
        <v>96</v>
      </c>
      <c r="M28" s="176">
        <f t="shared" si="2"/>
        <v>0</v>
      </c>
      <c r="N28" s="176">
        <v>0</v>
      </c>
      <c r="O28" s="302">
        <v>0</v>
      </c>
      <c r="P28" s="176">
        <v>0</v>
      </c>
      <c r="Q28" s="176">
        <f t="shared" si="3"/>
        <v>0</v>
      </c>
      <c r="R28" s="176">
        <v>0</v>
      </c>
      <c r="S28" s="302">
        <v>0</v>
      </c>
      <c r="T28" s="176">
        <v>0</v>
      </c>
      <c r="U28" s="176">
        <f t="shared" si="4"/>
        <v>0</v>
      </c>
      <c r="V28" s="176">
        <v>0</v>
      </c>
      <c r="W28" s="302">
        <v>0</v>
      </c>
      <c r="X28" s="244">
        <v>0</v>
      </c>
      <c r="Y28" s="177">
        <f t="shared" si="5"/>
        <v>2968</v>
      </c>
      <c r="Z28" s="198">
        <v>0</v>
      </c>
      <c r="AA28" s="198">
        <v>2934</v>
      </c>
      <c r="AB28" s="198">
        <v>34</v>
      </c>
      <c r="AC28" s="198">
        <v>0</v>
      </c>
      <c r="AD28" s="198">
        <v>0</v>
      </c>
      <c r="AE28" s="312">
        <v>0</v>
      </c>
    </row>
    <row r="29" spans="1:31" s="61" customFormat="1" ht="27.75" customHeight="1">
      <c r="A29" s="154" t="s">
        <v>209</v>
      </c>
      <c r="B29" s="182">
        <f t="shared" si="6"/>
        <v>5434</v>
      </c>
      <c r="C29" s="312">
        <f>B29*1000000/(365*'イ 排出 総括表'!U28)</f>
        <v>173.28977596699778</v>
      </c>
      <c r="D29" s="177">
        <f t="shared" si="7"/>
        <v>4229</v>
      </c>
      <c r="E29" s="176">
        <f t="shared" si="0"/>
        <v>3547</v>
      </c>
      <c r="F29" s="176">
        <v>0</v>
      </c>
      <c r="G29" s="302">
        <v>0</v>
      </c>
      <c r="H29" s="176">
        <v>3547</v>
      </c>
      <c r="I29" s="176">
        <f t="shared" si="1"/>
        <v>5</v>
      </c>
      <c r="J29" s="176">
        <v>0</v>
      </c>
      <c r="K29" s="302">
        <v>0</v>
      </c>
      <c r="L29" s="176">
        <v>5</v>
      </c>
      <c r="M29" s="176">
        <f t="shared" si="2"/>
        <v>677</v>
      </c>
      <c r="N29" s="176">
        <v>0</v>
      </c>
      <c r="O29" s="302">
        <v>0</v>
      </c>
      <c r="P29" s="176">
        <v>677</v>
      </c>
      <c r="Q29" s="176">
        <f t="shared" si="3"/>
        <v>0</v>
      </c>
      <c r="R29" s="176">
        <v>0</v>
      </c>
      <c r="S29" s="302">
        <v>0</v>
      </c>
      <c r="T29" s="176">
        <v>0</v>
      </c>
      <c r="U29" s="176">
        <f t="shared" si="4"/>
        <v>0</v>
      </c>
      <c r="V29" s="176">
        <v>0</v>
      </c>
      <c r="W29" s="302">
        <v>0</v>
      </c>
      <c r="X29" s="244">
        <v>0</v>
      </c>
      <c r="Y29" s="177">
        <f t="shared" si="5"/>
        <v>1205</v>
      </c>
      <c r="Z29" s="198">
        <v>0</v>
      </c>
      <c r="AA29" s="198">
        <v>1193</v>
      </c>
      <c r="AB29" s="198">
        <v>12</v>
      </c>
      <c r="AC29" s="198">
        <v>0</v>
      </c>
      <c r="AD29" s="198">
        <v>0</v>
      </c>
      <c r="AE29" s="312">
        <v>0</v>
      </c>
    </row>
    <row r="30" spans="1:31" s="61" customFormat="1" ht="27.75" customHeight="1">
      <c r="A30" s="154" t="s">
        <v>210</v>
      </c>
      <c r="B30" s="182">
        <f t="shared" si="6"/>
        <v>4513</v>
      </c>
      <c r="C30" s="312">
        <f>B30*1000000/(365*'イ 排出 総括表'!U29)</f>
        <v>142.6983457204962</v>
      </c>
      <c r="D30" s="177">
        <f t="shared" si="7"/>
        <v>2116</v>
      </c>
      <c r="E30" s="176">
        <f t="shared" si="0"/>
        <v>2113</v>
      </c>
      <c r="F30" s="176">
        <v>105</v>
      </c>
      <c r="G30" s="302">
        <v>0</v>
      </c>
      <c r="H30" s="176">
        <v>2008</v>
      </c>
      <c r="I30" s="176">
        <f t="shared" si="1"/>
        <v>3</v>
      </c>
      <c r="J30" s="176">
        <v>0</v>
      </c>
      <c r="K30" s="302">
        <v>0</v>
      </c>
      <c r="L30" s="176">
        <v>3</v>
      </c>
      <c r="M30" s="176">
        <f t="shared" si="2"/>
        <v>0</v>
      </c>
      <c r="N30" s="176">
        <v>0</v>
      </c>
      <c r="O30" s="302">
        <v>0</v>
      </c>
      <c r="P30" s="176">
        <v>0</v>
      </c>
      <c r="Q30" s="176">
        <f t="shared" si="3"/>
        <v>0</v>
      </c>
      <c r="R30" s="176">
        <v>0</v>
      </c>
      <c r="S30" s="302">
        <v>0</v>
      </c>
      <c r="T30" s="176">
        <v>0</v>
      </c>
      <c r="U30" s="176">
        <f t="shared" si="4"/>
        <v>0</v>
      </c>
      <c r="V30" s="176">
        <v>0</v>
      </c>
      <c r="W30" s="302">
        <v>0</v>
      </c>
      <c r="X30" s="244">
        <v>0</v>
      </c>
      <c r="Y30" s="177">
        <f t="shared" si="5"/>
        <v>2397</v>
      </c>
      <c r="Z30" s="198">
        <v>0</v>
      </c>
      <c r="AA30" s="198">
        <v>2392</v>
      </c>
      <c r="AB30" s="198">
        <v>5</v>
      </c>
      <c r="AC30" s="198">
        <v>0</v>
      </c>
      <c r="AD30" s="198">
        <v>0</v>
      </c>
      <c r="AE30" s="312">
        <v>0</v>
      </c>
    </row>
    <row r="31" spans="1:31" s="61" customFormat="1" ht="27.75" customHeight="1">
      <c r="A31" s="152" t="s">
        <v>211</v>
      </c>
      <c r="B31" s="194">
        <f t="shared" si="6"/>
        <v>5811</v>
      </c>
      <c r="C31" s="313">
        <f>B31*1000000/(365*'イ 排出 総括表'!U30)</f>
        <v>229.2870734529485</v>
      </c>
      <c r="D31" s="195">
        <f t="shared" si="7"/>
        <v>4031</v>
      </c>
      <c r="E31" s="196">
        <f t="shared" si="0"/>
        <v>4015</v>
      </c>
      <c r="F31" s="196">
        <v>0</v>
      </c>
      <c r="G31" s="303">
        <v>0</v>
      </c>
      <c r="H31" s="196">
        <v>4015</v>
      </c>
      <c r="I31" s="196">
        <f t="shared" si="1"/>
        <v>0</v>
      </c>
      <c r="J31" s="196">
        <v>0</v>
      </c>
      <c r="K31" s="303">
        <v>0</v>
      </c>
      <c r="L31" s="196">
        <v>0</v>
      </c>
      <c r="M31" s="196">
        <f t="shared" si="2"/>
        <v>0</v>
      </c>
      <c r="N31" s="196">
        <v>0</v>
      </c>
      <c r="O31" s="303">
        <v>0</v>
      </c>
      <c r="P31" s="196">
        <v>0</v>
      </c>
      <c r="Q31" s="196">
        <f t="shared" si="3"/>
        <v>0</v>
      </c>
      <c r="R31" s="196">
        <v>0</v>
      </c>
      <c r="S31" s="303">
        <v>0</v>
      </c>
      <c r="T31" s="196">
        <v>0</v>
      </c>
      <c r="U31" s="196">
        <f t="shared" si="4"/>
        <v>16</v>
      </c>
      <c r="V31" s="196">
        <v>0</v>
      </c>
      <c r="W31" s="303">
        <v>0</v>
      </c>
      <c r="X31" s="318">
        <v>16</v>
      </c>
      <c r="Y31" s="195">
        <f t="shared" si="5"/>
        <v>1780</v>
      </c>
      <c r="Z31" s="311">
        <v>0</v>
      </c>
      <c r="AA31" s="311">
        <v>1750</v>
      </c>
      <c r="AB31" s="311">
        <v>0</v>
      </c>
      <c r="AC31" s="311">
        <v>0</v>
      </c>
      <c r="AD31" s="311">
        <v>0</v>
      </c>
      <c r="AE31" s="313">
        <v>30</v>
      </c>
    </row>
    <row r="32" spans="1:31" s="61" customFormat="1" ht="27.75" customHeight="1">
      <c r="A32" s="151" t="s">
        <v>212</v>
      </c>
      <c r="B32" s="189">
        <f t="shared" si="6"/>
        <v>6098</v>
      </c>
      <c r="C32" s="315">
        <f>B32*1000000/(365*'イ 排出 総括表'!U31)</f>
        <v>204.80354661438545</v>
      </c>
      <c r="D32" s="190">
        <f t="shared" si="7"/>
        <v>4656</v>
      </c>
      <c r="E32" s="197">
        <f t="shared" si="0"/>
        <v>4656</v>
      </c>
      <c r="F32" s="197">
        <v>0</v>
      </c>
      <c r="G32" s="304">
        <v>0</v>
      </c>
      <c r="H32" s="197">
        <v>4656</v>
      </c>
      <c r="I32" s="197">
        <f t="shared" si="1"/>
        <v>0</v>
      </c>
      <c r="J32" s="197">
        <v>0</v>
      </c>
      <c r="K32" s="304">
        <v>0</v>
      </c>
      <c r="L32" s="197">
        <v>0</v>
      </c>
      <c r="M32" s="197">
        <f t="shared" si="2"/>
        <v>0</v>
      </c>
      <c r="N32" s="197">
        <v>0</v>
      </c>
      <c r="O32" s="304">
        <v>0</v>
      </c>
      <c r="P32" s="197">
        <v>0</v>
      </c>
      <c r="Q32" s="197">
        <f t="shared" si="3"/>
        <v>0</v>
      </c>
      <c r="R32" s="197">
        <v>0</v>
      </c>
      <c r="S32" s="304">
        <v>0</v>
      </c>
      <c r="T32" s="197">
        <v>0</v>
      </c>
      <c r="U32" s="197">
        <f t="shared" si="4"/>
        <v>0</v>
      </c>
      <c r="V32" s="197">
        <v>0</v>
      </c>
      <c r="W32" s="304">
        <v>0</v>
      </c>
      <c r="X32" s="321">
        <v>0</v>
      </c>
      <c r="Y32" s="190">
        <f t="shared" si="5"/>
        <v>1442</v>
      </c>
      <c r="Z32" s="198">
        <v>0</v>
      </c>
      <c r="AA32" s="198">
        <v>1350</v>
      </c>
      <c r="AB32" s="198">
        <v>28</v>
      </c>
      <c r="AC32" s="198">
        <v>0</v>
      </c>
      <c r="AD32" s="198">
        <v>0</v>
      </c>
      <c r="AE32" s="312">
        <v>64</v>
      </c>
    </row>
    <row r="33" spans="1:31" s="61" customFormat="1" ht="27.75" customHeight="1">
      <c r="A33" s="154" t="s">
        <v>213</v>
      </c>
      <c r="B33" s="182">
        <f t="shared" si="6"/>
        <v>4044</v>
      </c>
      <c r="C33" s="312">
        <f>B33*1000000/(365*'イ 排出 総括表'!U32)</f>
        <v>244.96887005382774</v>
      </c>
      <c r="D33" s="177">
        <f t="shared" si="7"/>
        <v>3556</v>
      </c>
      <c r="E33" s="176">
        <f t="shared" si="0"/>
        <v>3488</v>
      </c>
      <c r="F33" s="176">
        <v>0</v>
      </c>
      <c r="G33" s="302">
        <v>0</v>
      </c>
      <c r="H33" s="176">
        <v>3488</v>
      </c>
      <c r="I33" s="176">
        <f t="shared" si="1"/>
        <v>66</v>
      </c>
      <c r="J33" s="176">
        <v>0</v>
      </c>
      <c r="K33" s="302">
        <v>0</v>
      </c>
      <c r="L33" s="176">
        <v>66</v>
      </c>
      <c r="M33" s="176">
        <f t="shared" si="2"/>
        <v>0</v>
      </c>
      <c r="N33" s="176">
        <v>0</v>
      </c>
      <c r="O33" s="302">
        <v>0</v>
      </c>
      <c r="P33" s="176">
        <v>0</v>
      </c>
      <c r="Q33" s="176">
        <f t="shared" si="3"/>
        <v>0</v>
      </c>
      <c r="R33" s="176">
        <v>0</v>
      </c>
      <c r="S33" s="302">
        <v>0</v>
      </c>
      <c r="T33" s="176">
        <v>0</v>
      </c>
      <c r="U33" s="176">
        <f t="shared" si="4"/>
        <v>2</v>
      </c>
      <c r="V33" s="176">
        <v>0</v>
      </c>
      <c r="W33" s="302">
        <v>0</v>
      </c>
      <c r="X33" s="244">
        <v>2</v>
      </c>
      <c r="Y33" s="177">
        <f t="shared" si="5"/>
        <v>488</v>
      </c>
      <c r="Z33" s="198">
        <v>0</v>
      </c>
      <c r="AA33" s="198">
        <v>476</v>
      </c>
      <c r="AB33" s="198">
        <v>6</v>
      </c>
      <c r="AC33" s="198">
        <v>0</v>
      </c>
      <c r="AD33" s="198">
        <v>0</v>
      </c>
      <c r="AE33" s="312">
        <v>6</v>
      </c>
    </row>
    <row r="34" spans="1:31" s="61" customFormat="1" ht="27.75" customHeight="1">
      <c r="A34" s="154" t="s">
        <v>214</v>
      </c>
      <c r="B34" s="182">
        <f t="shared" si="6"/>
        <v>1617</v>
      </c>
      <c r="C34" s="312">
        <f>B34*1000000/(365*'イ 排出 総括表'!U33)</f>
        <v>91.10446842909022</v>
      </c>
      <c r="D34" s="177">
        <f t="shared" si="7"/>
        <v>1441</v>
      </c>
      <c r="E34" s="176">
        <f t="shared" si="0"/>
        <v>1403</v>
      </c>
      <c r="F34" s="176">
        <v>0</v>
      </c>
      <c r="G34" s="302">
        <v>0</v>
      </c>
      <c r="H34" s="176">
        <v>1403</v>
      </c>
      <c r="I34" s="176">
        <f t="shared" si="1"/>
        <v>0</v>
      </c>
      <c r="J34" s="176">
        <v>0</v>
      </c>
      <c r="K34" s="302">
        <v>0</v>
      </c>
      <c r="L34" s="176">
        <v>0</v>
      </c>
      <c r="M34" s="176">
        <f t="shared" si="2"/>
        <v>0</v>
      </c>
      <c r="N34" s="176">
        <v>0</v>
      </c>
      <c r="O34" s="302">
        <v>0</v>
      </c>
      <c r="P34" s="176">
        <v>0</v>
      </c>
      <c r="Q34" s="176">
        <f t="shared" si="3"/>
        <v>0</v>
      </c>
      <c r="R34" s="176">
        <v>0</v>
      </c>
      <c r="S34" s="302">
        <v>0</v>
      </c>
      <c r="T34" s="176">
        <v>0</v>
      </c>
      <c r="U34" s="176">
        <f t="shared" si="4"/>
        <v>38</v>
      </c>
      <c r="V34" s="176">
        <v>0</v>
      </c>
      <c r="W34" s="302">
        <v>0</v>
      </c>
      <c r="X34" s="244">
        <v>38</v>
      </c>
      <c r="Y34" s="177">
        <f t="shared" si="5"/>
        <v>176</v>
      </c>
      <c r="Z34" s="198">
        <v>0</v>
      </c>
      <c r="AA34" s="198">
        <v>63</v>
      </c>
      <c r="AB34" s="198">
        <v>41</v>
      </c>
      <c r="AC34" s="198">
        <v>0</v>
      </c>
      <c r="AD34" s="198">
        <v>1</v>
      </c>
      <c r="AE34" s="312">
        <v>71</v>
      </c>
    </row>
    <row r="35" spans="1:31" s="61" customFormat="1" ht="27.75" customHeight="1">
      <c r="A35" s="154" t="s">
        <v>215</v>
      </c>
      <c r="B35" s="182">
        <f t="shared" si="6"/>
        <v>2952</v>
      </c>
      <c r="C35" s="312">
        <f>B35*1000000/(365*'イ 排出 総括表'!U34)</f>
        <v>117.53456907873323</v>
      </c>
      <c r="D35" s="177">
        <f t="shared" si="7"/>
        <v>2382</v>
      </c>
      <c r="E35" s="176">
        <f t="shared" si="0"/>
        <v>2376</v>
      </c>
      <c r="F35" s="176">
        <v>0</v>
      </c>
      <c r="G35" s="302">
        <v>0</v>
      </c>
      <c r="H35" s="176">
        <v>2376</v>
      </c>
      <c r="I35" s="176">
        <f t="shared" si="1"/>
        <v>0</v>
      </c>
      <c r="J35" s="176">
        <v>0</v>
      </c>
      <c r="K35" s="302">
        <v>0</v>
      </c>
      <c r="L35" s="176">
        <v>0</v>
      </c>
      <c r="M35" s="176">
        <f t="shared" si="2"/>
        <v>6</v>
      </c>
      <c r="N35" s="176">
        <v>6</v>
      </c>
      <c r="O35" s="302">
        <v>0</v>
      </c>
      <c r="P35" s="176"/>
      <c r="Q35" s="176">
        <f t="shared" si="3"/>
        <v>0</v>
      </c>
      <c r="R35" s="176">
        <v>0</v>
      </c>
      <c r="S35" s="302">
        <v>0</v>
      </c>
      <c r="T35" s="176">
        <v>0</v>
      </c>
      <c r="U35" s="176">
        <f t="shared" si="4"/>
        <v>0</v>
      </c>
      <c r="V35" s="176">
        <v>0</v>
      </c>
      <c r="W35" s="302">
        <v>0</v>
      </c>
      <c r="X35" s="244">
        <v>0</v>
      </c>
      <c r="Y35" s="177">
        <f t="shared" si="5"/>
        <v>570</v>
      </c>
      <c r="Z35" s="198">
        <v>0</v>
      </c>
      <c r="AA35" s="198">
        <v>570</v>
      </c>
      <c r="AB35" s="198">
        <v>0</v>
      </c>
      <c r="AC35" s="198">
        <v>0</v>
      </c>
      <c r="AD35" s="198">
        <v>0</v>
      </c>
      <c r="AE35" s="312">
        <v>0</v>
      </c>
    </row>
    <row r="36" spans="1:31" s="61" customFormat="1" ht="27.75" customHeight="1">
      <c r="A36" s="152" t="s">
        <v>216</v>
      </c>
      <c r="B36" s="194">
        <f t="shared" si="6"/>
        <v>4941</v>
      </c>
      <c r="C36" s="313">
        <f>B36*1000000/(365*'イ 排出 総括表'!U35)</f>
        <v>164.97253462720414</v>
      </c>
      <c r="D36" s="195">
        <f t="shared" si="7"/>
        <v>3219</v>
      </c>
      <c r="E36" s="196">
        <f t="shared" si="0"/>
        <v>3219</v>
      </c>
      <c r="F36" s="196">
        <v>0</v>
      </c>
      <c r="G36" s="303">
        <v>0</v>
      </c>
      <c r="H36" s="196">
        <v>3219</v>
      </c>
      <c r="I36" s="196">
        <f t="shared" si="1"/>
        <v>0</v>
      </c>
      <c r="J36" s="196">
        <v>0</v>
      </c>
      <c r="K36" s="303">
        <v>0</v>
      </c>
      <c r="L36" s="196">
        <v>0</v>
      </c>
      <c r="M36" s="196">
        <f t="shared" si="2"/>
        <v>0</v>
      </c>
      <c r="N36" s="196">
        <v>0</v>
      </c>
      <c r="O36" s="303">
        <v>0</v>
      </c>
      <c r="P36" s="196">
        <v>0</v>
      </c>
      <c r="Q36" s="196">
        <f t="shared" si="3"/>
        <v>0</v>
      </c>
      <c r="R36" s="196">
        <v>0</v>
      </c>
      <c r="S36" s="303">
        <v>0</v>
      </c>
      <c r="T36" s="196">
        <v>0</v>
      </c>
      <c r="U36" s="196">
        <f t="shared" si="4"/>
        <v>0</v>
      </c>
      <c r="V36" s="196">
        <v>0</v>
      </c>
      <c r="W36" s="303">
        <v>0</v>
      </c>
      <c r="X36" s="318">
        <v>0</v>
      </c>
      <c r="Y36" s="195">
        <f t="shared" si="5"/>
        <v>1722</v>
      </c>
      <c r="Z36" s="311">
        <v>0</v>
      </c>
      <c r="AA36" s="311">
        <v>1694</v>
      </c>
      <c r="AB36" s="311">
        <v>0</v>
      </c>
      <c r="AC36" s="311">
        <v>27</v>
      </c>
      <c r="AD36" s="311">
        <v>0</v>
      </c>
      <c r="AE36" s="313">
        <v>1</v>
      </c>
    </row>
    <row r="37" spans="1:31" s="61" customFormat="1" ht="27.75" customHeight="1">
      <c r="A37" s="154" t="s">
        <v>217</v>
      </c>
      <c r="B37" s="182">
        <f>SUM(D37,Y37)</f>
        <v>7123</v>
      </c>
      <c r="C37" s="312">
        <f>B37*1000000/(365*'イ 排出 総括表'!U36)</f>
        <v>288.8254398323247</v>
      </c>
      <c r="D37" s="177">
        <f>SUM(E37,I37,M37,Q37,U37)</f>
        <v>5897</v>
      </c>
      <c r="E37" s="176">
        <f>SUM(F37:H37)</f>
        <v>4495</v>
      </c>
      <c r="F37" s="176">
        <v>0</v>
      </c>
      <c r="G37" s="302">
        <v>0</v>
      </c>
      <c r="H37" s="176">
        <v>4495</v>
      </c>
      <c r="I37" s="176">
        <f>SUM(J37:L37)</f>
        <v>52</v>
      </c>
      <c r="J37" s="176">
        <v>0</v>
      </c>
      <c r="K37" s="302">
        <v>0</v>
      </c>
      <c r="L37" s="176">
        <v>52</v>
      </c>
      <c r="M37" s="176">
        <f>SUM(N37:P37)</f>
        <v>1350</v>
      </c>
      <c r="N37" s="176">
        <v>0</v>
      </c>
      <c r="O37" s="302">
        <v>0</v>
      </c>
      <c r="P37" s="176">
        <v>1350</v>
      </c>
      <c r="Q37" s="176">
        <f>SUM(R37:T37)</f>
        <v>0</v>
      </c>
      <c r="R37" s="176">
        <v>0</v>
      </c>
      <c r="S37" s="302">
        <v>0</v>
      </c>
      <c r="T37" s="176">
        <v>0</v>
      </c>
      <c r="U37" s="176">
        <f>SUM(V37:X37)</f>
        <v>0</v>
      </c>
      <c r="V37" s="176">
        <v>0</v>
      </c>
      <c r="W37" s="302">
        <v>0</v>
      </c>
      <c r="X37" s="244">
        <v>0</v>
      </c>
      <c r="Y37" s="177">
        <f>SUM(Z37:AE37)</f>
        <v>1226</v>
      </c>
      <c r="Z37" s="198"/>
      <c r="AA37" s="198">
        <v>533</v>
      </c>
      <c r="AB37" s="198">
        <v>43</v>
      </c>
      <c r="AC37" s="198">
        <v>650</v>
      </c>
      <c r="AD37" s="198">
        <v>0</v>
      </c>
      <c r="AE37" s="312">
        <v>0</v>
      </c>
    </row>
    <row r="38" spans="1:31" s="61" customFormat="1" ht="27.75" customHeight="1">
      <c r="A38" s="154" t="s">
        <v>218</v>
      </c>
      <c r="B38" s="182">
        <f>SUM(D38,Y38)</f>
        <v>1887</v>
      </c>
      <c r="C38" s="312">
        <f>B38*1000000/(365*'イ 排出 総括表'!U37)</f>
        <v>77.50454266158896</v>
      </c>
      <c r="D38" s="177">
        <f>SUM(E38,I38,M38,Q38,U38)</f>
        <v>1712</v>
      </c>
      <c r="E38" s="176">
        <f>SUM(F38:H38)</f>
        <v>1712</v>
      </c>
      <c r="F38" s="176">
        <v>0</v>
      </c>
      <c r="G38" s="302">
        <v>0</v>
      </c>
      <c r="H38" s="176">
        <v>1712</v>
      </c>
      <c r="I38" s="176">
        <f>SUM(J38:L38)</f>
        <v>0</v>
      </c>
      <c r="J38" s="176">
        <v>0</v>
      </c>
      <c r="K38" s="302">
        <v>0</v>
      </c>
      <c r="L38" s="176">
        <v>0</v>
      </c>
      <c r="M38" s="176">
        <f>SUM(N38:P38)</f>
        <v>0</v>
      </c>
      <c r="N38" s="176">
        <v>0</v>
      </c>
      <c r="O38" s="302">
        <v>0</v>
      </c>
      <c r="P38" s="176">
        <v>0</v>
      </c>
      <c r="Q38" s="176">
        <f>SUM(R38:T38)</f>
        <v>0</v>
      </c>
      <c r="R38" s="176">
        <v>0</v>
      </c>
      <c r="S38" s="302">
        <v>0</v>
      </c>
      <c r="T38" s="176">
        <v>0</v>
      </c>
      <c r="U38" s="176">
        <f>SUM(V38:X38)</f>
        <v>0</v>
      </c>
      <c r="V38" s="176">
        <v>0</v>
      </c>
      <c r="W38" s="302">
        <v>0</v>
      </c>
      <c r="X38" s="244">
        <v>0</v>
      </c>
      <c r="Y38" s="177">
        <f>SUM(Z38:AE38)</f>
        <v>175</v>
      </c>
      <c r="Z38" s="198">
        <v>0</v>
      </c>
      <c r="AA38" s="198">
        <v>175</v>
      </c>
      <c r="AB38" s="198">
        <v>0</v>
      </c>
      <c r="AC38" s="198">
        <v>0</v>
      </c>
      <c r="AD38" s="198">
        <v>0</v>
      </c>
      <c r="AE38" s="312">
        <v>0</v>
      </c>
    </row>
    <row r="39" spans="1:31" s="61" customFormat="1" ht="27.75" customHeight="1">
      <c r="A39" s="154" t="s">
        <v>219</v>
      </c>
      <c r="B39" s="182">
        <f>SUM(D39,Y39)</f>
        <v>1793</v>
      </c>
      <c r="C39" s="312">
        <f>B39*1000000/(365*'イ 排出 総括表'!U38)</f>
        <v>73.0751196335077</v>
      </c>
      <c r="D39" s="177">
        <f>SUM(E39,I39,M39,Q39,U39)</f>
        <v>1793</v>
      </c>
      <c r="E39" s="176">
        <f>SUM(F39:H39)</f>
        <v>1793</v>
      </c>
      <c r="F39" s="176">
        <v>0</v>
      </c>
      <c r="G39" s="302">
        <v>0</v>
      </c>
      <c r="H39" s="176">
        <v>1793</v>
      </c>
      <c r="I39" s="176">
        <f>SUM(J39:L39)</f>
        <v>0</v>
      </c>
      <c r="J39" s="176">
        <v>0</v>
      </c>
      <c r="K39" s="302">
        <v>0</v>
      </c>
      <c r="L39" s="176">
        <v>0</v>
      </c>
      <c r="M39" s="176">
        <f>SUM(N39:P39)</f>
        <v>0</v>
      </c>
      <c r="N39" s="176">
        <v>0</v>
      </c>
      <c r="O39" s="302">
        <v>0</v>
      </c>
      <c r="P39" s="176">
        <v>0</v>
      </c>
      <c r="Q39" s="176">
        <f>SUM(R39:T39)</f>
        <v>0</v>
      </c>
      <c r="R39" s="176">
        <v>0</v>
      </c>
      <c r="S39" s="302">
        <v>0</v>
      </c>
      <c r="T39" s="176">
        <v>0</v>
      </c>
      <c r="U39" s="176">
        <f>SUM(V39:X39)</f>
        <v>0</v>
      </c>
      <c r="V39" s="176">
        <v>0</v>
      </c>
      <c r="W39" s="302">
        <v>0</v>
      </c>
      <c r="X39" s="244">
        <v>0</v>
      </c>
      <c r="Y39" s="177">
        <f>SUM(Z39:AE39)</f>
        <v>0</v>
      </c>
      <c r="Z39" s="198">
        <v>0</v>
      </c>
      <c r="AA39" s="198">
        <v>0</v>
      </c>
      <c r="AB39" s="198">
        <v>0</v>
      </c>
      <c r="AC39" s="198">
        <v>0</v>
      </c>
      <c r="AD39" s="198">
        <v>0</v>
      </c>
      <c r="AE39" s="312">
        <v>0</v>
      </c>
    </row>
    <row r="40" spans="1:31" s="61" customFormat="1" ht="27.75" customHeight="1">
      <c r="A40" s="154" t="s">
        <v>220</v>
      </c>
      <c r="B40" s="182">
        <f>SUM(D40,Y40)</f>
        <v>4679</v>
      </c>
      <c r="C40" s="312">
        <f>B40*1000000/(365*'イ 排出 総括表'!U39)</f>
        <v>156.90548448215154</v>
      </c>
      <c r="D40" s="177">
        <f>SUM(E40,I40,M40,Q40,U40)</f>
        <v>4679</v>
      </c>
      <c r="E40" s="176">
        <f>SUM(F40:H40)</f>
        <v>4033</v>
      </c>
      <c r="F40" s="176">
        <v>0</v>
      </c>
      <c r="G40" s="302">
        <v>0</v>
      </c>
      <c r="H40" s="176">
        <v>4033</v>
      </c>
      <c r="I40" s="176">
        <f>SUM(J40:L40)</f>
        <v>0</v>
      </c>
      <c r="J40" s="176">
        <v>0</v>
      </c>
      <c r="K40" s="302">
        <v>0</v>
      </c>
      <c r="L40" s="176">
        <v>0</v>
      </c>
      <c r="M40" s="176">
        <f>SUM(N40:P40)</f>
        <v>646</v>
      </c>
      <c r="N40" s="176">
        <v>0</v>
      </c>
      <c r="O40" s="302">
        <v>0</v>
      </c>
      <c r="P40" s="176">
        <v>646</v>
      </c>
      <c r="Q40" s="176">
        <f>SUM(R40:T40)</f>
        <v>0</v>
      </c>
      <c r="R40" s="176">
        <v>0</v>
      </c>
      <c r="S40" s="302">
        <v>0</v>
      </c>
      <c r="T40" s="176">
        <v>0</v>
      </c>
      <c r="U40" s="176">
        <f>SUM(V40:X40)</f>
        <v>0</v>
      </c>
      <c r="V40" s="176">
        <v>0</v>
      </c>
      <c r="W40" s="302">
        <v>0</v>
      </c>
      <c r="X40" s="244">
        <v>0</v>
      </c>
      <c r="Y40" s="177">
        <f>SUM(Z40:AE40)</f>
        <v>0</v>
      </c>
      <c r="Z40" s="198">
        <v>0</v>
      </c>
      <c r="AA40" s="198">
        <v>0</v>
      </c>
      <c r="AB40" s="198">
        <v>0</v>
      </c>
      <c r="AC40" s="198">
        <v>0</v>
      </c>
      <c r="AD40" s="198">
        <v>0</v>
      </c>
      <c r="AE40" s="312">
        <v>0</v>
      </c>
    </row>
    <row r="41" spans="1:31" s="61" customFormat="1" ht="27.75" customHeight="1">
      <c r="A41" s="152" t="s">
        <v>171</v>
      </c>
      <c r="B41" s="194">
        <f>SUM(D41,Y41)</f>
        <v>2056</v>
      </c>
      <c r="C41" s="313">
        <f>B41*1000000/(365*'イ 排出 総括表'!U40)</f>
        <v>126.84373789246908</v>
      </c>
      <c r="D41" s="195">
        <f>SUM(E41,I41,M41,Q41,U41)</f>
        <v>1828</v>
      </c>
      <c r="E41" s="196">
        <f>SUM(F41:H41)</f>
        <v>1828</v>
      </c>
      <c r="F41" s="196">
        <v>0</v>
      </c>
      <c r="G41" s="303">
        <v>0</v>
      </c>
      <c r="H41" s="196">
        <v>1828</v>
      </c>
      <c r="I41" s="196">
        <f>SUM(J41:L41)</f>
        <v>0</v>
      </c>
      <c r="J41" s="196">
        <v>0</v>
      </c>
      <c r="K41" s="303">
        <v>0</v>
      </c>
      <c r="L41" s="196">
        <v>0</v>
      </c>
      <c r="M41" s="196">
        <f>SUM(N41:P41)</f>
        <v>0</v>
      </c>
      <c r="N41" s="196">
        <v>0</v>
      </c>
      <c r="O41" s="303">
        <v>0</v>
      </c>
      <c r="P41" s="196">
        <v>0</v>
      </c>
      <c r="Q41" s="196">
        <f>SUM(R41:T41)</f>
        <v>0</v>
      </c>
      <c r="R41" s="196">
        <v>0</v>
      </c>
      <c r="S41" s="303">
        <v>0</v>
      </c>
      <c r="T41" s="196">
        <v>0</v>
      </c>
      <c r="U41" s="196">
        <f>SUM(V41:X41)</f>
        <v>0</v>
      </c>
      <c r="V41" s="196">
        <v>0</v>
      </c>
      <c r="W41" s="303">
        <v>0</v>
      </c>
      <c r="X41" s="318">
        <v>0</v>
      </c>
      <c r="Y41" s="195">
        <f>SUM(Z41:AE41)</f>
        <v>228</v>
      </c>
      <c r="Z41" s="311">
        <v>0</v>
      </c>
      <c r="AA41" s="311">
        <v>228</v>
      </c>
      <c r="AB41" s="311">
        <v>0</v>
      </c>
      <c r="AC41" s="311">
        <v>0</v>
      </c>
      <c r="AD41" s="311">
        <v>0</v>
      </c>
      <c r="AE41" s="313">
        <v>0</v>
      </c>
    </row>
    <row r="42" spans="1:31" s="61" customFormat="1" ht="27.75" customHeight="1">
      <c r="A42" s="154" t="s">
        <v>275</v>
      </c>
      <c r="B42" s="182">
        <f aca="true" t="shared" si="8" ref="B42:B63">SUM(D42,Y42)</f>
        <v>4618</v>
      </c>
      <c r="C42" s="312">
        <f>B42*1000000/(365*'イ 排出 総括表'!U41)</f>
        <v>218.1426368475413</v>
      </c>
      <c r="D42" s="190">
        <f aca="true" t="shared" si="9" ref="D42:D63">SUM(E42,I42,M42,Q42,U42)</f>
        <v>2354</v>
      </c>
      <c r="E42" s="176">
        <f aca="true" t="shared" si="10" ref="E42:E63">SUM(F42:H42)</f>
        <v>2354</v>
      </c>
      <c r="F42" s="176">
        <v>0</v>
      </c>
      <c r="G42" s="302">
        <v>0</v>
      </c>
      <c r="H42" s="176">
        <v>2354</v>
      </c>
      <c r="I42" s="176">
        <f aca="true" t="shared" si="11" ref="I42:I63">SUM(J42:L42)</f>
        <v>0</v>
      </c>
      <c r="J42" s="176">
        <v>0</v>
      </c>
      <c r="K42" s="302">
        <v>0</v>
      </c>
      <c r="L42" s="176">
        <v>0</v>
      </c>
      <c r="M42" s="176">
        <f aca="true" t="shared" si="12" ref="M42:M63">SUM(N42:P42)</f>
        <v>0</v>
      </c>
      <c r="N42" s="176">
        <v>0</v>
      </c>
      <c r="O42" s="302">
        <v>0</v>
      </c>
      <c r="P42" s="176">
        <v>0</v>
      </c>
      <c r="Q42" s="176">
        <f aca="true" t="shared" si="13" ref="Q42:Q63">SUM(R42:T42)</f>
        <v>0</v>
      </c>
      <c r="R42" s="176">
        <v>0</v>
      </c>
      <c r="S42" s="302">
        <v>0</v>
      </c>
      <c r="T42" s="176">
        <v>0</v>
      </c>
      <c r="U42" s="176">
        <f aca="true" t="shared" si="14" ref="U42:U63">SUM(V42:X42)</f>
        <v>0</v>
      </c>
      <c r="V42" s="176">
        <v>0</v>
      </c>
      <c r="W42" s="302">
        <v>0</v>
      </c>
      <c r="X42" s="244">
        <v>0</v>
      </c>
      <c r="Y42" s="177">
        <f aca="true" t="shared" si="15" ref="Y42:Y63">SUM(Z42:AE42)</f>
        <v>2264</v>
      </c>
      <c r="Z42" s="198">
        <v>0</v>
      </c>
      <c r="AA42" s="198">
        <v>2208</v>
      </c>
      <c r="AB42" s="198">
        <v>13</v>
      </c>
      <c r="AC42" s="198">
        <v>0</v>
      </c>
      <c r="AD42" s="198">
        <v>0</v>
      </c>
      <c r="AE42" s="312">
        <v>43</v>
      </c>
    </row>
    <row r="43" spans="1:31" s="61" customFormat="1" ht="27.75" customHeight="1">
      <c r="A43" s="154" t="s">
        <v>276</v>
      </c>
      <c r="B43" s="182">
        <f aca="true" t="shared" si="16" ref="B43:B48">SUM(D43,Y43)</f>
        <v>4644</v>
      </c>
      <c r="C43" s="312">
        <f>B43*1000000/(365*'イ 排出 総括表'!U42)</f>
        <v>144.4925066291849</v>
      </c>
      <c r="D43" s="177">
        <f aca="true" t="shared" si="17" ref="D43:D48">SUM(E43,I43,M43,Q43,U43)</f>
        <v>4534</v>
      </c>
      <c r="E43" s="176">
        <f t="shared" si="10"/>
        <v>4534</v>
      </c>
      <c r="F43" s="176">
        <v>0</v>
      </c>
      <c r="G43" s="302">
        <v>2855</v>
      </c>
      <c r="H43" s="176">
        <v>1679</v>
      </c>
      <c r="I43" s="176">
        <f t="shared" si="11"/>
        <v>0</v>
      </c>
      <c r="J43" s="176">
        <v>0</v>
      </c>
      <c r="K43" s="302">
        <v>0</v>
      </c>
      <c r="L43" s="176">
        <v>0</v>
      </c>
      <c r="M43" s="176">
        <f t="shared" si="12"/>
        <v>0</v>
      </c>
      <c r="N43" s="176">
        <v>0</v>
      </c>
      <c r="O43" s="302">
        <v>0</v>
      </c>
      <c r="P43" s="176">
        <v>0</v>
      </c>
      <c r="Q43" s="176">
        <f t="shared" si="13"/>
        <v>0</v>
      </c>
      <c r="R43" s="176">
        <v>0</v>
      </c>
      <c r="S43" s="302">
        <v>0</v>
      </c>
      <c r="T43" s="176">
        <v>0</v>
      </c>
      <c r="U43" s="176">
        <f t="shared" si="14"/>
        <v>0</v>
      </c>
      <c r="V43" s="176">
        <v>0</v>
      </c>
      <c r="W43" s="302">
        <v>0</v>
      </c>
      <c r="X43" s="244">
        <v>0</v>
      </c>
      <c r="Y43" s="177">
        <f t="shared" si="15"/>
        <v>110</v>
      </c>
      <c r="Z43" s="198">
        <v>0</v>
      </c>
      <c r="AA43" s="198">
        <v>110</v>
      </c>
      <c r="AB43" s="198">
        <v>0</v>
      </c>
      <c r="AC43" s="198">
        <v>0</v>
      </c>
      <c r="AD43" s="198">
        <v>0</v>
      </c>
      <c r="AE43" s="312">
        <v>0</v>
      </c>
    </row>
    <row r="44" spans="1:31" s="61" customFormat="1" ht="27.75" customHeight="1">
      <c r="A44" s="154" t="s">
        <v>221</v>
      </c>
      <c r="B44" s="182">
        <f t="shared" si="16"/>
        <v>2019</v>
      </c>
      <c r="C44" s="312">
        <f>B44*1000000/(365*'イ 排出 総括表'!U43)</f>
        <v>132.5038770017503</v>
      </c>
      <c r="D44" s="177">
        <f t="shared" si="17"/>
        <v>1014</v>
      </c>
      <c r="E44" s="176">
        <f t="shared" si="10"/>
        <v>1007</v>
      </c>
      <c r="F44" s="176">
        <v>0</v>
      </c>
      <c r="G44" s="302">
        <v>0</v>
      </c>
      <c r="H44" s="176">
        <v>1007</v>
      </c>
      <c r="I44" s="176">
        <f t="shared" si="11"/>
        <v>0</v>
      </c>
      <c r="J44" s="176">
        <v>0</v>
      </c>
      <c r="K44" s="302">
        <v>0</v>
      </c>
      <c r="L44" s="176">
        <v>0</v>
      </c>
      <c r="M44" s="176">
        <f t="shared" si="12"/>
        <v>7</v>
      </c>
      <c r="N44" s="176">
        <v>0</v>
      </c>
      <c r="O44" s="302">
        <v>0</v>
      </c>
      <c r="P44" s="176">
        <v>7</v>
      </c>
      <c r="Q44" s="176">
        <f t="shared" si="13"/>
        <v>0</v>
      </c>
      <c r="R44" s="176">
        <v>0</v>
      </c>
      <c r="S44" s="302">
        <v>0</v>
      </c>
      <c r="T44" s="176">
        <v>0</v>
      </c>
      <c r="U44" s="176">
        <f t="shared" si="14"/>
        <v>0</v>
      </c>
      <c r="V44" s="176">
        <v>0</v>
      </c>
      <c r="W44" s="302">
        <v>0</v>
      </c>
      <c r="X44" s="244">
        <v>0</v>
      </c>
      <c r="Y44" s="177">
        <f t="shared" si="15"/>
        <v>1005</v>
      </c>
      <c r="Z44" s="198">
        <v>0</v>
      </c>
      <c r="AA44" s="198">
        <v>975</v>
      </c>
      <c r="AB44" s="198">
        <v>3</v>
      </c>
      <c r="AC44" s="198">
        <v>0</v>
      </c>
      <c r="AD44" s="198">
        <v>0</v>
      </c>
      <c r="AE44" s="312">
        <v>27</v>
      </c>
    </row>
    <row r="45" spans="1:31" s="61" customFormat="1" ht="27.75" customHeight="1">
      <c r="A45" s="154" t="s">
        <v>222</v>
      </c>
      <c r="B45" s="182">
        <f t="shared" si="16"/>
        <v>5851</v>
      </c>
      <c r="C45" s="312">
        <f>B45*1000000/(365*'イ 排出 総括表'!U44)</f>
        <v>320.7823778576277</v>
      </c>
      <c r="D45" s="177">
        <f t="shared" si="17"/>
        <v>4329</v>
      </c>
      <c r="E45" s="176">
        <f t="shared" si="10"/>
        <v>4329</v>
      </c>
      <c r="F45" s="176">
        <v>0</v>
      </c>
      <c r="G45" s="302">
        <v>0</v>
      </c>
      <c r="H45" s="176">
        <v>4329</v>
      </c>
      <c r="I45" s="176">
        <f t="shared" si="11"/>
        <v>0</v>
      </c>
      <c r="J45" s="176">
        <v>0</v>
      </c>
      <c r="K45" s="302">
        <v>0</v>
      </c>
      <c r="L45" s="176">
        <v>0</v>
      </c>
      <c r="M45" s="176">
        <f t="shared" si="12"/>
        <v>0</v>
      </c>
      <c r="N45" s="176">
        <v>0</v>
      </c>
      <c r="O45" s="302">
        <v>0</v>
      </c>
      <c r="P45" s="176">
        <v>0</v>
      </c>
      <c r="Q45" s="176">
        <f t="shared" si="13"/>
        <v>0</v>
      </c>
      <c r="R45" s="176">
        <v>0</v>
      </c>
      <c r="S45" s="302">
        <v>0</v>
      </c>
      <c r="T45" s="176">
        <v>0</v>
      </c>
      <c r="U45" s="176">
        <f t="shared" si="14"/>
        <v>0</v>
      </c>
      <c r="V45" s="176">
        <v>0</v>
      </c>
      <c r="W45" s="302">
        <v>0</v>
      </c>
      <c r="X45" s="244">
        <v>0</v>
      </c>
      <c r="Y45" s="177">
        <f t="shared" si="15"/>
        <v>1522</v>
      </c>
      <c r="Z45" s="198">
        <v>0</v>
      </c>
      <c r="AA45" s="198">
        <v>1470</v>
      </c>
      <c r="AB45" s="198">
        <v>16</v>
      </c>
      <c r="AC45" s="198">
        <v>0</v>
      </c>
      <c r="AD45" s="198">
        <v>0</v>
      </c>
      <c r="AE45" s="312">
        <v>36</v>
      </c>
    </row>
    <row r="46" spans="1:31" s="61" customFormat="1" ht="27.75" customHeight="1">
      <c r="A46" s="152" t="s">
        <v>223</v>
      </c>
      <c r="B46" s="194">
        <f t="shared" si="16"/>
        <v>2839</v>
      </c>
      <c r="C46" s="313">
        <f>B46*1000000/(365*'イ 排出 総括表'!U45)</f>
        <v>537.3459199848581</v>
      </c>
      <c r="D46" s="195">
        <f t="shared" si="17"/>
        <v>2839</v>
      </c>
      <c r="E46" s="196">
        <f t="shared" si="10"/>
        <v>2839</v>
      </c>
      <c r="F46" s="196">
        <v>0</v>
      </c>
      <c r="G46" s="303">
        <v>0</v>
      </c>
      <c r="H46" s="196">
        <v>2839</v>
      </c>
      <c r="I46" s="196">
        <f t="shared" si="11"/>
        <v>0</v>
      </c>
      <c r="J46" s="196">
        <v>0</v>
      </c>
      <c r="K46" s="303">
        <v>0</v>
      </c>
      <c r="L46" s="196">
        <v>0</v>
      </c>
      <c r="M46" s="196">
        <f t="shared" si="12"/>
        <v>0</v>
      </c>
      <c r="N46" s="196">
        <v>0</v>
      </c>
      <c r="O46" s="303">
        <v>0</v>
      </c>
      <c r="P46" s="196">
        <v>0</v>
      </c>
      <c r="Q46" s="196">
        <f t="shared" si="13"/>
        <v>0</v>
      </c>
      <c r="R46" s="196">
        <v>0</v>
      </c>
      <c r="S46" s="303">
        <v>0</v>
      </c>
      <c r="T46" s="196">
        <v>0</v>
      </c>
      <c r="U46" s="196">
        <f t="shared" si="14"/>
        <v>0</v>
      </c>
      <c r="V46" s="196">
        <v>0</v>
      </c>
      <c r="W46" s="303">
        <v>0</v>
      </c>
      <c r="X46" s="318">
        <v>0</v>
      </c>
      <c r="Y46" s="195">
        <f t="shared" si="15"/>
        <v>0</v>
      </c>
      <c r="Z46" s="311">
        <v>0</v>
      </c>
      <c r="AA46" s="311">
        <v>0</v>
      </c>
      <c r="AB46" s="311">
        <v>0</v>
      </c>
      <c r="AC46" s="311">
        <v>0</v>
      </c>
      <c r="AD46" s="311">
        <v>0</v>
      </c>
      <c r="AE46" s="313">
        <v>0</v>
      </c>
    </row>
    <row r="47" spans="1:31" s="61" customFormat="1" ht="27.75" customHeight="1">
      <c r="A47" s="154" t="s">
        <v>224</v>
      </c>
      <c r="B47" s="189">
        <f t="shared" si="16"/>
        <v>2394</v>
      </c>
      <c r="C47" s="315">
        <f>B47*1000000/(365*'イ 排出 総括表'!U46)</f>
        <v>285.1077639464917</v>
      </c>
      <c r="D47" s="190">
        <f t="shared" si="17"/>
        <v>2128</v>
      </c>
      <c r="E47" s="197">
        <f t="shared" si="10"/>
        <v>2128</v>
      </c>
      <c r="F47" s="197">
        <v>0</v>
      </c>
      <c r="G47" s="304">
        <v>0</v>
      </c>
      <c r="H47" s="197">
        <v>2128</v>
      </c>
      <c r="I47" s="197">
        <f t="shared" si="11"/>
        <v>0</v>
      </c>
      <c r="J47" s="197">
        <v>0</v>
      </c>
      <c r="K47" s="304">
        <v>0</v>
      </c>
      <c r="L47" s="197">
        <v>0</v>
      </c>
      <c r="M47" s="176">
        <f t="shared" si="12"/>
        <v>0</v>
      </c>
      <c r="N47" s="197">
        <v>0</v>
      </c>
      <c r="O47" s="304">
        <v>0</v>
      </c>
      <c r="P47" s="197">
        <v>0</v>
      </c>
      <c r="Q47" s="176">
        <f t="shared" si="13"/>
        <v>0</v>
      </c>
      <c r="R47" s="176">
        <v>0</v>
      </c>
      <c r="S47" s="302">
        <v>0</v>
      </c>
      <c r="T47" s="176">
        <v>0</v>
      </c>
      <c r="U47" s="176">
        <f t="shared" si="14"/>
        <v>0</v>
      </c>
      <c r="V47" s="176">
        <v>0</v>
      </c>
      <c r="W47" s="302">
        <v>0</v>
      </c>
      <c r="X47" s="244">
        <v>0</v>
      </c>
      <c r="Y47" s="177">
        <f t="shared" si="15"/>
        <v>266</v>
      </c>
      <c r="Z47" s="198">
        <v>0</v>
      </c>
      <c r="AA47" s="198">
        <v>0</v>
      </c>
      <c r="AB47" s="198">
        <v>0</v>
      </c>
      <c r="AC47" s="198">
        <v>0</v>
      </c>
      <c r="AD47" s="198">
        <v>0</v>
      </c>
      <c r="AE47" s="312">
        <v>266</v>
      </c>
    </row>
    <row r="48" spans="1:31" s="61" customFormat="1" ht="27.75" customHeight="1">
      <c r="A48" s="83" t="s">
        <v>225</v>
      </c>
      <c r="B48" s="182">
        <f t="shared" si="16"/>
        <v>1953</v>
      </c>
      <c r="C48" s="312">
        <f>B48*1000000/(365*'イ 排出 総括表'!U47)</f>
        <v>157.22510964700427</v>
      </c>
      <c r="D48" s="177">
        <f t="shared" si="17"/>
        <v>1603</v>
      </c>
      <c r="E48" s="176">
        <f t="shared" si="10"/>
        <v>1603</v>
      </c>
      <c r="F48" s="176">
        <v>0</v>
      </c>
      <c r="G48" s="302">
        <v>0</v>
      </c>
      <c r="H48" s="176">
        <v>1603</v>
      </c>
      <c r="I48" s="176">
        <f t="shared" si="11"/>
        <v>0</v>
      </c>
      <c r="J48" s="176">
        <v>0</v>
      </c>
      <c r="K48" s="302">
        <v>0</v>
      </c>
      <c r="L48" s="176">
        <v>0</v>
      </c>
      <c r="M48" s="176">
        <f t="shared" si="12"/>
        <v>0</v>
      </c>
      <c r="N48" s="176">
        <v>0</v>
      </c>
      <c r="O48" s="302">
        <v>0</v>
      </c>
      <c r="P48" s="176">
        <v>0</v>
      </c>
      <c r="Q48" s="176">
        <f t="shared" si="13"/>
        <v>0</v>
      </c>
      <c r="R48" s="176">
        <v>0</v>
      </c>
      <c r="S48" s="302">
        <v>0</v>
      </c>
      <c r="T48" s="176">
        <v>0</v>
      </c>
      <c r="U48" s="176">
        <f t="shared" si="14"/>
        <v>0</v>
      </c>
      <c r="V48" s="176">
        <v>0</v>
      </c>
      <c r="W48" s="302">
        <v>0</v>
      </c>
      <c r="X48" s="244">
        <v>0</v>
      </c>
      <c r="Y48" s="177">
        <f t="shared" si="15"/>
        <v>350</v>
      </c>
      <c r="Z48" s="198">
        <v>0</v>
      </c>
      <c r="AA48" s="198">
        <v>0</v>
      </c>
      <c r="AB48" s="198">
        <v>0</v>
      </c>
      <c r="AC48" s="198">
        <v>350</v>
      </c>
      <c r="AD48" s="198">
        <v>0</v>
      </c>
      <c r="AE48" s="312">
        <v>0</v>
      </c>
    </row>
    <row r="49" spans="1:31" s="61" customFormat="1" ht="27.75" customHeight="1">
      <c r="A49" s="83" t="s">
        <v>226</v>
      </c>
      <c r="B49" s="182">
        <f t="shared" si="8"/>
        <v>959</v>
      </c>
      <c r="C49" s="312">
        <f>B49*1000000/(365*'イ 排出 総括表'!U48)</f>
        <v>87.66757625205113</v>
      </c>
      <c r="D49" s="177">
        <f t="shared" si="9"/>
        <v>856</v>
      </c>
      <c r="E49" s="176">
        <f t="shared" si="10"/>
        <v>856</v>
      </c>
      <c r="F49" s="176">
        <v>0</v>
      </c>
      <c r="G49" s="302">
        <v>0</v>
      </c>
      <c r="H49" s="176">
        <v>856</v>
      </c>
      <c r="I49" s="176">
        <f t="shared" si="11"/>
        <v>0</v>
      </c>
      <c r="J49" s="176">
        <v>0</v>
      </c>
      <c r="K49" s="302">
        <v>0</v>
      </c>
      <c r="L49" s="176">
        <v>0</v>
      </c>
      <c r="M49" s="176">
        <f t="shared" si="12"/>
        <v>0</v>
      </c>
      <c r="N49" s="176">
        <v>0</v>
      </c>
      <c r="O49" s="302">
        <v>0</v>
      </c>
      <c r="P49" s="176">
        <v>0</v>
      </c>
      <c r="Q49" s="176">
        <f t="shared" si="13"/>
        <v>0</v>
      </c>
      <c r="R49" s="176">
        <v>0</v>
      </c>
      <c r="S49" s="302">
        <v>0</v>
      </c>
      <c r="T49" s="176">
        <v>0</v>
      </c>
      <c r="U49" s="176">
        <f t="shared" si="14"/>
        <v>0</v>
      </c>
      <c r="V49" s="176">
        <v>0</v>
      </c>
      <c r="W49" s="302">
        <v>0</v>
      </c>
      <c r="X49" s="244">
        <v>0</v>
      </c>
      <c r="Y49" s="177">
        <f t="shared" si="15"/>
        <v>103</v>
      </c>
      <c r="Z49" s="198">
        <v>0</v>
      </c>
      <c r="AA49" s="198">
        <v>103</v>
      </c>
      <c r="AB49" s="198">
        <v>0</v>
      </c>
      <c r="AC49" s="198">
        <v>0</v>
      </c>
      <c r="AD49" s="198">
        <v>0</v>
      </c>
      <c r="AE49" s="312">
        <v>0</v>
      </c>
    </row>
    <row r="50" spans="1:31" s="61" customFormat="1" ht="27.75" customHeight="1">
      <c r="A50" s="154" t="s">
        <v>227</v>
      </c>
      <c r="B50" s="182">
        <f t="shared" si="8"/>
        <v>2083</v>
      </c>
      <c r="C50" s="312">
        <f>B50*1000000/(365*'イ 排出 総括表'!U49)</f>
        <v>152.05694799148685</v>
      </c>
      <c r="D50" s="177">
        <f t="shared" si="9"/>
        <v>2083</v>
      </c>
      <c r="E50" s="176">
        <f t="shared" si="10"/>
        <v>2083</v>
      </c>
      <c r="F50" s="176">
        <v>0</v>
      </c>
      <c r="G50" s="302">
        <v>0</v>
      </c>
      <c r="H50" s="176">
        <v>2083</v>
      </c>
      <c r="I50" s="176">
        <f t="shared" si="11"/>
        <v>0</v>
      </c>
      <c r="J50" s="176">
        <v>0</v>
      </c>
      <c r="K50" s="302">
        <v>0</v>
      </c>
      <c r="L50" s="176">
        <v>0</v>
      </c>
      <c r="M50" s="176">
        <f t="shared" si="12"/>
        <v>0</v>
      </c>
      <c r="N50" s="176">
        <v>0</v>
      </c>
      <c r="O50" s="302">
        <v>0</v>
      </c>
      <c r="P50" s="176">
        <v>0</v>
      </c>
      <c r="Q50" s="176">
        <f t="shared" si="13"/>
        <v>0</v>
      </c>
      <c r="R50" s="176">
        <v>0</v>
      </c>
      <c r="S50" s="302">
        <v>0</v>
      </c>
      <c r="T50" s="176">
        <v>0</v>
      </c>
      <c r="U50" s="176">
        <f t="shared" si="14"/>
        <v>0</v>
      </c>
      <c r="V50" s="176">
        <v>0</v>
      </c>
      <c r="W50" s="302">
        <v>0</v>
      </c>
      <c r="X50" s="244">
        <v>0</v>
      </c>
      <c r="Y50" s="177">
        <f t="shared" si="15"/>
        <v>0</v>
      </c>
      <c r="Z50" s="198">
        <v>0</v>
      </c>
      <c r="AA50" s="198">
        <v>0</v>
      </c>
      <c r="AB50" s="198">
        <v>0</v>
      </c>
      <c r="AC50" s="198">
        <v>0</v>
      </c>
      <c r="AD50" s="198">
        <v>0</v>
      </c>
      <c r="AE50" s="312">
        <v>0</v>
      </c>
    </row>
    <row r="51" spans="1:31" s="61" customFormat="1" ht="27.75" customHeight="1">
      <c r="A51" s="152" t="s">
        <v>228</v>
      </c>
      <c r="B51" s="194">
        <f t="shared" si="8"/>
        <v>800</v>
      </c>
      <c r="C51" s="313">
        <f>B51*1000000/(365*'イ 排出 総括表'!U50)</f>
        <v>469.8351172385441</v>
      </c>
      <c r="D51" s="195">
        <f t="shared" si="9"/>
        <v>800</v>
      </c>
      <c r="E51" s="196">
        <f t="shared" si="10"/>
        <v>800</v>
      </c>
      <c r="F51" s="196">
        <v>0</v>
      </c>
      <c r="G51" s="303">
        <v>0</v>
      </c>
      <c r="H51" s="196">
        <v>800</v>
      </c>
      <c r="I51" s="196">
        <f t="shared" si="11"/>
        <v>0</v>
      </c>
      <c r="J51" s="196">
        <v>0</v>
      </c>
      <c r="K51" s="303">
        <v>0</v>
      </c>
      <c r="L51" s="196">
        <v>0</v>
      </c>
      <c r="M51" s="196">
        <f t="shared" si="12"/>
        <v>0</v>
      </c>
      <c r="N51" s="196">
        <v>0</v>
      </c>
      <c r="O51" s="303">
        <v>0</v>
      </c>
      <c r="P51" s="176">
        <v>0</v>
      </c>
      <c r="Q51" s="196">
        <f t="shared" si="13"/>
        <v>0</v>
      </c>
      <c r="R51" s="196">
        <v>0</v>
      </c>
      <c r="S51" s="303">
        <v>0</v>
      </c>
      <c r="T51" s="196">
        <v>0</v>
      </c>
      <c r="U51" s="196">
        <f t="shared" si="14"/>
        <v>0</v>
      </c>
      <c r="V51" s="196">
        <v>0</v>
      </c>
      <c r="W51" s="303">
        <v>0</v>
      </c>
      <c r="X51" s="318">
        <v>0</v>
      </c>
      <c r="Y51" s="195">
        <f t="shared" si="15"/>
        <v>0</v>
      </c>
      <c r="Z51" s="311">
        <v>0</v>
      </c>
      <c r="AA51" s="311">
        <v>0</v>
      </c>
      <c r="AB51" s="311">
        <v>0</v>
      </c>
      <c r="AC51" s="311">
        <v>0</v>
      </c>
      <c r="AD51" s="311">
        <v>0</v>
      </c>
      <c r="AE51" s="313">
        <v>0</v>
      </c>
    </row>
    <row r="52" spans="1:31" s="61" customFormat="1" ht="27.75" customHeight="1">
      <c r="A52" s="83" t="s">
        <v>229</v>
      </c>
      <c r="B52" s="182">
        <f t="shared" si="8"/>
        <v>1084</v>
      </c>
      <c r="C52" s="312">
        <f>B52*1000000/(365*'イ 排出 総括表'!U51)</f>
        <v>114.52944405146852</v>
      </c>
      <c r="D52" s="177">
        <f t="shared" si="9"/>
        <v>1084</v>
      </c>
      <c r="E52" s="176">
        <f t="shared" si="10"/>
        <v>1083</v>
      </c>
      <c r="F52" s="176">
        <v>0</v>
      </c>
      <c r="G52" s="302">
        <v>0</v>
      </c>
      <c r="H52" s="176">
        <v>1083</v>
      </c>
      <c r="I52" s="176">
        <f t="shared" si="11"/>
        <v>1</v>
      </c>
      <c r="J52" s="176">
        <v>0</v>
      </c>
      <c r="K52" s="302">
        <v>0</v>
      </c>
      <c r="L52" s="176">
        <v>1</v>
      </c>
      <c r="M52" s="176">
        <f t="shared" si="12"/>
        <v>0</v>
      </c>
      <c r="N52" s="176">
        <v>0</v>
      </c>
      <c r="O52" s="302">
        <v>0</v>
      </c>
      <c r="P52" s="197">
        <v>0</v>
      </c>
      <c r="Q52" s="176">
        <f t="shared" si="13"/>
        <v>0</v>
      </c>
      <c r="R52" s="176">
        <v>0</v>
      </c>
      <c r="S52" s="302">
        <v>0</v>
      </c>
      <c r="T52" s="176">
        <v>0</v>
      </c>
      <c r="U52" s="176">
        <f t="shared" si="14"/>
        <v>0</v>
      </c>
      <c r="V52" s="176">
        <v>0</v>
      </c>
      <c r="W52" s="302">
        <v>0</v>
      </c>
      <c r="X52" s="244">
        <v>0</v>
      </c>
      <c r="Y52" s="177">
        <f t="shared" si="15"/>
        <v>0</v>
      </c>
      <c r="Z52" s="198">
        <v>0</v>
      </c>
      <c r="AA52" s="198">
        <v>0</v>
      </c>
      <c r="AB52" s="198">
        <v>0</v>
      </c>
      <c r="AC52" s="198">
        <v>0</v>
      </c>
      <c r="AD52" s="198">
        <v>0</v>
      </c>
      <c r="AE52" s="312">
        <v>0</v>
      </c>
    </row>
    <row r="53" spans="1:31" s="61" customFormat="1" ht="27.75" customHeight="1">
      <c r="A53" s="154" t="s">
        <v>230</v>
      </c>
      <c r="B53" s="182">
        <f t="shared" si="8"/>
        <v>2093</v>
      </c>
      <c r="C53" s="312">
        <f>B53*1000000/(365*'イ 排出 総括表'!U52)</f>
        <v>114.2462259990131</v>
      </c>
      <c r="D53" s="177">
        <f t="shared" si="9"/>
        <v>2093</v>
      </c>
      <c r="E53" s="176">
        <f t="shared" si="10"/>
        <v>2088</v>
      </c>
      <c r="F53" s="176">
        <v>0</v>
      </c>
      <c r="G53" s="302">
        <v>0</v>
      </c>
      <c r="H53" s="176">
        <v>2088</v>
      </c>
      <c r="I53" s="176">
        <f t="shared" si="11"/>
        <v>5</v>
      </c>
      <c r="J53" s="176">
        <v>0</v>
      </c>
      <c r="K53" s="302">
        <v>0</v>
      </c>
      <c r="L53" s="176">
        <v>5</v>
      </c>
      <c r="M53" s="176">
        <f t="shared" si="12"/>
        <v>0</v>
      </c>
      <c r="N53" s="176">
        <v>0</v>
      </c>
      <c r="O53" s="302">
        <v>0</v>
      </c>
      <c r="P53" s="176">
        <v>0</v>
      </c>
      <c r="Q53" s="176">
        <f t="shared" si="13"/>
        <v>0</v>
      </c>
      <c r="R53" s="176">
        <v>0</v>
      </c>
      <c r="S53" s="302">
        <v>0</v>
      </c>
      <c r="T53" s="176">
        <v>0</v>
      </c>
      <c r="U53" s="176">
        <f t="shared" si="14"/>
        <v>0</v>
      </c>
      <c r="V53" s="176">
        <v>0</v>
      </c>
      <c r="W53" s="302">
        <v>0</v>
      </c>
      <c r="X53" s="244">
        <v>0</v>
      </c>
      <c r="Y53" s="177">
        <f t="shared" si="15"/>
        <v>0</v>
      </c>
      <c r="Z53" s="198">
        <v>0</v>
      </c>
      <c r="AA53" s="198">
        <v>0</v>
      </c>
      <c r="AB53" s="198">
        <v>0</v>
      </c>
      <c r="AC53" s="198">
        <v>0</v>
      </c>
      <c r="AD53" s="198">
        <v>0</v>
      </c>
      <c r="AE53" s="312">
        <v>0</v>
      </c>
    </row>
    <row r="54" spans="1:31" s="61" customFormat="1" ht="27.75" customHeight="1">
      <c r="A54" s="154" t="s">
        <v>231</v>
      </c>
      <c r="B54" s="182">
        <f t="shared" si="8"/>
        <v>4811</v>
      </c>
      <c r="C54" s="312">
        <f>B54*1000000/(365*'イ 排出 総括表'!U53)</f>
        <v>626.9416817831154</v>
      </c>
      <c r="D54" s="177">
        <f t="shared" si="9"/>
        <v>3300</v>
      </c>
      <c r="E54" s="176">
        <f t="shared" si="10"/>
        <v>3300</v>
      </c>
      <c r="F54" s="176">
        <v>0</v>
      </c>
      <c r="G54" s="302">
        <v>0</v>
      </c>
      <c r="H54" s="176">
        <v>3300</v>
      </c>
      <c r="I54" s="176">
        <f t="shared" si="11"/>
        <v>0</v>
      </c>
      <c r="J54" s="176">
        <v>0</v>
      </c>
      <c r="K54" s="302">
        <v>0</v>
      </c>
      <c r="L54" s="176">
        <v>0</v>
      </c>
      <c r="M54" s="176">
        <f t="shared" si="12"/>
        <v>0</v>
      </c>
      <c r="N54" s="176">
        <v>0</v>
      </c>
      <c r="O54" s="302">
        <v>0</v>
      </c>
      <c r="P54" s="176">
        <v>0</v>
      </c>
      <c r="Q54" s="176">
        <f t="shared" si="13"/>
        <v>0</v>
      </c>
      <c r="R54" s="176">
        <v>0</v>
      </c>
      <c r="S54" s="302">
        <v>0</v>
      </c>
      <c r="T54" s="176">
        <v>0</v>
      </c>
      <c r="U54" s="176">
        <f t="shared" si="14"/>
        <v>0</v>
      </c>
      <c r="V54" s="176">
        <v>0</v>
      </c>
      <c r="W54" s="302">
        <v>0</v>
      </c>
      <c r="X54" s="244">
        <v>0</v>
      </c>
      <c r="Y54" s="177">
        <f t="shared" si="15"/>
        <v>1511</v>
      </c>
      <c r="Z54" s="198">
        <v>0</v>
      </c>
      <c r="AA54" s="198">
        <v>1136</v>
      </c>
      <c r="AB54" s="198">
        <v>197</v>
      </c>
      <c r="AC54" s="198">
        <v>36</v>
      </c>
      <c r="AD54" s="198">
        <v>0</v>
      </c>
      <c r="AE54" s="312">
        <v>142</v>
      </c>
    </row>
    <row r="55" spans="1:31" s="61" customFormat="1" ht="27.75" customHeight="1">
      <c r="A55" s="154" t="s">
        <v>232</v>
      </c>
      <c r="B55" s="182">
        <f t="shared" si="8"/>
        <v>3673</v>
      </c>
      <c r="C55" s="312">
        <f>B55*1000000/(365*'イ 排出 総括表'!U54)</f>
        <v>423.7058399423216</v>
      </c>
      <c r="D55" s="177">
        <f t="shared" si="9"/>
        <v>2718</v>
      </c>
      <c r="E55" s="176">
        <f t="shared" si="10"/>
        <v>2718</v>
      </c>
      <c r="F55" s="176">
        <v>0</v>
      </c>
      <c r="G55" s="302">
        <v>0</v>
      </c>
      <c r="H55" s="176">
        <v>2718</v>
      </c>
      <c r="I55" s="176">
        <f t="shared" si="11"/>
        <v>0</v>
      </c>
      <c r="J55" s="176">
        <v>0</v>
      </c>
      <c r="K55" s="302">
        <v>0</v>
      </c>
      <c r="L55" s="176">
        <v>0</v>
      </c>
      <c r="M55" s="176">
        <f t="shared" si="12"/>
        <v>0</v>
      </c>
      <c r="N55" s="176">
        <v>0</v>
      </c>
      <c r="O55" s="302">
        <v>0</v>
      </c>
      <c r="P55" s="176">
        <v>0</v>
      </c>
      <c r="Q55" s="176">
        <f t="shared" si="13"/>
        <v>0</v>
      </c>
      <c r="R55" s="176">
        <v>0</v>
      </c>
      <c r="S55" s="302">
        <v>0</v>
      </c>
      <c r="T55" s="176">
        <v>0</v>
      </c>
      <c r="U55" s="176">
        <f t="shared" si="14"/>
        <v>0</v>
      </c>
      <c r="V55" s="176">
        <v>0</v>
      </c>
      <c r="W55" s="302">
        <v>0</v>
      </c>
      <c r="X55" s="244">
        <v>0</v>
      </c>
      <c r="Y55" s="177">
        <f t="shared" si="15"/>
        <v>955</v>
      </c>
      <c r="Z55" s="198">
        <v>0</v>
      </c>
      <c r="AA55" s="198">
        <v>582</v>
      </c>
      <c r="AB55" s="198">
        <v>151</v>
      </c>
      <c r="AC55" s="198">
        <v>46</v>
      </c>
      <c r="AD55" s="198">
        <v>0</v>
      </c>
      <c r="AE55" s="312">
        <v>176</v>
      </c>
    </row>
    <row r="56" spans="1:31" s="61" customFormat="1" ht="27.75" customHeight="1">
      <c r="A56" s="152" t="s">
        <v>233</v>
      </c>
      <c r="B56" s="194">
        <f t="shared" si="8"/>
        <v>2958</v>
      </c>
      <c r="C56" s="313">
        <f>B56*1000000/(365*'イ 排出 総括表'!U55)</f>
        <v>190.59075725032562</v>
      </c>
      <c r="D56" s="195">
        <f t="shared" si="9"/>
        <v>2958</v>
      </c>
      <c r="E56" s="196">
        <f t="shared" si="10"/>
        <v>2890</v>
      </c>
      <c r="F56" s="196">
        <v>0</v>
      </c>
      <c r="G56" s="303">
        <v>0</v>
      </c>
      <c r="H56" s="196">
        <v>2890</v>
      </c>
      <c r="I56" s="196">
        <f t="shared" si="11"/>
        <v>68</v>
      </c>
      <c r="J56" s="196">
        <v>0</v>
      </c>
      <c r="K56" s="303">
        <v>0</v>
      </c>
      <c r="L56" s="196">
        <v>68</v>
      </c>
      <c r="M56" s="196">
        <f t="shared" si="12"/>
        <v>0</v>
      </c>
      <c r="N56" s="196">
        <v>0</v>
      </c>
      <c r="O56" s="303">
        <v>0</v>
      </c>
      <c r="P56" s="196">
        <v>0</v>
      </c>
      <c r="Q56" s="196">
        <f t="shared" si="13"/>
        <v>0</v>
      </c>
      <c r="R56" s="196">
        <v>0</v>
      </c>
      <c r="S56" s="303">
        <v>0</v>
      </c>
      <c r="T56" s="196">
        <v>0</v>
      </c>
      <c r="U56" s="196">
        <f t="shared" si="14"/>
        <v>0</v>
      </c>
      <c r="V56" s="196">
        <v>0</v>
      </c>
      <c r="W56" s="303">
        <v>0</v>
      </c>
      <c r="X56" s="318">
        <v>0</v>
      </c>
      <c r="Y56" s="195">
        <f t="shared" si="15"/>
        <v>0</v>
      </c>
      <c r="Z56" s="311">
        <v>0</v>
      </c>
      <c r="AA56" s="311">
        <v>0</v>
      </c>
      <c r="AB56" s="311">
        <v>0</v>
      </c>
      <c r="AC56" s="311">
        <v>0</v>
      </c>
      <c r="AD56" s="311">
        <v>0</v>
      </c>
      <c r="AE56" s="312">
        <v>0</v>
      </c>
    </row>
    <row r="57" spans="1:31" s="61" customFormat="1" ht="27.75" customHeight="1">
      <c r="A57" s="83" t="s">
        <v>234</v>
      </c>
      <c r="B57" s="182">
        <f t="shared" si="8"/>
        <v>2991</v>
      </c>
      <c r="C57" s="312">
        <f>B57*1000000/(365*'イ 排出 総括表'!U56)</f>
        <v>334.8255515218275</v>
      </c>
      <c r="D57" s="190">
        <f t="shared" si="9"/>
        <v>2470</v>
      </c>
      <c r="E57" s="176">
        <f t="shared" si="10"/>
        <v>2353</v>
      </c>
      <c r="F57" s="176">
        <v>0</v>
      </c>
      <c r="G57" s="302">
        <v>0</v>
      </c>
      <c r="H57" s="176">
        <v>2353</v>
      </c>
      <c r="I57" s="176">
        <f t="shared" si="11"/>
        <v>10</v>
      </c>
      <c r="J57" s="176">
        <v>0</v>
      </c>
      <c r="K57" s="302">
        <v>0</v>
      </c>
      <c r="L57" s="176">
        <v>10</v>
      </c>
      <c r="M57" s="176">
        <f t="shared" si="12"/>
        <v>0</v>
      </c>
      <c r="N57" s="176">
        <v>0</v>
      </c>
      <c r="O57" s="302">
        <v>0</v>
      </c>
      <c r="P57" s="176">
        <v>0</v>
      </c>
      <c r="Q57" s="176">
        <f t="shared" si="13"/>
        <v>0</v>
      </c>
      <c r="R57" s="176">
        <v>0</v>
      </c>
      <c r="S57" s="302">
        <v>0</v>
      </c>
      <c r="T57" s="176">
        <v>0</v>
      </c>
      <c r="U57" s="176">
        <f t="shared" si="14"/>
        <v>107</v>
      </c>
      <c r="V57" s="176">
        <v>0</v>
      </c>
      <c r="W57" s="302">
        <v>0</v>
      </c>
      <c r="X57" s="244">
        <v>107</v>
      </c>
      <c r="Y57" s="177">
        <f t="shared" si="15"/>
        <v>521</v>
      </c>
      <c r="Z57" s="198">
        <v>0</v>
      </c>
      <c r="AA57" s="198">
        <v>169</v>
      </c>
      <c r="AB57" s="198">
        <v>229</v>
      </c>
      <c r="AC57" s="198">
        <v>0</v>
      </c>
      <c r="AD57" s="198">
        <v>0</v>
      </c>
      <c r="AE57" s="315">
        <v>123</v>
      </c>
    </row>
    <row r="58" spans="1:31" s="61" customFormat="1" ht="27.75" customHeight="1">
      <c r="A58" s="154" t="s">
        <v>235</v>
      </c>
      <c r="B58" s="182">
        <f t="shared" si="8"/>
        <v>2235</v>
      </c>
      <c r="C58" s="312">
        <f>B58*1000000/(365*'イ 排出 総括表'!U57)</f>
        <v>267.2640945935523</v>
      </c>
      <c r="D58" s="177">
        <f t="shared" si="9"/>
        <v>1865</v>
      </c>
      <c r="E58" s="176">
        <f t="shared" si="10"/>
        <v>1723</v>
      </c>
      <c r="F58" s="176">
        <v>0</v>
      </c>
      <c r="G58" s="302">
        <v>0</v>
      </c>
      <c r="H58" s="176">
        <v>1723</v>
      </c>
      <c r="I58" s="176">
        <f t="shared" si="11"/>
        <v>7</v>
      </c>
      <c r="J58" s="176">
        <v>0</v>
      </c>
      <c r="K58" s="302">
        <v>0</v>
      </c>
      <c r="L58" s="176">
        <v>7</v>
      </c>
      <c r="M58" s="176">
        <f t="shared" si="12"/>
        <v>0</v>
      </c>
      <c r="N58" s="176">
        <v>0</v>
      </c>
      <c r="O58" s="302">
        <v>0</v>
      </c>
      <c r="P58" s="176">
        <v>0</v>
      </c>
      <c r="Q58" s="176">
        <f t="shared" si="13"/>
        <v>0</v>
      </c>
      <c r="R58" s="176">
        <v>0</v>
      </c>
      <c r="S58" s="302">
        <v>0</v>
      </c>
      <c r="T58" s="176">
        <v>0</v>
      </c>
      <c r="U58" s="176">
        <f t="shared" si="14"/>
        <v>135</v>
      </c>
      <c r="V58" s="176">
        <v>0</v>
      </c>
      <c r="W58" s="302">
        <v>0</v>
      </c>
      <c r="X58" s="244">
        <v>135</v>
      </c>
      <c r="Y58" s="177">
        <f t="shared" si="15"/>
        <v>370</v>
      </c>
      <c r="Z58" s="198">
        <v>0</v>
      </c>
      <c r="AA58" s="198">
        <v>149</v>
      </c>
      <c r="AB58" s="198">
        <v>5</v>
      </c>
      <c r="AC58" s="198">
        <v>0</v>
      </c>
      <c r="AD58" s="198">
        <v>0</v>
      </c>
      <c r="AE58" s="312">
        <v>216</v>
      </c>
    </row>
    <row r="59" spans="1:31" s="61" customFormat="1" ht="27.75" customHeight="1">
      <c r="A59" s="154" t="s">
        <v>236</v>
      </c>
      <c r="B59" s="182">
        <f t="shared" si="8"/>
        <v>1180</v>
      </c>
      <c r="C59" s="312">
        <f>B59*1000000/(365*'イ 排出 総括表'!U58)</f>
        <v>255.6239987608735</v>
      </c>
      <c r="D59" s="177">
        <f t="shared" si="9"/>
        <v>981</v>
      </c>
      <c r="E59" s="176">
        <f t="shared" si="10"/>
        <v>898</v>
      </c>
      <c r="F59" s="176">
        <v>0</v>
      </c>
      <c r="G59" s="302">
        <v>0</v>
      </c>
      <c r="H59" s="176">
        <v>898</v>
      </c>
      <c r="I59" s="176">
        <f t="shared" si="11"/>
        <v>3</v>
      </c>
      <c r="J59" s="176">
        <v>0</v>
      </c>
      <c r="K59" s="302">
        <v>0</v>
      </c>
      <c r="L59" s="176">
        <v>3</v>
      </c>
      <c r="M59" s="176">
        <f t="shared" si="12"/>
        <v>0</v>
      </c>
      <c r="N59" s="176">
        <v>0</v>
      </c>
      <c r="O59" s="302">
        <v>0</v>
      </c>
      <c r="P59" s="176">
        <v>0</v>
      </c>
      <c r="Q59" s="176">
        <f t="shared" si="13"/>
        <v>0</v>
      </c>
      <c r="R59" s="176">
        <v>0</v>
      </c>
      <c r="S59" s="302">
        <v>0</v>
      </c>
      <c r="T59" s="176">
        <v>0</v>
      </c>
      <c r="U59" s="176">
        <f t="shared" si="14"/>
        <v>80</v>
      </c>
      <c r="V59" s="176">
        <v>0</v>
      </c>
      <c r="W59" s="302">
        <v>0</v>
      </c>
      <c r="X59" s="244">
        <v>80</v>
      </c>
      <c r="Y59" s="177">
        <f t="shared" si="15"/>
        <v>199</v>
      </c>
      <c r="Z59" s="198">
        <v>0</v>
      </c>
      <c r="AA59" s="198">
        <v>83</v>
      </c>
      <c r="AB59" s="198">
        <v>61</v>
      </c>
      <c r="AC59" s="198">
        <v>0</v>
      </c>
      <c r="AD59" s="198">
        <v>0</v>
      </c>
      <c r="AE59" s="312">
        <v>55</v>
      </c>
    </row>
    <row r="60" spans="1:31" s="61" customFormat="1" ht="27.75" customHeight="1">
      <c r="A60" s="154" t="s">
        <v>237</v>
      </c>
      <c r="B60" s="182">
        <f t="shared" si="8"/>
        <v>1722</v>
      </c>
      <c r="C60" s="312">
        <f>B60*1000000/(365*'イ 排出 総括表'!U59)</f>
        <v>125.30033515292898</v>
      </c>
      <c r="D60" s="177">
        <f t="shared" si="9"/>
        <v>1722</v>
      </c>
      <c r="E60" s="176">
        <f t="shared" si="10"/>
        <v>1648</v>
      </c>
      <c r="F60" s="176">
        <v>0</v>
      </c>
      <c r="G60" s="302">
        <v>34</v>
      </c>
      <c r="H60" s="176">
        <v>1614</v>
      </c>
      <c r="I60" s="176">
        <f t="shared" si="11"/>
        <v>4</v>
      </c>
      <c r="J60" s="176">
        <v>0</v>
      </c>
      <c r="K60" s="302">
        <v>4</v>
      </c>
      <c r="L60" s="176">
        <v>0</v>
      </c>
      <c r="M60" s="176">
        <f t="shared" si="12"/>
        <v>70</v>
      </c>
      <c r="N60" s="176">
        <v>0</v>
      </c>
      <c r="O60" s="302">
        <v>70</v>
      </c>
      <c r="P60" s="176">
        <v>0</v>
      </c>
      <c r="Q60" s="176">
        <f t="shared" si="13"/>
        <v>0</v>
      </c>
      <c r="R60" s="176">
        <v>0</v>
      </c>
      <c r="S60" s="302">
        <v>0</v>
      </c>
      <c r="T60" s="176">
        <v>0</v>
      </c>
      <c r="U60" s="176">
        <f t="shared" si="14"/>
        <v>0</v>
      </c>
      <c r="V60" s="176">
        <v>0</v>
      </c>
      <c r="W60" s="302">
        <v>0</v>
      </c>
      <c r="X60" s="244">
        <v>0</v>
      </c>
      <c r="Y60" s="177">
        <f t="shared" si="15"/>
        <v>0</v>
      </c>
      <c r="Z60" s="198">
        <v>0</v>
      </c>
      <c r="AA60" s="198">
        <v>0</v>
      </c>
      <c r="AB60" s="198">
        <v>0</v>
      </c>
      <c r="AC60" s="198">
        <v>0</v>
      </c>
      <c r="AD60" s="198">
        <v>0</v>
      </c>
      <c r="AE60" s="312">
        <v>0</v>
      </c>
    </row>
    <row r="61" spans="1:31" s="61" customFormat="1" ht="27.75" customHeight="1">
      <c r="A61" s="155" t="s">
        <v>238</v>
      </c>
      <c r="B61" s="194">
        <f t="shared" si="8"/>
        <v>128</v>
      </c>
      <c r="C61" s="313">
        <f>B61*1000000/(365*'イ 排出 総括表'!U60)</f>
        <v>57.47991009782811</v>
      </c>
      <c r="D61" s="195">
        <f t="shared" si="9"/>
        <v>0</v>
      </c>
      <c r="E61" s="196">
        <f t="shared" si="10"/>
        <v>0</v>
      </c>
      <c r="F61" s="196">
        <v>0</v>
      </c>
      <c r="G61" s="303">
        <v>0</v>
      </c>
      <c r="H61" s="196">
        <v>0</v>
      </c>
      <c r="I61" s="196">
        <f t="shared" si="11"/>
        <v>0</v>
      </c>
      <c r="J61" s="196">
        <v>0</v>
      </c>
      <c r="K61" s="303">
        <v>0</v>
      </c>
      <c r="L61" s="196">
        <v>0</v>
      </c>
      <c r="M61" s="196">
        <f t="shared" si="12"/>
        <v>0</v>
      </c>
      <c r="N61" s="196">
        <v>0</v>
      </c>
      <c r="O61" s="303">
        <v>0</v>
      </c>
      <c r="P61" s="196">
        <v>0</v>
      </c>
      <c r="Q61" s="196">
        <f t="shared" si="13"/>
        <v>0</v>
      </c>
      <c r="R61" s="196">
        <v>0</v>
      </c>
      <c r="S61" s="303">
        <v>0</v>
      </c>
      <c r="T61" s="196">
        <v>0</v>
      </c>
      <c r="U61" s="196">
        <f t="shared" si="14"/>
        <v>0</v>
      </c>
      <c r="V61" s="196">
        <v>0</v>
      </c>
      <c r="W61" s="303">
        <v>0</v>
      </c>
      <c r="X61" s="318">
        <v>0</v>
      </c>
      <c r="Y61" s="195">
        <f t="shared" si="15"/>
        <v>128</v>
      </c>
      <c r="Z61" s="311">
        <v>0</v>
      </c>
      <c r="AA61" s="311">
        <v>74</v>
      </c>
      <c r="AB61" s="311">
        <v>1</v>
      </c>
      <c r="AC61" s="311">
        <v>48</v>
      </c>
      <c r="AD61" s="311">
        <v>0</v>
      </c>
      <c r="AE61" s="313">
        <v>5</v>
      </c>
    </row>
    <row r="62" spans="1:31" s="61" customFormat="1" ht="27.75" customHeight="1">
      <c r="A62" s="154" t="s">
        <v>239</v>
      </c>
      <c r="B62" s="182">
        <f t="shared" si="8"/>
        <v>76</v>
      </c>
      <c r="C62" s="312">
        <f>B62*1000000/(365*'イ 排出 総括表'!U61)</f>
        <v>52.054794520547944</v>
      </c>
      <c r="D62" s="177">
        <f t="shared" si="9"/>
        <v>0</v>
      </c>
      <c r="E62" s="176">
        <f t="shared" si="10"/>
        <v>0</v>
      </c>
      <c r="F62" s="176">
        <v>0</v>
      </c>
      <c r="G62" s="302">
        <v>0</v>
      </c>
      <c r="H62" s="176">
        <v>0</v>
      </c>
      <c r="I62" s="176">
        <f t="shared" si="11"/>
        <v>0</v>
      </c>
      <c r="J62" s="176">
        <v>0</v>
      </c>
      <c r="K62" s="302">
        <v>0</v>
      </c>
      <c r="L62" s="176">
        <v>0</v>
      </c>
      <c r="M62" s="176">
        <f t="shared" si="12"/>
        <v>0</v>
      </c>
      <c r="N62" s="176">
        <v>0</v>
      </c>
      <c r="O62" s="302">
        <v>0</v>
      </c>
      <c r="P62" s="176">
        <v>0</v>
      </c>
      <c r="Q62" s="176">
        <f t="shared" si="13"/>
        <v>0</v>
      </c>
      <c r="R62" s="176">
        <v>0</v>
      </c>
      <c r="S62" s="302">
        <v>0</v>
      </c>
      <c r="T62" s="176">
        <v>0</v>
      </c>
      <c r="U62" s="176">
        <f t="shared" si="14"/>
        <v>0</v>
      </c>
      <c r="V62" s="176">
        <v>0</v>
      </c>
      <c r="W62" s="302">
        <v>0</v>
      </c>
      <c r="X62" s="244">
        <v>0</v>
      </c>
      <c r="Y62" s="177">
        <f t="shared" si="15"/>
        <v>76</v>
      </c>
      <c r="Z62" s="198">
        <v>0</v>
      </c>
      <c r="AA62" s="198">
        <v>47</v>
      </c>
      <c r="AB62" s="198">
        <v>0</v>
      </c>
      <c r="AC62" s="198">
        <v>23</v>
      </c>
      <c r="AD62" s="198">
        <v>0</v>
      </c>
      <c r="AE62" s="312">
        <v>6</v>
      </c>
    </row>
    <row r="63" spans="1:31" s="61" customFormat="1" ht="27.75" customHeight="1">
      <c r="A63" s="152" t="s">
        <v>240</v>
      </c>
      <c r="B63" s="194">
        <f t="shared" si="8"/>
        <v>63</v>
      </c>
      <c r="C63" s="313">
        <f>B63*1000000/(365*'イ 排出 総括表'!U62)</f>
        <v>121.98073478871194</v>
      </c>
      <c r="D63" s="195">
        <f t="shared" si="9"/>
        <v>0</v>
      </c>
      <c r="E63" s="196">
        <f t="shared" si="10"/>
        <v>0</v>
      </c>
      <c r="F63" s="196">
        <v>0</v>
      </c>
      <c r="G63" s="303">
        <v>0</v>
      </c>
      <c r="H63" s="196">
        <v>0</v>
      </c>
      <c r="I63" s="196">
        <f t="shared" si="11"/>
        <v>0</v>
      </c>
      <c r="J63" s="196">
        <v>0</v>
      </c>
      <c r="K63" s="303">
        <v>0</v>
      </c>
      <c r="L63" s="196">
        <v>0</v>
      </c>
      <c r="M63" s="196">
        <f t="shared" si="12"/>
        <v>0</v>
      </c>
      <c r="N63" s="196">
        <v>0</v>
      </c>
      <c r="O63" s="303">
        <v>0</v>
      </c>
      <c r="P63" s="196">
        <v>0</v>
      </c>
      <c r="Q63" s="196">
        <f t="shared" si="13"/>
        <v>0</v>
      </c>
      <c r="R63" s="196">
        <v>0</v>
      </c>
      <c r="S63" s="303">
        <v>0</v>
      </c>
      <c r="T63" s="196">
        <v>0</v>
      </c>
      <c r="U63" s="196">
        <f t="shared" si="14"/>
        <v>0</v>
      </c>
      <c r="V63" s="196">
        <v>0</v>
      </c>
      <c r="W63" s="303">
        <v>0</v>
      </c>
      <c r="X63" s="318">
        <v>0</v>
      </c>
      <c r="Y63" s="195">
        <f t="shared" si="15"/>
        <v>63</v>
      </c>
      <c r="Z63" s="311">
        <v>0</v>
      </c>
      <c r="AA63" s="311">
        <v>39</v>
      </c>
      <c r="AB63" s="311">
        <v>0</v>
      </c>
      <c r="AC63" s="311">
        <v>23</v>
      </c>
      <c r="AD63" s="311">
        <v>0</v>
      </c>
      <c r="AE63" s="313">
        <v>1</v>
      </c>
    </row>
    <row r="64" spans="1:31" s="61" customFormat="1" ht="42" customHeight="1" thickBot="1">
      <c r="A64" s="226" t="s">
        <v>31</v>
      </c>
      <c r="B64" s="416">
        <f aca="true" t="shared" si="18" ref="B64:AE64">SUM(B7:B36,B37:B63)</f>
        <v>614716</v>
      </c>
      <c r="C64" s="314">
        <f>B64*1000000/(365*'イ 排出 総括表'!U63)</f>
        <v>225.0270067477279</v>
      </c>
      <c r="D64" s="293">
        <f t="shared" si="18"/>
        <v>503328</v>
      </c>
      <c r="E64" s="199">
        <f t="shared" si="18"/>
        <v>478516</v>
      </c>
      <c r="F64" s="199">
        <f t="shared" si="18"/>
        <v>305</v>
      </c>
      <c r="G64" s="199">
        <f t="shared" si="18"/>
        <v>3650</v>
      </c>
      <c r="H64" s="199">
        <f t="shared" si="18"/>
        <v>474561</v>
      </c>
      <c r="I64" s="199">
        <f t="shared" si="18"/>
        <v>19092</v>
      </c>
      <c r="J64" s="199">
        <f t="shared" si="18"/>
        <v>5</v>
      </c>
      <c r="K64" s="199">
        <f t="shared" si="18"/>
        <v>45</v>
      </c>
      <c r="L64" s="199">
        <f t="shared" si="18"/>
        <v>19042</v>
      </c>
      <c r="M64" s="199">
        <f t="shared" si="18"/>
        <v>4495</v>
      </c>
      <c r="N64" s="199">
        <f t="shared" si="18"/>
        <v>45</v>
      </c>
      <c r="O64" s="199">
        <f t="shared" si="18"/>
        <v>157</v>
      </c>
      <c r="P64" s="199">
        <f t="shared" si="18"/>
        <v>4293</v>
      </c>
      <c r="Q64" s="199">
        <f t="shared" si="18"/>
        <v>0</v>
      </c>
      <c r="R64" s="199">
        <f t="shared" si="18"/>
        <v>0</v>
      </c>
      <c r="S64" s="199">
        <f t="shared" si="18"/>
        <v>0</v>
      </c>
      <c r="T64" s="199">
        <f t="shared" si="18"/>
        <v>0</v>
      </c>
      <c r="U64" s="199">
        <f t="shared" si="18"/>
        <v>1225</v>
      </c>
      <c r="V64" s="199">
        <f t="shared" si="18"/>
        <v>0</v>
      </c>
      <c r="W64" s="199">
        <f t="shared" si="18"/>
        <v>0</v>
      </c>
      <c r="X64" s="314">
        <f t="shared" si="18"/>
        <v>1225</v>
      </c>
      <c r="Y64" s="293">
        <f t="shared" si="18"/>
        <v>111388</v>
      </c>
      <c r="Z64" s="199">
        <f t="shared" si="18"/>
        <v>0</v>
      </c>
      <c r="AA64" s="316">
        <f t="shared" si="18"/>
        <v>85455</v>
      </c>
      <c r="AB64" s="316">
        <f t="shared" si="18"/>
        <v>15710</v>
      </c>
      <c r="AC64" s="316">
        <f t="shared" si="18"/>
        <v>5640</v>
      </c>
      <c r="AD64" s="316">
        <f t="shared" si="18"/>
        <v>651</v>
      </c>
      <c r="AE64" s="317">
        <f t="shared" si="18"/>
        <v>3932</v>
      </c>
    </row>
  </sheetData>
  <mergeCells count="21">
    <mergeCell ref="AB5:AB6"/>
    <mergeCell ref="AC5:AC6"/>
    <mergeCell ref="AD5:AD6"/>
    <mergeCell ref="AE5:AE6"/>
    <mergeCell ref="V5:X5"/>
    <mergeCell ref="Y5:Y6"/>
    <mergeCell ref="Z5:Z6"/>
    <mergeCell ref="AA5:AA6"/>
    <mergeCell ref="N5:P5"/>
    <mergeCell ref="Q5:Q6"/>
    <mergeCell ref="R5:T5"/>
    <mergeCell ref="U5:U6"/>
    <mergeCell ref="F5:H5"/>
    <mergeCell ref="I5:I6"/>
    <mergeCell ref="J5:L5"/>
    <mergeCell ref="M5:M6"/>
    <mergeCell ref="A3:A6"/>
    <mergeCell ref="B4:B6"/>
    <mergeCell ref="D5:D6"/>
    <mergeCell ref="E5:E6"/>
    <mergeCell ref="C4:C6"/>
  </mergeCells>
  <printOptions/>
  <pageMargins left="0.5905511811023623" right="0.5905511811023623" top="0.5905511811023623" bottom="0.5905511811023623" header="0.3937007874015748" footer="0.3937007874015748"/>
  <pageSetup firstPageNumber="23" useFirstPageNumber="1" horizontalDpi="600" verticalDpi="600" orientation="portrait" pageOrder="overThenDown" paperSize="9" scale="45" r:id="rId1"/>
  <headerFooter alignWithMargins="0">
    <oddFooter>&amp;C&amp;P</oddFooter>
  </headerFooter>
  <colBreaks count="1" manualBreakCount="1">
    <brk id="14" max="6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tabColor indexed="15"/>
  </sheetPr>
  <dimension ref="A1:S75"/>
  <sheetViews>
    <sheetView view="pageBreakPreview" zoomScale="75" zoomScaleNormal="75" zoomScaleSheetLayoutView="75" workbookViewId="0" topLeftCell="A1">
      <pane xSplit="1" ySplit="6" topLeftCell="B7" activePane="bottomRight" state="frozen"/>
      <selection pane="topLeft" activeCell="I50" sqref="I50:I75"/>
      <selection pane="topRight" activeCell="I50" sqref="I50:I75"/>
      <selection pane="bottomLeft" activeCell="I50" sqref="I50:I75"/>
      <selection pane="bottomRight" activeCell="B53" sqref="B53"/>
    </sheetView>
  </sheetViews>
  <sheetFormatPr defaultColWidth="8.796875" defaultRowHeight="27.75" customHeight="1"/>
  <cols>
    <col min="1" max="1" width="9.69921875" style="9" customWidth="1"/>
    <col min="2" max="3" width="11.69921875" style="9" customWidth="1"/>
    <col min="4" max="5" width="9.69921875" style="9" customWidth="1"/>
    <col min="6" max="6" width="8.09765625" style="9" customWidth="1"/>
    <col min="7" max="8" width="7.3984375" style="9" customWidth="1"/>
    <col min="9" max="9" width="9.69921875" style="9" customWidth="1"/>
    <col min="10" max="10" width="8.59765625" style="9" customWidth="1"/>
    <col min="11" max="13" width="12.59765625" style="9" customWidth="1"/>
    <col min="14" max="14" width="11.59765625" style="9" customWidth="1"/>
    <col min="15" max="17" width="7.69921875" style="9" customWidth="1"/>
    <col min="18" max="18" width="10.09765625" style="9" customWidth="1"/>
    <col min="19" max="19" width="9.5" style="9" customWidth="1"/>
    <col min="20" max="20" width="4.09765625" style="9" customWidth="1"/>
    <col min="21" max="16384" width="11" style="9" customWidth="1"/>
  </cols>
  <sheetData>
    <row r="1" s="12" customFormat="1" ht="21" customHeight="1">
      <c r="A1" s="27" t="s">
        <v>52</v>
      </c>
    </row>
    <row r="2" spans="1:19" s="12" customFormat="1" ht="21" customHeight="1" thickBot="1">
      <c r="A2" s="27" t="s">
        <v>249</v>
      </c>
      <c r="S2" s="21" t="s">
        <v>104</v>
      </c>
    </row>
    <row r="3" spans="1:19" s="13" customFormat="1" ht="18.75" customHeight="1">
      <c r="A3" s="520" t="s">
        <v>28</v>
      </c>
      <c r="B3" s="108" t="s">
        <v>244</v>
      </c>
      <c r="C3" s="109"/>
      <c r="D3" s="109"/>
      <c r="E3" s="109"/>
      <c r="F3" s="109"/>
      <c r="G3" s="109"/>
      <c r="H3" s="109"/>
      <c r="I3" s="109"/>
      <c r="J3" s="110"/>
      <c r="K3" s="108" t="s">
        <v>248</v>
      </c>
      <c r="L3" s="30"/>
      <c r="M3" s="30"/>
      <c r="N3" s="30"/>
      <c r="O3" s="30"/>
      <c r="P3" s="30"/>
      <c r="Q3" s="30"/>
      <c r="R3" s="30"/>
      <c r="S3" s="31"/>
    </row>
    <row r="4" spans="1:19" s="13" customFormat="1" ht="18.75" customHeight="1">
      <c r="A4" s="521"/>
      <c r="B4" s="517" t="s">
        <v>245</v>
      </c>
      <c r="C4" s="519" t="s">
        <v>243</v>
      </c>
      <c r="D4" s="514" t="s">
        <v>251</v>
      </c>
      <c r="E4" s="515"/>
      <c r="F4" s="515"/>
      <c r="G4" s="515"/>
      <c r="H4" s="515"/>
      <c r="I4" s="515"/>
      <c r="J4" s="516"/>
      <c r="K4" s="517" t="s">
        <v>245</v>
      </c>
      <c r="L4" s="519" t="s">
        <v>243</v>
      </c>
      <c r="M4" s="514" t="s">
        <v>252</v>
      </c>
      <c r="N4" s="515"/>
      <c r="O4" s="515"/>
      <c r="P4" s="515"/>
      <c r="Q4" s="515"/>
      <c r="R4" s="515"/>
      <c r="S4" s="516"/>
    </row>
    <row r="5" spans="1:19" s="13" customFormat="1" ht="18.75" customHeight="1">
      <c r="A5" s="521"/>
      <c r="B5" s="517"/>
      <c r="C5" s="508"/>
      <c r="D5" s="508" t="s">
        <v>128</v>
      </c>
      <c r="E5" s="512" t="s">
        <v>159</v>
      </c>
      <c r="F5" s="512" t="s">
        <v>157</v>
      </c>
      <c r="G5" s="512" t="s">
        <v>280</v>
      </c>
      <c r="H5" s="512" t="s">
        <v>158</v>
      </c>
      <c r="I5" s="512" t="s">
        <v>161</v>
      </c>
      <c r="J5" s="510" t="s">
        <v>242</v>
      </c>
      <c r="K5" s="517"/>
      <c r="L5" s="508"/>
      <c r="M5" s="508" t="s">
        <v>128</v>
      </c>
      <c r="N5" s="512" t="s">
        <v>159</v>
      </c>
      <c r="O5" s="512" t="s">
        <v>157</v>
      </c>
      <c r="P5" s="512" t="s">
        <v>280</v>
      </c>
      <c r="Q5" s="512" t="s">
        <v>158</v>
      </c>
      <c r="R5" s="512" t="s">
        <v>161</v>
      </c>
      <c r="S5" s="510" t="s">
        <v>160</v>
      </c>
    </row>
    <row r="6" spans="1:19" s="13" customFormat="1" ht="39" customHeight="1" thickBot="1">
      <c r="A6" s="522"/>
      <c r="B6" s="518"/>
      <c r="C6" s="509"/>
      <c r="D6" s="509"/>
      <c r="E6" s="513"/>
      <c r="F6" s="513"/>
      <c r="G6" s="513"/>
      <c r="H6" s="513"/>
      <c r="I6" s="513"/>
      <c r="J6" s="511"/>
      <c r="K6" s="518"/>
      <c r="L6" s="509"/>
      <c r="M6" s="509"/>
      <c r="N6" s="513"/>
      <c r="O6" s="513"/>
      <c r="P6" s="513"/>
      <c r="Q6" s="513"/>
      <c r="R6" s="513"/>
      <c r="S6" s="511"/>
    </row>
    <row r="7" spans="1:19" ht="21.75" customHeight="1">
      <c r="A7" s="121" t="s">
        <v>187</v>
      </c>
      <c r="B7" s="200">
        <f>SUM(C7:D7)</f>
        <v>687555</v>
      </c>
      <c r="C7" s="201">
        <v>540642</v>
      </c>
      <c r="D7" s="157">
        <f>SUM(E7:J7)</f>
        <v>146913</v>
      </c>
      <c r="E7" s="204">
        <v>75985</v>
      </c>
      <c r="F7" s="204">
        <v>0</v>
      </c>
      <c r="G7" s="204">
        <v>0</v>
      </c>
      <c r="H7" s="204">
        <v>0</v>
      </c>
      <c r="I7" s="204">
        <v>70851</v>
      </c>
      <c r="J7" s="325">
        <v>77</v>
      </c>
      <c r="K7" s="200">
        <f>SUM(L7,M7)</f>
        <v>610139</v>
      </c>
      <c r="L7" s="201">
        <f>C7</f>
        <v>540642</v>
      </c>
      <c r="M7" s="202">
        <f>SUM(N7:S7)</f>
        <v>69497</v>
      </c>
      <c r="N7" s="201">
        <v>69497</v>
      </c>
      <c r="O7" s="329">
        <v>0</v>
      </c>
      <c r="P7" s="329">
        <v>0</v>
      </c>
      <c r="Q7" s="201">
        <v>0</v>
      </c>
      <c r="R7" s="201">
        <v>0</v>
      </c>
      <c r="S7" s="330">
        <v>0</v>
      </c>
    </row>
    <row r="8" spans="1:19" ht="21.75" customHeight="1">
      <c r="A8" s="86" t="s">
        <v>188</v>
      </c>
      <c r="B8" s="203">
        <f aca="true" t="shared" si="0" ref="B8:B36">SUM(C8:D8)</f>
        <v>133413</v>
      </c>
      <c r="C8" s="204">
        <v>105102</v>
      </c>
      <c r="D8" s="157">
        <f aca="true" t="shared" si="1" ref="D8:D36">SUM(E8:J8)</f>
        <v>28311</v>
      </c>
      <c r="E8" s="204">
        <v>17994</v>
      </c>
      <c r="F8" s="204">
        <v>0</v>
      </c>
      <c r="G8" s="204">
        <v>0</v>
      </c>
      <c r="H8" s="204">
        <v>0</v>
      </c>
      <c r="I8" s="204">
        <v>10317</v>
      </c>
      <c r="J8" s="325">
        <v>0</v>
      </c>
      <c r="K8" s="203">
        <f aca="true" t="shared" si="2" ref="K8:K36">SUM(L8,M8)</f>
        <v>122378</v>
      </c>
      <c r="L8" s="204">
        <f aca="true" t="shared" si="3" ref="L8:L36">C8</f>
        <v>105102</v>
      </c>
      <c r="M8" s="205">
        <f aca="true" t="shared" si="4" ref="M8:M36">SUM(N8:S8)</f>
        <v>17276</v>
      </c>
      <c r="N8" s="204">
        <v>16085</v>
      </c>
      <c r="O8" s="204">
        <v>0</v>
      </c>
      <c r="P8" s="204">
        <v>0</v>
      </c>
      <c r="Q8" s="204">
        <v>0</v>
      </c>
      <c r="R8" s="204">
        <v>1191</v>
      </c>
      <c r="S8" s="325">
        <v>0</v>
      </c>
    </row>
    <row r="9" spans="1:19" ht="21.75" customHeight="1">
      <c r="A9" s="86" t="s">
        <v>189</v>
      </c>
      <c r="B9" s="203">
        <f t="shared" si="0"/>
        <v>123903</v>
      </c>
      <c r="C9" s="204">
        <v>103946</v>
      </c>
      <c r="D9" s="157">
        <f t="shared" si="1"/>
        <v>19957</v>
      </c>
      <c r="E9" s="204">
        <v>0</v>
      </c>
      <c r="F9" s="204">
        <v>0</v>
      </c>
      <c r="G9" s="204">
        <v>0</v>
      </c>
      <c r="H9" s="204">
        <v>0</v>
      </c>
      <c r="I9" s="204">
        <v>19957</v>
      </c>
      <c r="J9" s="325">
        <v>0</v>
      </c>
      <c r="K9" s="203">
        <f t="shared" si="2"/>
        <v>106907</v>
      </c>
      <c r="L9" s="204">
        <f t="shared" si="3"/>
        <v>103946</v>
      </c>
      <c r="M9" s="205">
        <f t="shared" si="4"/>
        <v>2961</v>
      </c>
      <c r="N9" s="204">
        <v>0</v>
      </c>
      <c r="O9" s="204">
        <v>0</v>
      </c>
      <c r="P9" s="204">
        <v>0</v>
      </c>
      <c r="Q9" s="204">
        <v>0</v>
      </c>
      <c r="R9" s="204">
        <v>2961</v>
      </c>
      <c r="S9" s="325">
        <v>0</v>
      </c>
    </row>
    <row r="10" spans="1:19" ht="21.75" customHeight="1">
      <c r="A10" s="86" t="s">
        <v>190</v>
      </c>
      <c r="B10" s="203">
        <f t="shared" si="0"/>
        <v>108438</v>
      </c>
      <c r="C10" s="204">
        <v>93564</v>
      </c>
      <c r="D10" s="157">
        <f t="shared" si="1"/>
        <v>14874</v>
      </c>
      <c r="E10" s="204">
        <v>8795</v>
      </c>
      <c r="F10" s="204">
        <v>73</v>
      </c>
      <c r="G10" s="204">
        <v>0</v>
      </c>
      <c r="H10" s="204">
        <v>0</v>
      </c>
      <c r="I10" s="204">
        <v>6006</v>
      </c>
      <c r="J10" s="325">
        <v>0</v>
      </c>
      <c r="K10" s="203">
        <f t="shared" si="2"/>
        <v>99904</v>
      </c>
      <c r="L10" s="204">
        <f t="shared" si="3"/>
        <v>93564</v>
      </c>
      <c r="M10" s="205">
        <f t="shared" si="4"/>
        <v>6340</v>
      </c>
      <c r="N10" s="204">
        <v>5236</v>
      </c>
      <c r="O10" s="204">
        <v>0</v>
      </c>
      <c r="P10" s="204">
        <v>0</v>
      </c>
      <c r="Q10" s="204">
        <v>0</v>
      </c>
      <c r="R10" s="204">
        <v>1104</v>
      </c>
      <c r="S10" s="325">
        <v>0</v>
      </c>
    </row>
    <row r="11" spans="1:19" ht="21.75" customHeight="1">
      <c r="A11" s="118" t="s">
        <v>191</v>
      </c>
      <c r="B11" s="206">
        <f t="shared" si="0"/>
        <v>37929</v>
      </c>
      <c r="C11" s="207">
        <v>34733</v>
      </c>
      <c r="D11" s="158">
        <f t="shared" si="1"/>
        <v>3196</v>
      </c>
      <c r="E11" s="207">
        <v>3196</v>
      </c>
      <c r="F11" s="207">
        <v>0</v>
      </c>
      <c r="G11" s="207">
        <v>0</v>
      </c>
      <c r="H11" s="207">
        <v>0</v>
      </c>
      <c r="I11" s="207"/>
      <c r="J11" s="326"/>
      <c r="K11" s="206">
        <f t="shared" si="2"/>
        <v>36613</v>
      </c>
      <c r="L11" s="207">
        <f t="shared" si="3"/>
        <v>34733</v>
      </c>
      <c r="M11" s="208">
        <f t="shared" si="4"/>
        <v>1880</v>
      </c>
      <c r="N11" s="207">
        <v>1880</v>
      </c>
      <c r="O11" s="207">
        <v>0</v>
      </c>
      <c r="P11" s="207">
        <v>0</v>
      </c>
      <c r="Q11" s="207">
        <v>0</v>
      </c>
      <c r="R11" s="207">
        <v>0</v>
      </c>
      <c r="S11" s="326"/>
    </row>
    <row r="12" spans="1:19" ht="21.75" customHeight="1">
      <c r="A12" s="119" t="s">
        <v>192</v>
      </c>
      <c r="B12" s="209">
        <f t="shared" si="0"/>
        <v>38486</v>
      </c>
      <c r="C12" s="210">
        <v>31462</v>
      </c>
      <c r="D12" s="159">
        <f t="shared" si="1"/>
        <v>7024</v>
      </c>
      <c r="E12" s="210">
        <v>4728</v>
      </c>
      <c r="F12" s="210">
        <v>0</v>
      </c>
      <c r="G12" s="210">
        <v>0</v>
      </c>
      <c r="H12" s="210">
        <v>0</v>
      </c>
      <c r="I12" s="210">
        <v>2296</v>
      </c>
      <c r="J12" s="327">
        <v>0</v>
      </c>
      <c r="K12" s="209">
        <f t="shared" si="2"/>
        <v>35498</v>
      </c>
      <c r="L12" s="210">
        <f t="shared" si="3"/>
        <v>31462</v>
      </c>
      <c r="M12" s="211">
        <f t="shared" si="4"/>
        <v>4036</v>
      </c>
      <c r="N12" s="210">
        <v>4036</v>
      </c>
      <c r="O12" s="210">
        <v>0</v>
      </c>
      <c r="P12" s="210">
        <v>0</v>
      </c>
      <c r="Q12" s="210">
        <v>0</v>
      </c>
      <c r="R12" s="210">
        <v>0</v>
      </c>
      <c r="S12" s="327">
        <v>0</v>
      </c>
    </row>
    <row r="13" spans="1:19" ht="21.75" customHeight="1">
      <c r="A13" s="86" t="s">
        <v>193</v>
      </c>
      <c r="B13" s="203">
        <f t="shared" si="0"/>
        <v>91225</v>
      </c>
      <c r="C13" s="204">
        <v>73938</v>
      </c>
      <c r="D13" s="157">
        <f t="shared" si="1"/>
        <v>17287</v>
      </c>
      <c r="E13" s="204">
        <v>15058</v>
      </c>
      <c r="F13" s="204">
        <v>0</v>
      </c>
      <c r="G13" s="204">
        <v>0</v>
      </c>
      <c r="H13" s="204">
        <v>0</v>
      </c>
      <c r="I13" s="204">
        <v>2229</v>
      </c>
      <c r="J13" s="325">
        <v>0</v>
      </c>
      <c r="K13" s="203">
        <f t="shared" si="2"/>
        <v>87218</v>
      </c>
      <c r="L13" s="204">
        <f t="shared" si="3"/>
        <v>73938</v>
      </c>
      <c r="M13" s="205">
        <f t="shared" si="4"/>
        <v>13280</v>
      </c>
      <c r="N13" s="204">
        <v>12912</v>
      </c>
      <c r="O13" s="204">
        <v>0</v>
      </c>
      <c r="P13" s="204">
        <v>0</v>
      </c>
      <c r="Q13" s="204">
        <v>0</v>
      </c>
      <c r="R13" s="204">
        <v>368</v>
      </c>
      <c r="S13" s="325">
        <v>0</v>
      </c>
    </row>
    <row r="14" spans="1:19" ht="21.75" customHeight="1">
      <c r="A14" s="86" t="s">
        <v>194</v>
      </c>
      <c r="B14" s="203">
        <f t="shared" si="0"/>
        <v>58936</v>
      </c>
      <c r="C14" s="204">
        <v>52889</v>
      </c>
      <c r="D14" s="157">
        <f t="shared" si="1"/>
        <v>6047</v>
      </c>
      <c r="E14" s="204">
        <v>1959</v>
      </c>
      <c r="F14" s="204">
        <v>0</v>
      </c>
      <c r="G14" s="204">
        <v>0</v>
      </c>
      <c r="H14" s="204">
        <v>0</v>
      </c>
      <c r="I14" s="204">
        <v>4088</v>
      </c>
      <c r="J14" s="325">
        <v>0</v>
      </c>
      <c r="K14" s="203">
        <f t="shared" si="2"/>
        <v>54227</v>
      </c>
      <c r="L14" s="204">
        <f t="shared" si="3"/>
        <v>52889</v>
      </c>
      <c r="M14" s="205">
        <f t="shared" si="4"/>
        <v>1338</v>
      </c>
      <c r="N14" s="204">
        <v>1044</v>
      </c>
      <c r="O14" s="204">
        <v>0</v>
      </c>
      <c r="P14" s="204">
        <v>0</v>
      </c>
      <c r="Q14" s="204">
        <v>0</v>
      </c>
      <c r="R14" s="204">
        <v>294</v>
      </c>
      <c r="S14" s="325">
        <v>0</v>
      </c>
    </row>
    <row r="15" spans="1:19" ht="21.75" customHeight="1">
      <c r="A15" s="86" t="s">
        <v>195</v>
      </c>
      <c r="B15" s="203">
        <f t="shared" si="0"/>
        <v>19648</v>
      </c>
      <c r="C15" s="204">
        <v>17537</v>
      </c>
      <c r="D15" s="157">
        <f t="shared" si="1"/>
        <v>2111</v>
      </c>
      <c r="E15" s="204">
        <v>826</v>
      </c>
      <c r="F15" s="204">
        <v>7</v>
      </c>
      <c r="G15" s="204">
        <v>0</v>
      </c>
      <c r="H15" s="204">
        <v>0</v>
      </c>
      <c r="I15" s="204">
        <v>1278</v>
      </c>
      <c r="J15" s="325">
        <v>0</v>
      </c>
      <c r="K15" s="203">
        <f t="shared" si="2"/>
        <v>18181</v>
      </c>
      <c r="L15" s="204">
        <f t="shared" si="3"/>
        <v>17537</v>
      </c>
      <c r="M15" s="205">
        <f t="shared" si="4"/>
        <v>644</v>
      </c>
      <c r="N15" s="204">
        <v>562</v>
      </c>
      <c r="O15" s="204">
        <v>0</v>
      </c>
      <c r="P15" s="204">
        <v>0</v>
      </c>
      <c r="Q15" s="204">
        <v>0</v>
      </c>
      <c r="R15" s="204">
        <v>82</v>
      </c>
      <c r="S15" s="325">
        <v>0</v>
      </c>
    </row>
    <row r="16" spans="1:19" ht="21.75" customHeight="1">
      <c r="A16" s="118" t="s">
        <v>196</v>
      </c>
      <c r="B16" s="206">
        <f t="shared" si="0"/>
        <v>28328</v>
      </c>
      <c r="C16" s="207">
        <v>22360</v>
      </c>
      <c r="D16" s="158">
        <f t="shared" si="1"/>
        <v>5968</v>
      </c>
      <c r="E16" s="207">
        <v>4806</v>
      </c>
      <c r="F16" s="207">
        <v>0</v>
      </c>
      <c r="G16" s="207">
        <v>0</v>
      </c>
      <c r="H16" s="207">
        <v>0</v>
      </c>
      <c r="I16" s="207">
        <v>1162</v>
      </c>
      <c r="J16" s="326">
        <v>0</v>
      </c>
      <c r="K16" s="206">
        <f t="shared" si="2"/>
        <v>26551</v>
      </c>
      <c r="L16" s="207">
        <f t="shared" si="3"/>
        <v>22360</v>
      </c>
      <c r="M16" s="208">
        <f t="shared" si="4"/>
        <v>4191</v>
      </c>
      <c r="N16" s="207">
        <v>4191</v>
      </c>
      <c r="O16" s="207">
        <v>0</v>
      </c>
      <c r="P16" s="207">
        <v>0</v>
      </c>
      <c r="Q16" s="207">
        <v>0</v>
      </c>
      <c r="R16" s="207">
        <v>0</v>
      </c>
      <c r="S16" s="326">
        <v>0</v>
      </c>
    </row>
    <row r="17" spans="1:19" ht="21.75" customHeight="1">
      <c r="A17" s="119" t="s">
        <v>197</v>
      </c>
      <c r="B17" s="209">
        <f t="shared" si="0"/>
        <v>48353</v>
      </c>
      <c r="C17" s="210">
        <v>42323</v>
      </c>
      <c r="D17" s="159">
        <f t="shared" si="1"/>
        <v>6030</v>
      </c>
      <c r="E17" s="210">
        <v>1863</v>
      </c>
      <c r="F17" s="210">
        <v>568</v>
      </c>
      <c r="G17" s="210">
        <v>0</v>
      </c>
      <c r="H17" s="210">
        <v>0</v>
      </c>
      <c r="I17" s="210">
        <v>3599</v>
      </c>
      <c r="J17" s="327">
        <v>0</v>
      </c>
      <c r="K17" s="209">
        <f t="shared" si="2"/>
        <v>43899</v>
      </c>
      <c r="L17" s="210">
        <f t="shared" si="3"/>
        <v>42323</v>
      </c>
      <c r="M17" s="211">
        <f t="shared" si="4"/>
        <v>1576</v>
      </c>
      <c r="N17" s="210">
        <v>1222</v>
      </c>
      <c r="O17" s="210">
        <v>0</v>
      </c>
      <c r="P17" s="210">
        <v>0</v>
      </c>
      <c r="Q17" s="210">
        <v>0</v>
      </c>
      <c r="R17" s="210">
        <v>354</v>
      </c>
      <c r="S17" s="327">
        <v>0</v>
      </c>
    </row>
    <row r="18" spans="1:19" ht="21.75" customHeight="1">
      <c r="A18" s="86" t="s">
        <v>198</v>
      </c>
      <c r="B18" s="203">
        <f t="shared" si="0"/>
        <v>130912</v>
      </c>
      <c r="C18" s="204">
        <v>109099</v>
      </c>
      <c r="D18" s="157">
        <f t="shared" si="1"/>
        <v>21813</v>
      </c>
      <c r="E18" s="204">
        <v>0</v>
      </c>
      <c r="F18" s="204">
        <v>3826</v>
      </c>
      <c r="G18" s="204">
        <v>0</v>
      </c>
      <c r="H18" s="204">
        <v>0</v>
      </c>
      <c r="I18" s="204">
        <v>17987</v>
      </c>
      <c r="J18" s="325">
        <v>0</v>
      </c>
      <c r="K18" s="203">
        <f t="shared" si="2"/>
        <v>110538</v>
      </c>
      <c r="L18" s="204">
        <f t="shared" si="3"/>
        <v>109099</v>
      </c>
      <c r="M18" s="205">
        <f t="shared" si="4"/>
        <v>1439</v>
      </c>
      <c r="N18" s="204">
        <v>0</v>
      </c>
      <c r="O18" s="204">
        <v>0</v>
      </c>
      <c r="P18" s="204">
        <v>0</v>
      </c>
      <c r="Q18" s="204">
        <v>0</v>
      </c>
      <c r="R18" s="204">
        <v>1439</v>
      </c>
      <c r="S18" s="325">
        <v>0</v>
      </c>
    </row>
    <row r="19" spans="1:19" ht="21.75" customHeight="1">
      <c r="A19" s="86" t="s">
        <v>199</v>
      </c>
      <c r="B19" s="203">
        <f t="shared" si="0"/>
        <v>52565</v>
      </c>
      <c r="C19" s="204">
        <v>44638</v>
      </c>
      <c r="D19" s="157">
        <f t="shared" si="1"/>
        <v>7927</v>
      </c>
      <c r="E19" s="204">
        <v>0</v>
      </c>
      <c r="F19" s="204">
        <v>1479</v>
      </c>
      <c r="G19" s="204">
        <v>0</v>
      </c>
      <c r="H19" s="204">
        <v>0</v>
      </c>
      <c r="I19" s="204">
        <v>6448</v>
      </c>
      <c r="J19" s="325">
        <v>0</v>
      </c>
      <c r="K19" s="203">
        <f t="shared" si="2"/>
        <v>46678</v>
      </c>
      <c r="L19" s="204">
        <f t="shared" si="3"/>
        <v>44638</v>
      </c>
      <c r="M19" s="205">
        <f t="shared" si="4"/>
        <v>2040</v>
      </c>
      <c r="N19" s="204">
        <v>0</v>
      </c>
      <c r="O19" s="204">
        <v>0</v>
      </c>
      <c r="P19" s="204">
        <v>0</v>
      </c>
      <c r="Q19" s="204">
        <v>0</v>
      </c>
      <c r="R19" s="204">
        <v>2040</v>
      </c>
      <c r="S19" s="325">
        <v>0</v>
      </c>
    </row>
    <row r="20" spans="1:19" ht="21.75" customHeight="1">
      <c r="A20" s="86" t="s">
        <v>200</v>
      </c>
      <c r="B20" s="203">
        <f t="shared" si="0"/>
        <v>36090</v>
      </c>
      <c r="C20" s="204">
        <v>32734</v>
      </c>
      <c r="D20" s="157">
        <f t="shared" si="1"/>
        <v>3356</v>
      </c>
      <c r="E20" s="204">
        <v>0</v>
      </c>
      <c r="F20" s="204">
        <v>0</v>
      </c>
      <c r="G20" s="204">
        <v>0</v>
      </c>
      <c r="H20" s="204">
        <v>0</v>
      </c>
      <c r="I20" s="204">
        <v>3356</v>
      </c>
      <c r="J20" s="325">
        <v>0</v>
      </c>
      <c r="K20" s="203">
        <f t="shared" si="2"/>
        <v>32966</v>
      </c>
      <c r="L20" s="204">
        <f t="shared" si="3"/>
        <v>32734</v>
      </c>
      <c r="M20" s="205">
        <f t="shared" si="4"/>
        <v>232</v>
      </c>
      <c r="N20" s="204">
        <v>0</v>
      </c>
      <c r="O20" s="204">
        <v>0</v>
      </c>
      <c r="P20" s="204">
        <v>0</v>
      </c>
      <c r="Q20" s="204">
        <v>0</v>
      </c>
      <c r="R20" s="204">
        <v>232</v>
      </c>
      <c r="S20" s="325">
        <v>0</v>
      </c>
    </row>
    <row r="21" spans="1:19" ht="21.75" customHeight="1">
      <c r="A21" s="118" t="s">
        <v>201</v>
      </c>
      <c r="B21" s="206">
        <f t="shared" si="0"/>
        <v>34115</v>
      </c>
      <c r="C21" s="207">
        <v>27242</v>
      </c>
      <c r="D21" s="158">
        <f t="shared" si="1"/>
        <v>6873</v>
      </c>
      <c r="E21" s="207">
        <v>0</v>
      </c>
      <c r="F21" s="207">
        <v>0</v>
      </c>
      <c r="G21" s="207">
        <v>0</v>
      </c>
      <c r="H21" s="207">
        <v>0</v>
      </c>
      <c r="I21" s="207">
        <v>6873</v>
      </c>
      <c r="J21" s="326">
        <v>0</v>
      </c>
      <c r="K21" s="206">
        <f t="shared" si="2"/>
        <v>27893</v>
      </c>
      <c r="L21" s="207">
        <f t="shared" si="3"/>
        <v>27242</v>
      </c>
      <c r="M21" s="208">
        <f t="shared" si="4"/>
        <v>651</v>
      </c>
      <c r="N21" s="207">
        <v>0</v>
      </c>
      <c r="O21" s="207">
        <v>0</v>
      </c>
      <c r="P21" s="207">
        <v>0</v>
      </c>
      <c r="Q21" s="207">
        <v>0</v>
      </c>
      <c r="R21" s="207">
        <v>651</v>
      </c>
      <c r="S21" s="326">
        <v>0</v>
      </c>
    </row>
    <row r="22" spans="1:19" ht="21.75" customHeight="1">
      <c r="A22" s="119" t="s">
        <v>202</v>
      </c>
      <c r="B22" s="209">
        <f t="shared" si="0"/>
        <v>18955</v>
      </c>
      <c r="C22" s="210">
        <v>17618</v>
      </c>
      <c r="D22" s="159">
        <f t="shared" si="1"/>
        <v>1337</v>
      </c>
      <c r="E22" s="210">
        <v>1292</v>
      </c>
      <c r="F22" s="210">
        <v>0</v>
      </c>
      <c r="G22" s="210">
        <v>0</v>
      </c>
      <c r="H22" s="210">
        <v>0</v>
      </c>
      <c r="I22" s="210">
        <v>45</v>
      </c>
      <c r="J22" s="327">
        <v>0</v>
      </c>
      <c r="K22" s="209">
        <f t="shared" si="2"/>
        <v>18476</v>
      </c>
      <c r="L22" s="210">
        <f t="shared" si="3"/>
        <v>17618</v>
      </c>
      <c r="M22" s="211">
        <f t="shared" si="4"/>
        <v>858</v>
      </c>
      <c r="N22" s="210">
        <v>858</v>
      </c>
      <c r="O22" s="210">
        <v>0</v>
      </c>
      <c r="P22" s="210">
        <v>0</v>
      </c>
      <c r="Q22" s="210">
        <v>0</v>
      </c>
      <c r="R22" s="210">
        <v>0</v>
      </c>
      <c r="S22" s="327">
        <v>0</v>
      </c>
    </row>
    <row r="23" spans="1:19" ht="21.75" customHeight="1">
      <c r="A23" s="86" t="s">
        <v>203</v>
      </c>
      <c r="B23" s="203">
        <f t="shared" si="0"/>
        <v>20015</v>
      </c>
      <c r="C23" s="204">
        <v>17535</v>
      </c>
      <c r="D23" s="157">
        <f t="shared" si="1"/>
        <v>2480</v>
      </c>
      <c r="E23" s="204">
        <v>1533</v>
      </c>
      <c r="F23" s="204">
        <v>0</v>
      </c>
      <c r="G23" s="204">
        <v>0</v>
      </c>
      <c r="H23" s="204">
        <v>0</v>
      </c>
      <c r="I23" s="204">
        <v>947</v>
      </c>
      <c r="J23" s="325">
        <v>0</v>
      </c>
      <c r="K23" s="203">
        <f t="shared" si="2"/>
        <v>17535</v>
      </c>
      <c r="L23" s="204">
        <f t="shared" si="3"/>
        <v>17535</v>
      </c>
      <c r="M23" s="205">
        <f t="shared" si="4"/>
        <v>0</v>
      </c>
      <c r="N23" s="204">
        <v>0</v>
      </c>
      <c r="O23" s="204">
        <v>0</v>
      </c>
      <c r="P23" s="204">
        <v>0</v>
      </c>
      <c r="Q23" s="204">
        <v>0</v>
      </c>
      <c r="R23" s="204">
        <v>0</v>
      </c>
      <c r="S23" s="325">
        <v>0</v>
      </c>
    </row>
    <row r="24" spans="1:19" ht="21.75" customHeight="1">
      <c r="A24" s="86" t="s">
        <v>204</v>
      </c>
      <c r="B24" s="203">
        <f t="shared" si="0"/>
        <v>27082</v>
      </c>
      <c r="C24" s="204">
        <v>20334</v>
      </c>
      <c r="D24" s="157">
        <f t="shared" si="1"/>
        <v>6748</v>
      </c>
      <c r="E24" s="204">
        <v>1246</v>
      </c>
      <c r="F24" s="204">
        <v>0</v>
      </c>
      <c r="G24" s="204">
        <v>0</v>
      </c>
      <c r="H24" s="204">
        <v>338</v>
      </c>
      <c r="I24" s="204">
        <v>5164</v>
      </c>
      <c r="J24" s="325">
        <v>0</v>
      </c>
      <c r="K24" s="203">
        <f t="shared" si="2"/>
        <v>20854</v>
      </c>
      <c r="L24" s="204">
        <f t="shared" si="3"/>
        <v>20334</v>
      </c>
      <c r="M24" s="205">
        <f t="shared" si="4"/>
        <v>520</v>
      </c>
      <c r="N24" s="204">
        <v>413</v>
      </c>
      <c r="O24" s="204">
        <v>0</v>
      </c>
      <c r="P24" s="204">
        <v>0</v>
      </c>
      <c r="Q24" s="204">
        <v>0</v>
      </c>
      <c r="R24" s="204">
        <v>107</v>
      </c>
      <c r="S24" s="325">
        <v>0</v>
      </c>
    </row>
    <row r="25" spans="1:19" ht="21.75" customHeight="1">
      <c r="A25" s="86" t="s">
        <v>205</v>
      </c>
      <c r="B25" s="203">
        <f t="shared" si="0"/>
        <v>41488</v>
      </c>
      <c r="C25" s="204">
        <v>33872</v>
      </c>
      <c r="D25" s="157">
        <f t="shared" si="1"/>
        <v>7616</v>
      </c>
      <c r="E25" s="204">
        <v>4069</v>
      </c>
      <c r="F25" s="204">
        <v>0</v>
      </c>
      <c r="G25" s="204">
        <v>0</v>
      </c>
      <c r="H25" s="204">
        <v>0</v>
      </c>
      <c r="I25" s="204">
        <v>3547</v>
      </c>
      <c r="J25" s="325">
        <v>0</v>
      </c>
      <c r="K25" s="203">
        <f t="shared" si="2"/>
        <v>35247</v>
      </c>
      <c r="L25" s="204">
        <f t="shared" si="3"/>
        <v>33872</v>
      </c>
      <c r="M25" s="205">
        <f t="shared" si="4"/>
        <v>1375</v>
      </c>
      <c r="N25" s="204">
        <v>1375</v>
      </c>
      <c r="O25" s="204">
        <v>0</v>
      </c>
      <c r="P25" s="204">
        <v>0</v>
      </c>
      <c r="Q25" s="204">
        <v>0</v>
      </c>
      <c r="R25" s="204">
        <v>0</v>
      </c>
      <c r="S25" s="325">
        <v>0</v>
      </c>
    </row>
    <row r="26" spans="1:19" ht="21.75" customHeight="1">
      <c r="A26" s="118" t="s">
        <v>206</v>
      </c>
      <c r="B26" s="206">
        <f t="shared" si="0"/>
        <v>37090</v>
      </c>
      <c r="C26" s="207">
        <v>31711</v>
      </c>
      <c r="D26" s="158">
        <f t="shared" si="1"/>
        <v>5379</v>
      </c>
      <c r="E26" s="207">
        <v>3466</v>
      </c>
      <c r="F26" s="207">
        <v>0</v>
      </c>
      <c r="G26" s="207">
        <v>0</v>
      </c>
      <c r="H26" s="207">
        <v>0</v>
      </c>
      <c r="I26" s="207">
        <v>1913</v>
      </c>
      <c r="J26" s="326">
        <v>0</v>
      </c>
      <c r="K26" s="206">
        <f t="shared" si="2"/>
        <v>34043</v>
      </c>
      <c r="L26" s="207">
        <f t="shared" si="3"/>
        <v>31711</v>
      </c>
      <c r="M26" s="208">
        <f t="shared" si="4"/>
        <v>2332</v>
      </c>
      <c r="N26" s="207">
        <v>2332</v>
      </c>
      <c r="O26" s="207">
        <v>0</v>
      </c>
      <c r="P26" s="207">
        <v>0</v>
      </c>
      <c r="Q26" s="207">
        <v>0</v>
      </c>
      <c r="R26" s="207">
        <v>0</v>
      </c>
      <c r="S26" s="326">
        <v>0</v>
      </c>
    </row>
    <row r="27" spans="1:19" ht="21.75" customHeight="1">
      <c r="A27" s="119" t="s">
        <v>207</v>
      </c>
      <c r="B27" s="209">
        <f t="shared" si="0"/>
        <v>12631</v>
      </c>
      <c r="C27" s="210">
        <v>11877</v>
      </c>
      <c r="D27" s="159">
        <f t="shared" si="1"/>
        <v>754</v>
      </c>
      <c r="E27" s="210">
        <v>0</v>
      </c>
      <c r="F27" s="210">
        <v>0</v>
      </c>
      <c r="G27" s="210">
        <v>0</v>
      </c>
      <c r="H27" s="210">
        <v>0</v>
      </c>
      <c r="I27" s="210">
        <v>32</v>
      </c>
      <c r="J27" s="327">
        <v>722</v>
      </c>
      <c r="K27" s="209">
        <f t="shared" si="2"/>
        <v>12094</v>
      </c>
      <c r="L27" s="210">
        <f t="shared" si="3"/>
        <v>11877</v>
      </c>
      <c r="M27" s="211">
        <f t="shared" si="4"/>
        <v>217</v>
      </c>
      <c r="N27" s="210">
        <v>0</v>
      </c>
      <c r="O27" s="210">
        <v>0</v>
      </c>
      <c r="P27" s="210">
        <v>0</v>
      </c>
      <c r="Q27" s="210">
        <v>0</v>
      </c>
      <c r="R27" s="210">
        <v>0</v>
      </c>
      <c r="S27" s="327">
        <v>217</v>
      </c>
    </row>
    <row r="28" spans="1:19" ht="21.75" customHeight="1">
      <c r="A28" s="86" t="s">
        <v>208</v>
      </c>
      <c r="B28" s="203">
        <f t="shared" si="0"/>
        <v>33580</v>
      </c>
      <c r="C28" s="204">
        <v>31135</v>
      </c>
      <c r="D28" s="157">
        <f t="shared" si="1"/>
        <v>2445</v>
      </c>
      <c r="E28" s="204">
        <v>1960</v>
      </c>
      <c r="F28" s="204">
        <v>0</v>
      </c>
      <c r="G28" s="204">
        <v>0</v>
      </c>
      <c r="H28" s="204">
        <v>0</v>
      </c>
      <c r="I28" s="204">
        <v>485</v>
      </c>
      <c r="J28" s="325">
        <v>0</v>
      </c>
      <c r="K28" s="203">
        <f t="shared" si="2"/>
        <v>32015</v>
      </c>
      <c r="L28" s="204">
        <f t="shared" si="3"/>
        <v>31135</v>
      </c>
      <c r="M28" s="205">
        <f t="shared" si="4"/>
        <v>880</v>
      </c>
      <c r="N28" s="204">
        <v>880</v>
      </c>
      <c r="O28" s="204">
        <v>0</v>
      </c>
      <c r="P28" s="204">
        <v>0</v>
      </c>
      <c r="Q28" s="204">
        <v>0</v>
      </c>
      <c r="R28" s="204">
        <v>0</v>
      </c>
      <c r="S28" s="325">
        <v>0</v>
      </c>
    </row>
    <row r="29" spans="1:19" ht="21.75" customHeight="1">
      <c r="A29" s="86" t="s">
        <v>209</v>
      </c>
      <c r="B29" s="203">
        <f t="shared" si="0"/>
        <v>22043</v>
      </c>
      <c r="C29" s="204">
        <v>21172</v>
      </c>
      <c r="D29" s="157">
        <f t="shared" si="1"/>
        <v>871</v>
      </c>
      <c r="E29" s="204">
        <v>856</v>
      </c>
      <c r="F29" s="204">
        <v>0</v>
      </c>
      <c r="G29" s="204">
        <v>0</v>
      </c>
      <c r="H29" s="204">
        <v>0</v>
      </c>
      <c r="I29" s="204">
        <v>15</v>
      </c>
      <c r="J29" s="325">
        <v>0</v>
      </c>
      <c r="K29" s="203">
        <f t="shared" si="2"/>
        <v>21354</v>
      </c>
      <c r="L29" s="204">
        <f t="shared" si="3"/>
        <v>21172</v>
      </c>
      <c r="M29" s="205">
        <f t="shared" si="4"/>
        <v>182</v>
      </c>
      <c r="N29" s="204">
        <v>182</v>
      </c>
      <c r="O29" s="204">
        <v>0</v>
      </c>
      <c r="P29" s="204">
        <v>0</v>
      </c>
      <c r="Q29" s="204">
        <v>0</v>
      </c>
      <c r="R29" s="204">
        <v>0</v>
      </c>
      <c r="S29" s="325">
        <v>0</v>
      </c>
    </row>
    <row r="30" spans="1:19" ht="21.75" customHeight="1">
      <c r="A30" s="86" t="s">
        <v>210</v>
      </c>
      <c r="B30" s="203">
        <f t="shared" si="0"/>
        <v>28137</v>
      </c>
      <c r="C30" s="204">
        <v>21065</v>
      </c>
      <c r="D30" s="157">
        <f t="shared" si="1"/>
        <v>7072</v>
      </c>
      <c r="E30" s="204">
        <v>3689</v>
      </c>
      <c r="F30" s="204">
        <v>0</v>
      </c>
      <c r="G30" s="204">
        <v>0</v>
      </c>
      <c r="H30" s="204">
        <v>0</v>
      </c>
      <c r="I30" s="204">
        <v>3383</v>
      </c>
      <c r="J30" s="325">
        <v>0</v>
      </c>
      <c r="K30" s="203">
        <f t="shared" si="2"/>
        <v>24165</v>
      </c>
      <c r="L30" s="204">
        <f t="shared" si="3"/>
        <v>21065</v>
      </c>
      <c r="M30" s="205">
        <f t="shared" si="4"/>
        <v>3100</v>
      </c>
      <c r="N30" s="204">
        <v>3100</v>
      </c>
      <c r="O30" s="204">
        <v>0</v>
      </c>
      <c r="P30" s="204">
        <v>0</v>
      </c>
      <c r="Q30" s="204">
        <v>0</v>
      </c>
      <c r="R30" s="204">
        <v>0</v>
      </c>
      <c r="S30" s="325">
        <v>0</v>
      </c>
    </row>
    <row r="31" spans="1:19" ht="21.75" customHeight="1">
      <c r="A31" s="118" t="s">
        <v>211</v>
      </c>
      <c r="B31" s="206">
        <f t="shared" si="0"/>
        <v>20275</v>
      </c>
      <c r="C31" s="207">
        <v>18604</v>
      </c>
      <c r="D31" s="158">
        <f t="shared" si="1"/>
        <v>1671</v>
      </c>
      <c r="E31" s="207">
        <v>1099</v>
      </c>
      <c r="F31" s="207">
        <v>0</v>
      </c>
      <c r="G31" s="207">
        <v>0</v>
      </c>
      <c r="H31" s="207">
        <v>0</v>
      </c>
      <c r="I31" s="207">
        <v>572</v>
      </c>
      <c r="J31" s="326">
        <v>0</v>
      </c>
      <c r="K31" s="206">
        <f t="shared" si="2"/>
        <v>19325</v>
      </c>
      <c r="L31" s="207">
        <f t="shared" si="3"/>
        <v>18604</v>
      </c>
      <c r="M31" s="208">
        <f t="shared" si="4"/>
        <v>721</v>
      </c>
      <c r="N31" s="207">
        <v>721</v>
      </c>
      <c r="O31" s="207">
        <v>0</v>
      </c>
      <c r="P31" s="207">
        <v>0</v>
      </c>
      <c r="Q31" s="207">
        <v>0</v>
      </c>
      <c r="R31" s="207">
        <v>0</v>
      </c>
      <c r="S31" s="326">
        <v>0</v>
      </c>
    </row>
    <row r="32" spans="1:19" ht="21.75" customHeight="1">
      <c r="A32" s="119" t="s">
        <v>212</v>
      </c>
      <c r="B32" s="209">
        <f t="shared" si="0"/>
        <v>22170</v>
      </c>
      <c r="C32" s="210">
        <v>20891</v>
      </c>
      <c r="D32" s="159">
        <f t="shared" si="1"/>
        <v>1279</v>
      </c>
      <c r="E32" s="210">
        <v>1279</v>
      </c>
      <c r="F32" s="210">
        <v>0</v>
      </c>
      <c r="G32" s="210">
        <v>0</v>
      </c>
      <c r="H32" s="210">
        <v>0</v>
      </c>
      <c r="I32" s="210">
        <v>0</v>
      </c>
      <c r="J32" s="327">
        <v>0</v>
      </c>
      <c r="K32" s="209">
        <f t="shared" si="2"/>
        <v>21644</v>
      </c>
      <c r="L32" s="210">
        <f t="shared" si="3"/>
        <v>20891</v>
      </c>
      <c r="M32" s="211">
        <f t="shared" si="4"/>
        <v>753</v>
      </c>
      <c r="N32" s="210">
        <v>753</v>
      </c>
      <c r="O32" s="210">
        <v>0</v>
      </c>
      <c r="P32" s="210">
        <v>0</v>
      </c>
      <c r="Q32" s="210">
        <v>0</v>
      </c>
      <c r="R32" s="210">
        <v>0</v>
      </c>
      <c r="S32" s="327">
        <v>0</v>
      </c>
    </row>
    <row r="33" spans="1:19" ht="21.75" customHeight="1">
      <c r="A33" s="86" t="s">
        <v>213</v>
      </c>
      <c r="B33" s="203">
        <f t="shared" si="0"/>
        <v>12938</v>
      </c>
      <c r="C33" s="204">
        <v>11696</v>
      </c>
      <c r="D33" s="157">
        <f t="shared" si="1"/>
        <v>1242</v>
      </c>
      <c r="E33" s="204">
        <v>1242</v>
      </c>
      <c r="F33" s="204">
        <v>0</v>
      </c>
      <c r="G33" s="204">
        <v>0</v>
      </c>
      <c r="H33" s="204">
        <v>0</v>
      </c>
      <c r="I33" s="204">
        <v>0</v>
      </c>
      <c r="J33" s="325">
        <v>0</v>
      </c>
      <c r="K33" s="203">
        <f t="shared" si="2"/>
        <v>12623</v>
      </c>
      <c r="L33" s="204">
        <f t="shared" si="3"/>
        <v>11696</v>
      </c>
      <c r="M33" s="205">
        <f t="shared" si="4"/>
        <v>927</v>
      </c>
      <c r="N33" s="204">
        <v>927</v>
      </c>
      <c r="O33" s="204">
        <v>0</v>
      </c>
      <c r="P33" s="204">
        <v>0</v>
      </c>
      <c r="Q33" s="204">
        <v>0</v>
      </c>
      <c r="R33" s="204">
        <v>0</v>
      </c>
      <c r="S33" s="325">
        <v>0</v>
      </c>
    </row>
    <row r="34" spans="1:19" ht="21.75" customHeight="1">
      <c r="A34" s="86" t="s">
        <v>214</v>
      </c>
      <c r="B34" s="203">
        <f t="shared" si="0"/>
        <v>11131</v>
      </c>
      <c r="C34" s="204">
        <v>9235</v>
      </c>
      <c r="D34" s="157">
        <f t="shared" si="1"/>
        <v>1896</v>
      </c>
      <c r="E34" s="204">
        <v>1161</v>
      </c>
      <c r="F34" s="204">
        <v>0</v>
      </c>
      <c r="G34" s="204">
        <v>0</v>
      </c>
      <c r="H34" s="204">
        <v>0</v>
      </c>
      <c r="I34" s="204">
        <v>735</v>
      </c>
      <c r="J34" s="325">
        <v>0</v>
      </c>
      <c r="K34" s="203">
        <f t="shared" si="2"/>
        <v>10031</v>
      </c>
      <c r="L34" s="204">
        <f t="shared" si="3"/>
        <v>9235</v>
      </c>
      <c r="M34" s="205">
        <f t="shared" si="4"/>
        <v>796</v>
      </c>
      <c r="N34" s="204">
        <v>796</v>
      </c>
      <c r="O34" s="204">
        <v>0</v>
      </c>
      <c r="P34" s="204">
        <v>0</v>
      </c>
      <c r="Q34" s="204">
        <v>0</v>
      </c>
      <c r="R34" s="204">
        <v>0</v>
      </c>
      <c r="S34" s="325">
        <v>0</v>
      </c>
    </row>
    <row r="35" spans="1:19" ht="21.75" customHeight="1">
      <c r="A35" s="86" t="s">
        <v>215</v>
      </c>
      <c r="B35" s="203">
        <f t="shared" si="0"/>
        <v>17644</v>
      </c>
      <c r="C35" s="204">
        <v>14770</v>
      </c>
      <c r="D35" s="157">
        <f t="shared" si="1"/>
        <v>2874</v>
      </c>
      <c r="E35" s="204">
        <v>577</v>
      </c>
      <c r="F35" s="204">
        <v>328</v>
      </c>
      <c r="G35" s="204">
        <v>0</v>
      </c>
      <c r="H35" s="204">
        <v>6</v>
      </c>
      <c r="I35" s="204">
        <v>1963</v>
      </c>
      <c r="J35" s="325">
        <v>0</v>
      </c>
      <c r="K35" s="203">
        <f t="shared" si="2"/>
        <v>14893</v>
      </c>
      <c r="L35" s="204">
        <f t="shared" si="3"/>
        <v>14770</v>
      </c>
      <c r="M35" s="205">
        <f t="shared" si="4"/>
        <v>123</v>
      </c>
      <c r="N35" s="204">
        <v>123</v>
      </c>
      <c r="O35" s="204">
        <v>0</v>
      </c>
      <c r="P35" s="204">
        <v>0</v>
      </c>
      <c r="Q35" s="204">
        <v>0</v>
      </c>
      <c r="R35" s="204"/>
      <c r="S35" s="325">
        <v>0</v>
      </c>
    </row>
    <row r="36" spans="1:19" ht="21.75" customHeight="1" thickBot="1">
      <c r="A36" s="120" t="s">
        <v>216</v>
      </c>
      <c r="B36" s="212">
        <f t="shared" si="0"/>
        <v>24198</v>
      </c>
      <c r="C36" s="213">
        <v>19290</v>
      </c>
      <c r="D36" s="160">
        <f t="shared" si="1"/>
        <v>4908</v>
      </c>
      <c r="E36" s="213">
        <v>1702</v>
      </c>
      <c r="F36" s="213">
        <v>3</v>
      </c>
      <c r="G36" s="213">
        <v>0</v>
      </c>
      <c r="H36" s="213">
        <v>0</v>
      </c>
      <c r="I36" s="213">
        <v>3203</v>
      </c>
      <c r="J36" s="328">
        <v>0</v>
      </c>
      <c r="K36" s="212">
        <f t="shared" si="2"/>
        <v>20134</v>
      </c>
      <c r="L36" s="213">
        <f t="shared" si="3"/>
        <v>19290</v>
      </c>
      <c r="M36" s="214">
        <f t="shared" si="4"/>
        <v>844</v>
      </c>
      <c r="N36" s="213">
        <v>844</v>
      </c>
      <c r="O36" s="213">
        <v>0</v>
      </c>
      <c r="P36" s="213">
        <v>0</v>
      </c>
      <c r="Q36" s="213">
        <v>0</v>
      </c>
      <c r="R36" s="213">
        <v>0</v>
      </c>
      <c r="S36" s="328">
        <v>0</v>
      </c>
    </row>
    <row r="37" spans="1:19" ht="21" customHeight="1">
      <c r="A37" s="27" t="s">
        <v>52</v>
      </c>
      <c r="B37" s="85"/>
      <c r="C37" s="85"/>
      <c r="D37" s="85"/>
      <c r="E37" s="85"/>
      <c r="F37" s="74"/>
      <c r="G37" s="74"/>
      <c r="H37" s="74"/>
      <c r="I37" s="74"/>
      <c r="J37" s="74"/>
      <c r="K37" s="15"/>
      <c r="L37" s="15"/>
      <c r="M37" s="85"/>
      <c r="N37" s="85"/>
      <c r="O37" s="74"/>
      <c r="P37" s="74"/>
      <c r="Q37" s="74"/>
      <c r="R37" s="74"/>
      <c r="S37" s="74"/>
    </row>
    <row r="38" spans="1:19" s="12" customFormat="1" ht="21" customHeight="1" thickBot="1">
      <c r="A38" s="27" t="s">
        <v>250</v>
      </c>
      <c r="S38" s="21" t="s">
        <v>104</v>
      </c>
    </row>
    <row r="39" spans="1:19" s="13" customFormat="1" ht="18.75" customHeight="1">
      <c r="A39" s="520" t="s">
        <v>28</v>
      </c>
      <c r="B39" s="108" t="s">
        <v>244</v>
      </c>
      <c r="C39" s="109"/>
      <c r="D39" s="109"/>
      <c r="E39" s="109"/>
      <c r="F39" s="109"/>
      <c r="G39" s="109"/>
      <c r="H39" s="109"/>
      <c r="I39" s="109"/>
      <c r="J39" s="110"/>
      <c r="K39" s="108" t="s">
        <v>248</v>
      </c>
      <c r="L39" s="30"/>
      <c r="M39" s="30"/>
      <c r="N39" s="30"/>
      <c r="O39" s="30"/>
      <c r="P39" s="30"/>
      <c r="Q39" s="30"/>
      <c r="R39" s="30"/>
      <c r="S39" s="31"/>
    </row>
    <row r="40" spans="1:19" s="13" customFormat="1" ht="18.75" customHeight="1">
      <c r="A40" s="521"/>
      <c r="B40" s="517" t="s">
        <v>245</v>
      </c>
      <c r="C40" s="519" t="s">
        <v>243</v>
      </c>
      <c r="D40" s="514" t="s">
        <v>251</v>
      </c>
      <c r="E40" s="515"/>
      <c r="F40" s="515"/>
      <c r="G40" s="515"/>
      <c r="H40" s="515"/>
      <c r="I40" s="515"/>
      <c r="J40" s="516"/>
      <c r="K40" s="517" t="s">
        <v>245</v>
      </c>
      <c r="L40" s="519" t="s">
        <v>243</v>
      </c>
      <c r="M40" s="514" t="s">
        <v>252</v>
      </c>
      <c r="N40" s="515"/>
      <c r="O40" s="515"/>
      <c r="P40" s="515"/>
      <c r="Q40" s="515"/>
      <c r="R40" s="515"/>
      <c r="S40" s="516"/>
    </row>
    <row r="41" spans="1:19" s="13" customFormat="1" ht="18.75" customHeight="1">
      <c r="A41" s="521"/>
      <c r="B41" s="517"/>
      <c r="C41" s="508"/>
      <c r="D41" s="508" t="s">
        <v>128</v>
      </c>
      <c r="E41" s="512" t="s">
        <v>159</v>
      </c>
      <c r="F41" s="512" t="s">
        <v>157</v>
      </c>
      <c r="G41" s="512" t="s">
        <v>280</v>
      </c>
      <c r="H41" s="512" t="s">
        <v>158</v>
      </c>
      <c r="I41" s="512" t="s">
        <v>161</v>
      </c>
      <c r="J41" s="510" t="s">
        <v>242</v>
      </c>
      <c r="K41" s="517"/>
      <c r="L41" s="508"/>
      <c r="M41" s="508" t="s">
        <v>128</v>
      </c>
      <c r="N41" s="512" t="s">
        <v>159</v>
      </c>
      <c r="O41" s="512" t="s">
        <v>157</v>
      </c>
      <c r="P41" s="512" t="s">
        <v>280</v>
      </c>
      <c r="Q41" s="512" t="s">
        <v>158</v>
      </c>
      <c r="R41" s="512" t="s">
        <v>161</v>
      </c>
      <c r="S41" s="510" t="s">
        <v>160</v>
      </c>
    </row>
    <row r="42" spans="1:19" s="13" customFormat="1" ht="39" customHeight="1" thickBot="1">
      <c r="A42" s="522"/>
      <c r="B42" s="518"/>
      <c r="C42" s="509"/>
      <c r="D42" s="509"/>
      <c r="E42" s="513"/>
      <c r="F42" s="513"/>
      <c r="G42" s="513"/>
      <c r="H42" s="513"/>
      <c r="I42" s="513"/>
      <c r="J42" s="511"/>
      <c r="K42" s="518"/>
      <c r="L42" s="509"/>
      <c r="M42" s="509"/>
      <c r="N42" s="513"/>
      <c r="O42" s="513"/>
      <c r="P42" s="513"/>
      <c r="Q42" s="513"/>
      <c r="R42" s="513"/>
      <c r="S42" s="511"/>
    </row>
    <row r="43" spans="1:19" ht="21.75" customHeight="1">
      <c r="A43" s="119" t="s">
        <v>217</v>
      </c>
      <c r="B43" s="209">
        <f aca="true" t="shared" si="5" ref="B43:B49">SUM(C43:D43)</f>
        <v>17077</v>
      </c>
      <c r="C43" s="210">
        <v>17077</v>
      </c>
      <c r="D43" s="159">
        <f aca="true" t="shared" si="6" ref="D43:D49">SUM(E43:J43)</f>
        <v>0</v>
      </c>
      <c r="E43" s="210">
        <v>0</v>
      </c>
      <c r="F43" s="210">
        <v>0</v>
      </c>
      <c r="G43" s="210">
        <v>0</v>
      </c>
      <c r="H43" s="210">
        <v>0</v>
      </c>
      <c r="I43" s="210">
        <v>0</v>
      </c>
      <c r="J43" s="327">
        <v>0</v>
      </c>
      <c r="K43" s="209">
        <f aca="true" t="shared" si="7" ref="K43:K49">SUM(L43,M43)</f>
        <v>17077</v>
      </c>
      <c r="L43" s="210">
        <f aca="true" t="shared" si="8" ref="L43:L49">C43</f>
        <v>17077</v>
      </c>
      <c r="M43" s="211">
        <f aca="true" t="shared" si="9" ref="M43:M49">SUM(N43:S43)</f>
        <v>0</v>
      </c>
      <c r="N43" s="210">
        <v>0</v>
      </c>
      <c r="O43" s="210">
        <v>0</v>
      </c>
      <c r="P43" s="210">
        <v>0</v>
      </c>
      <c r="Q43" s="210">
        <v>0</v>
      </c>
      <c r="R43" s="210">
        <v>0</v>
      </c>
      <c r="S43" s="327">
        <v>0</v>
      </c>
    </row>
    <row r="44" spans="1:19" ht="21.75" customHeight="1">
      <c r="A44" s="86" t="s">
        <v>218</v>
      </c>
      <c r="B44" s="203">
        <f t="shared" si="5"/>
        <v>16908</v>
      </c>
      <c r="C44" s="204">
        <v>15817</v>
      </c>
      <c r="D44" s="157">
        <f t="shared" si="6"/>
        <v>1091</v>
      </c>
      <c r="E44" s="204">
        <v>1066</v>
      </c>
      <c r="F44" s="204">
        <v>0</v>
      </c>
      <c r="G44" s="204">
        <v>0</v>
      </c>
      <c r="H44" s="204">
        <v>0</v>
      </c>
      <c r="I44" s="204">
        <v>25</v>
      </c>
      <c r="J44" s="325">
        <v>0</v>
      </c>
      <c r="K44" s="203">
        <f t="shared" si="7"/>
        <v>16734</v>
      </c>
      <c r="L44" s="204">
        <f t="shared" si="8"/>
        <v>15817</v>
      </c>
      <c r="M44" s="205">
        <f t="shared" si="9"/>
        <v>917</v>
      </c>
      <c r="N44" s="204">
        <v>917</v>
      </c>
      <c r="O44" s="204">
        <v>0</v>
      </c>
      <c r="P44" s="204">
        <v>0</v>
      </c>
      <c r="Q44" s="204">
        <v>0</v>
      </c>
      <c r="R44" s="204">
        <v>0</v>
      </c>
      <c r="S44" s="325">
        <v>0</v>
      </c>
    </row>
    <row r="45" spans="1:19" ht="21.75" customHeight="1">
      <c r="A45" s="86" t="s">
        <v>219</v>
      </c>
      <c r="B45" s="203">
        <f t="shared" si="5"/>
        <v>13139</v>
      </c>
      <c r="C45" s="204">
        <v>10995</v>
      </c>
      <c r="D45" s="157">
        <f t="shared" si="6"/>
        <v>2144</v>
      </c>
      <c r="E45" s="204">
        <v>0</v>
      </c>
      <c r="F45" s="204">
        <v>0</v>
      </c>
      <c r="G45" s="204">
        <v>0</v>
      </c>
      <c r="H45" s="204">
        <v>0</v>
      </c>
      <c r="I45" s="204">
        <v>1090</v>
      </c>
      <c r="J45" s="325">
        <v>1054</v>
      </c>
      <c r="K45" s="203">
        <f t="shared" si="7"/>
        <v>11943</v>
      </c>
      <c r="L45" s="204">
        <f t="shared" si="8"/>
        <v>10995</v>
      </c>
      <c r="M45" s="205">
        <f t="shared" si="9"/>
        <v>948</v>
      </c>
      <c r="N45" s="204">
        <v>0</v>
      </c>
      <c r="O45" s="204">
        <v>0</v>
      </c>
      <c r="P45" s="204">
        <v>0</v>
      </c>
      <c r="Q45" s="204">
        <v>0</v>
      </c>
      <c r="R45" s="204">
        <v>0</v>
      </c>
      <c r="S45" s="325">
        <v>948</v>
      </c>
    </row>
    <row r="46" spans="1:19" ht="21.75" customHeight="1">
      <c r="A46" s="86" t="s">
        <v>220</v>
      </c>
      <c r="B46" s="203">
        <f t="shared" si="5"/>
        <v>24796</v>
      </c>
      <c r="C46" s="204">
        <v>19248</v>
      </c>
      <c r="D46" s="157">
        <f t="shared" si="6"/>
        <v>5548</v>
      </c>
      <c r="E46" s="204">
        <v>1554</v>
      </c>
      <c r="F46" s="204">
        <v>0</v>
      </c>
      <c r="G46" s="204">
        <v>0</v>
      </c>
      <c r="H46" s="204">
        <v>0</v>
      </c>
      <c r="I46" s="204">
        <v>3994</v>
      </c>
      <c r="J46" s="325">
        <v>0</v>
      </c>
      <c r="K46" s="203">
        <f t="shared" si="7"/>
        <v>20806</v>
      </c>
      <c r="L46" s="204">
        <f t="shared" si="8"/>
        <v>19248</v>
      </c>
      <c r="M46" s="205">
        <f t="shared" si="9"/>
        <v>1558</v>
      </c>
      <c r="N46" s="204">
        <v>1554</v>
      </c>
      <c r="O46" s="204">
        <v>0</v>
      </c>
      <c r="P46" s="204">
        <v>0</v>
      </c>
      <c r="Q46" s="204">
        <v>0</v>
      </c>
      <c r="R46" s="204">
        <v>4</v>
      </c>
      <c r="S46" s="325">
        <v>0</v>
      </c>
    </row>
    <row r="47" spans="1:19" ht="21.75" customHeight="1">
      <c r="A47" s="118" t="s">
        <v>131</v>
      </c>
      <c r="B47" s="206">
        <f t="shared" si="5"/>
        <v>10804</v>
      </c>
      <c r="C47" s="207">
        <v>10107</v>
      </c>
      <c r="D47" s="158">
        <f t="shared" si="6"/>
        <v>697</v>
      </c>
      <c r="E47" s="207">
        <v>670</v>
      </c>
      <c r="F47" s="207">
        <v>0</v>
      </c>
      <c r="G47" s="207">
        <v>0</v>
      </c>
      <c r="H47" s="207">
        <v>0</v>
      </c>
      <c r="I47" s="207">
        <v>27</v>
      </c>
      <c r="J47" s="326">
        <v>0</v>
      </c>
      <c r="K47" s="206">
        <f t="shared" si="7"/>
        <v>10396</v>
      </c>
      <c r="L47" s="207">
        <f t="shared" si="8"/>
        <v>10107</v>
      </c>
      <c r="M47" s="208">
        <f t="shared" si="9"/>
        <v>289</v>
      </c>
      <c r="N47" s="207">
        <v>289</v>
      </c>
      <c r="O47" s="207">
        <v>0</v>
      </c>
      <c r="P47" s="207">
        <v>0</v>
      </c>
      <c r="Q47" s="207">
        <v>0</v>
      </c>
      <c r="R47" s="207">
        <v>0</v>
      </c>
      <c r="S47" s="326">
        <v>0</v>
      </c>
    </row>
    <row r="48" spans="1:19" ht="21.75" customHeight="1">
      <c r="A48" s="86" t="s">
        <v>275</v>
      </c>
      <c r="B48" s="203">
        <f t="shared" si="5"/>
        <v>18437</v>
      </c>
      <c r="C48" s="204">
        <v>14504</v>
      </c>
      <c r="D48" s="157">
        <f t="shared" si="6"/>
        <v>3933</v>
      </c>
      <c r="E48" s="204">
        <v>1226</v>
      </c>
      <c r="F48" s="204">
        <v>24</v>
      </c>
      <c r="G48" s="204">
        <v>221</v>
      </c>
      <c r="H48" s="204">
        <v>0</v>
      </c>
      <c r="I48" s="204">
        <v>2462</v>
      </c>
      <c r="J48" s="325">
        <v>0</v>
      </c>
      <c r="K48" s="203">
        <f t="shared" si="7"/>
        <v>15112</v>
      </c>
      <c r="L48" s="204">
        <f t="shared" si="8"/>
        <v>14504</v>
      </c>
      <c r="M48" s="205">
        <f t="shared" si="9"/>
        <v>608</v>
      </c>
      <c r="N48" s="204">
        <v>608</v>
      </c>
      <c r="O48" s="204">
        <v>0</v>
      </c>
      <c r="P48" s="204">
        <v>0</v>
      </c>
      <c r="Q48" s="204">
        <v>0</v>
      </c>
      <c r="R48" s="204">
        <v>0</v>
      </c>
      <c r="S48" s="325">
        <v>0</v>
      </c>
    </row>
    <row r="49" spans="1:19" ht="21.75" customHeight="1">
      <c r="A49" s="86" t="s">
        <v>265</v>
      </c>
      <c r="B49" s="203">
        <f t="shared" si="5"/>
        <v>22931</v>
      </c>
      <c r="C49" s="204">
        <v>22174</v>
      </c>
      <c r="D49" s="157">
        <f t="shared" si="6"/>
        <v>757</v>
      </c>
      <c r="E49" s="204">
        <v>747</v>
      </c>
      <c r="F49" s="204">
        <v>0</v>
      </c>
      <c r="G49" s="204">
        <v>0</v>
      </c>
      <c r="H49" s="204">
        <v>0</v>
      </c>
      <c r="I49" s="204">
        <v>10</v>
      </c>
      <c r="J49" s="325">
        <v>0</v>
      </c>
      <c r="K49" s="203">
        <f t="shared" si="7"/>
        <v>22921</v>
      </c>
      <c r="L49" s="204">
        <f t="shared" si="8"/>
        <v>22174</v>
      </c>
      <c r="M49" s="205">
        <f t="shared" si="9"/>
        <v>747</v>
      </c>
      <c r="N49" s="204">
        <v>747</v>
      </c>
      <c r="O49" s="204">
        <v>0</v>
      </c>
      <c r="P49" s="204">
        <v>0</v>
      </c>
      <c r="Q49" s="204">
        <v>0</v>
      </c>
      <c r="R49" s="204">
        <v>0</v>
      </c>
      <c r="S49" s="325">
        <v>0</v>
      </c>
    </row>
    <row r="50" spans="1:19" ht="21.75" customHeight="1">
      <c r="A50" s="86" t="s">
        <v>221</v>
      </c>
      <c r="B50" s="203">
        <f aca="true" t="shared" si="10" ref="B50:B69">SUM(C50:D50)</f>
        <v>11940</v>
      </c>
      <c r="C50" s="204">
        <v>9946</v>
      </c>
      <c r="D50" s="157">
        <f aca="true" t="shared" si="11" ref="D50:D69">SUM(E50:J50)</f>
        <v>1994</v>
      </c>
      <c r="E50" s="204">
        <v>1101</v>
      </c>
      <c r="F50" s="204">
        <v>1</v>
      </c>
      <c r="G50" s="204">
        <v>0</v>
      </c>
      <c r="H50" s="204">
        <v>0</v>
      </c>
      <c r="I50" s="204">
        <v>892</v>
      </c>
      <c r="J50" s="325">
        <v>0</v>
      </c>
      <c r="K50" s="203">
        <f aca="true" t="shared" si="12" ref="K50:K69">SUM(L50,M50)</f>
        <v>10492</v>
      </c>
      <c r="L50" s="204">
        <f aca="true" t="shared" si="13" ref="L50:L69">C50</f>
        <v>9946</v>
      </c>
      <c r="M50" s="205">
        <f aca="true" t="shared" si="14" ref="M50:M69">SUM(N50:S50)</f>
        <v>546</v>
      </c>
      <c r="N50" s="204">
        <v>546</v>
      </c>
      <c r="O50" s="204">
        <v>0</v>
      </c>
      <c r="P50" s="204">
        <v>0</v>
      </c>
      <c r="Q50" s="204">
        <v>0</v>
      </c>
      <c r="R50" s="204">
        <v>0</v>
      </c>
      <c r="S50" s="325">
        <v>0</v>
      </c>
    </row>
    <row r="51" spans="1:19" ht="21.75" customHeight="1">
      <c r="A51" s="86" t="s">
        <v>222</v>
      </c>
      <c r="B51" s="203">
        <f t="shared" si="10"/>
        <v>14615</v>
      </c>
      <c r="C51" s="204">
        <v>13484</v>
      </c>
      <c r="D51" s="157">
        <f t="shared" si="11"/>
        <v>1131</v>
      </c>
      <c r="E51" s="204">
        <v>1118</v>
      </c>
      <c r="F51" s="204">
        <v>0</v>
      </c>
      <c r="G51" s="204">
        <v>0</v>
      </c>
      <c r="H51" s="204">
        <v>0</v>
      </c>
      <c r="I51" s="204">
        <v>13</v>
      </c>
      <c r="J51" s="325">
        <v>0</v>
      </c>
      <c r="K51" s="203">
        <f t="shared" si="12"/>
        <v>14142</v>
      </c>
      <c r="L51" s="204">
        <f t="shared" si="13"/>
        <v>13484</v>
      </c>
      <c r="M51" s="205">
        <f t="shared" si="14"/>
        <v>658</v>
      </c>
      <c r="N51" s="204">
        <v>658</v>
      </c>
      <c r="O51" s="204">
        <v>0</v>
      </c>
      <c r="P51" s="204">
        <v>0</v>
      </c>
      <c r="Q51" s="204">
        <v>0</v>
      </c>
      <c r="R51" s="204">
        <v>0</v>
      </c>
      <c r="S51" s="325">
        <v>0</v>
      </c>
    </row>
    <row r="52" spans="1:19" ht="21.75" customHeight="1">
      <c r="A52" s="118" t="s">
        <v>223</v>
      </c>
      <c r="B52" s="206">
        <f t="shared" si="10"/>
        <v>6117</v>
      </c>
      <c r="C52" s="207">
        <v>4609</v>
      </c>
      <c r="D52" s="158">
        <f t="shared" si="11"/>
        <v>1508</v>
      </c>
      <c r="E52" s="207">
        <v>348</v>
      </c>
      <c r="F52" s="207">
        <v>0</v>
      </c>
      <c r="G52" s="207">
        <v>0</v>
      </c>
      <c r="H52" s="207">
        <v>0</v>
      </c>
      <c r="I52" s="207">
        <v>1160</v>
      </c>
      <c r="J52" s="326">
        <v>0</v>
      </c>
      <c r="K52" s="206">
        <f t="shared" si="12"/>
        <v>4990</v>
      </c>
      <c r="L52" s="207">
        <f t="shared" si="13"/>
        <v>4609</v>
      </c>
      <c r="M52" s="208">
        <f t="shared" si="14"/>
        <v>381</v>
      </c>
      <c r="N52" s="207">
        <v>348</v>
      </c>
      <c r="O52" s="207">
        <v>0</v>
      </c>
      <c r="P52" s="207">
        <v>0</v>
      </c>
      <c r="Q52" s="207">
        <v>0</v>
      </c>
      <c r="R52" s="207">
        <v>33</v>
      </c>
      <c r="S52" s="326">
        <v>0</v>
      </c>
    </row>
    <row r="53" spans="1:19" ht="21.75" customHeight="1">
      <c r="A53" s="86" t="s">
        <v>224</v>
      </c>
      <c r="B53" s="203">
        <f t="shared" si="10"/>
        <v>7975</v>
      </c>
      <c r="C53" s="204">
        <v>5400</v>
      </c>
      <c r="D53" s="157">
        <f t="shared" si="11"/>
        <v>2575</v>
      </c>
      <c r="E53" s="204">
        <v>161</v>
      </c>
      <c r="F53" s="204">
        <v>34</v>
      </c>
      <c r="G53" s="204">
        <v>0</v>
      </c>
      <c r="H53" s="204">
        <v>66</v>
      </c>
      <c r="I53" s="204">
        <v>2314</v>
      </c>
      <c r="J53" s="325">
        <v>0</v>
      </c>
      <c r="K53" s="203">
        <f t="shared" si="12"/>
        <v>5468</v>
      </c>
      <c r="L53" s="204">
        <f t="shared" si="13"/>
        <v>5400</v>
      </c>
      <c r="M53" s="205">
        <f t="shared" si="14"/>
        <v>68</v>
      </c>
      <c r="N53" s="204">
        <v>68</v>
      </c>
      <c r="O53" s="204">
        <v>0</v>
      </c>
      <c r="P53" s="204">
        <v>0</v>
      </c>
      <c r="Q53" s="204">
        <v>0</v>
      </c>
      <c r="R53" s="204">
        <v>0</v>
      </c>
      <c r="S53" s="325">
        <v>0</v>
      </c>
    </row>
    <row r="54" spans="1:19" ht="21.75" customHeight="1">
      <c r="A54" s="86" t="s">
        <v>225</v>
      </c>
      <c r="B54" s="203">
        <f t="shared" si="10"/>
        <v>8584</v>
      </c>
      <c r="C54" s="204">
        <v>7119</v>
      </c>
      <c r="D54" s="157">
        <f t="shared" si="11"/>
        <v>1465</v>
      </c>
      <c r="E54" s="204">
        <v>375</v>
      </c>
      <c r="F54" s="204">
        <v>0</v>
      </c>
      <c r="G54" s="204">
        <v>0</v>
      </c>
      <c r="H54" s="204">
        <v>52</v>
      </c>
      <c r="I54" s="204">
        <v>1038</v>
      </c>
      <c r="J54" s="325">
        <v>0</v>
      </c>
      <c r="K54" s="203">
        <f t="shared" si="12"/>
        <v>7192</v>
      </c>
      <c r="L54" s="204">
        <f t="shared" si="13"/>
        <v>7119</v>
      </c>
      <c r="M54" s="205">
        <f t="shared" si="14"/>
        <v>73</v>
      </c>
      <c r="N54" s="204">
        <v>73</v>
      </c>
      <c r="O54" s="204">
        <v>0</v>
      </c>
      <c r="P54" s="204">
        <v>0</v>
      </c>
      <c r="Q54" s="204">
        <v>0</v>
      </c>
      <c r="R54" s="204">
        <v>0</v>
      </c>
      <c r="S54" s="325">
        <v>0</v>
      </c>
    </row>
    <row r="55" spans="1:19" ht="21.75" customHeight="1">
      <c r="A55" s="86" t="s">
        <v>226</v>
      </c>
      <c r="B55" s="203">
        <f t="shared" si="10"/>
        <v>7222</v>
      </c>
      <c r="C55" s="204">
        <v>6245</v>
      </c>
      <c r="D55" s="157">
        <f t="shared" si="11"/>
        <v>977</v>
      </c>
      <c r="E55" s="204">
        <v>420</v>
      </c>
      <c r="F55" s="204">
        <v>0</v>
      </c>
      <c r="G55" s="204">
        <v>0</v>
      </c>
      <c r="H55" s="204">
        <v>0</v>
      </c>
      <c r="I55" s="204">
        <v>557</v>
      </c>
      <c r="J55" s="325">
        <v>0</v>
      </c>
      <c r="K55" s="203">
        <f t="shared" si="12"/>
        <v>6322</v>
      </c>
      <c r="L55" s="204">
        <f t="shared" si="13"/>
        <v>6245</v>
      </c>
      <c r="M55" s="205">
        <f t="shared" si="14"/>
        <v>77</v>
      </c>
      <c r="N55" s="204">
        <v>77</v>
      </c>
      <c r="O55" s="204">
        <v>0</v>
      </c>
      <c r="P55" s="204">
        <v>0</v>
      </c>
      <c r="Q55" s="204">
        <v>0</v>
      </c>
      <c r="R55" s="204">
        <v>0</v>
      </c>
      <c r="S55" s="325">
        <v>0</v>
      </c>
    </row>
    <row r="56" spans="1:19" ht="21.75" customHeight="1">
      <c r="A56" s="86" t="s">
        <v>227</v>
      </c>
      <c r="B56" s="203">
        <f t="shared" si="10"/>
        <v>10502</v>
      </c>
      <c r="C56" s="204">
        <v>9794</v>
      </c>
      <c r="D56" s="157">
        <f t="shared" si="11"/>
        <v>708</v>
      </c>
      <c r="E56" s="204">
        <v>657</v>
      </c>
      <c r="F56" s="204">
        <v>0</v>
      </c>
      <c r="G56" s="204">
        <v>0</v>
      </c>
      <c r="H56" s="204">
        <v>0</v>
      </c>
      <c r="I56" s="204">
        <v>51</v>
      </c>
      <c r="J56" s="325">
        <v>0</v>
      </c>
      <c r="K56" s="203">
        <f t="shared" si="12"/>
        <v>9951</v>
      </c>
      <c r="L56" s="204">
        <f t="shared" si="13"/>
        <v>9794</v>
      </c>
      <c r="M56" s="205">
        <f t="shared" si="14"/>
        <v>157</v>
      </c>
      <c r="N56" s="204">
        <v>157</v>
      </c>
      <c r="O56" s="204">
        <v>0</v>
      </c>
      <c r="P56" s="204">
        <v>0</v>
      </c>
      <c r="Q56" s="204">
        <v>0</v>
      </c>
      <c r="R56" s="204">
        <v>0</v>
      </c>
      <c r="S56" s="325">
        <v>0</v>
      </c>
    </row>
    <row r="57" spans="1:19" ht="21.75" customHeight="1">
      <c r="A57" s="118" t="s">
        <v>228</v>
      </c>
      <c r="B57" s="206">
        <f t="shared" si="10"/>
        <v>2490</v>
      </c>
      <c r="C57" s="207">
        <v>1750</v>
      </c>
      <c r="D57" s="158">
        <f t="shared" si="11"/>
        <v>740</v>
      </c>
      <c r="E57" s="207">
        <v>510</v>
      </c>
      <c r="F57" s="207">
        <v>0</v>
      </c>
      <c r="G57" s="207">
        <v>0</v>
      </c>
      <c r="H57" s="207">
        <v>0</v>
      </c>
      <c r="I57" s="207">
        <v>230</v>
      </c>
      <c r="J57" s="326">
        <v>0</v>
      </c>
      <c r="K57" s="206">
        <f t="shared" si="12"/>
        <v>1815</v>
      </c>
      <c r="L57" s="207">
        <f t="shared" si="13"/>
        <v>1750</v>
      </c>
      <c r="M57" s="208">
        <f t="shared" si="14"/>
        <v>65</v>
      </c>
      <c r="N57" s="207">
        <v>65</v>
      </c>
      <c r="O57" s="207">
        <v>0</v>
      </c>
      <c r="P57" s="207">
        <v>0</v>
      </c>
      <c r="Q57" s="207">
        <v>0</v>
      </c>
      <c r="R57" s="207">
        <v>0</v>
      </c>
      <c r="S57" s="326">
        <v>0</v>
      </c>
    </row>
    <row r="58" spans="1:19" ht="21.75" customHeight="1">
      <c r="A58" s="86" t="s">
        <v>229</v>
      </c>
      <c r="B58" s="203">
        <f t="shared" si="10"/>
        <v>6752</v>
      </c>
      <c r="C58" s="204">
        <v>6510</v>
      </c>
      <c r="D58" s="157">
        <f t="shared" si="11"/>
        <v>242</v>
      </c>
      <c r="E58" s="204">
        <v>242</v>
      </c>
      <c r="F58" s="204">
        <v>0</v>
      </c>
      <c r="G58" s="204">
        <v>0</v>
      </c>
      <c r="H58" s="204">
        <v>0</v>
      </c>
      <c r="I58" s="204">
        <v>0</v>
      </c>
      <c r="J58" s="325">
        <v>0</v>
      </c>
      <c r="K58" s="203">
        <f t="shared" si="12"/>
        <v>6561</v>
      </c>
      <c r="L58" s="204">
        <f t="shared" si="13"/>
        <v>6510</v>
      </c>
      <c r="M58" s="205">
        <f t="shared" si="14"/>
        <v>51</v>
      </c>
      <c r="N58" s="204">
        <v>51</v>
      </c>
      <c r="O58" s="204">
        <v>0</v>
      </c>
      <c r="P58" s="204">
        <v>0</v>
      </c>
      <c r="Q58" s="204">
        <v>0</v>
      </c>
      <c r="R58" s="204">
        <v>0</v>
      </c>
      <c r="S58" s="325">
        <v>0</v>
      </c>
    </row>
    <row r="59" spans="1:19" ht="21.75" customHeight="1">
      <c r="A59" s="86" t="s">
        <v>230</v>
      </c>
      <c r="B59" s="203">
        <f t="shared" si="10"/>
        <v>12615</v>
      </c>
      <c r="C59" s="204">
        <v>11364</v>
      </c>
      <c r="D59" s="157">
        <f t="shared" si="11"/>
        <v>1251</v>
      </c>
      <c r="E59" s="204">
        <v>393</v>
      </c>
      <c r="F59" s="204">
        <v>0</v>
      </c>
      <c r="G59" s="204">
        <v>0</v>
      </c>
      <c r="H59" s="204">
        <v>0</v>
      </c>
      <c r="I59" s="204">
        <v>858</v>
      </c>
      <c r="J59" s="325">
        <v>0</v>
      </c>
      <c r="K59" s="203">
        <f t="shared" si="12"/>
        <v>11448</v>
      </c>
      <c r="L59" s="204">
        <f t="shared" si="13"/>
        <v>11364</v>
      </c>
      <c r="M59" s="205">
        <f t="shared" si="14"/>
        <v>84</v>
      </c>
      <c r="N59" s="204">
        <v>84</v>
      </c>
      <c r="O59" s="204">
        <v>0</v>
      </c>
      <c r="P59" s="204">
        <v>0</v>
      </c>
      <c r="Q59" s="204">
        <v>0</v>
      </c>
      <c r="R59" s="204">
        <v>0</v>
      </c>
      <c r="S59" s="325">
        <v>0</v>
      </c>
    </row>
    <row r="60" spans="1:19" ht="21.75" customHeight="1">
      <c r="A60" s="86" t="s">
        <v>231</v>
      </c>
      <c r="B60" s="203">
        <f t="shared" si="10"/>
        <v>10606</v>
      </c>
      <c r="C60" s="204">
        <v>9224</v>
      </c>
      <c r="D60" s="157">
        <f t="shared" si="11"/>
        <v>1382</v>
      </c>
      <c r="E60" s="204">
        <v>982</v>
      </c>
      <c r="F60" s="204">
        <v>0</v>
      </c>
      <c r="G60" s="204">
        <v>0</v>
      </c>
      <c r="H60" s="204">
        <v>0</v>
      </c>
      <c r="I60" s="204">
        <v>400</v>
      </c>
      <c r="J60" s="325">
        <v>0</v>
      </c>
      <c r="K60" s="203">
        <f t="shared" si="12"/>
        <v>10076</v>
      </c>
      <c r="L60" s="204">
        <f t="shared" si="13"/>
        <v>9224</v>
      </c>
      <c r="M60" s="205">
        <f t="shared" si="14"/>
        <v>852</v>
      </c>
      <c r="N60" s="204">
        <v>757</v>
      </c>
      <c r="O60" s="204">
        <v>0</v>
      </c>
      <c r="P60" s="204">
        <v>0</v>
      </c>
      <c r="Q60" s="204">
        <v>0</v>
      </c>
      <c r="R60" s="204">
        <v>95</v>
      </c>
      <c r="S60" s="325">
        <v>0</v>
      </c>
    </row>
    <row r="61" spans="1:19" ht="21.75" customHeight="1">
      <c r="A61" s="86" t="s">
        <v>232</v>
      </c>
      <c r="B61" s="203">
        <f t="shared" si="10"/>
        <v>9655</v>
      </c>
      <c r="C61" s="204">
        <v>8131</v>
      </c>
      <c r="D61" s="157">
        <f t="shared" si="11"/>
        <v>1524</v>
      </c>
      <c r="E61" s="204">
        <v>1099</v>
      </c>
      <c r="F61" s="204">
        <v>0</v>
      </c>
      <c r="G61" s="204">
        <v>0</v>
      </c>
      <c r="H61" s="204">
        <v>0</v>
      </c>
      <c r="I61" s="204">
        <v>425</v>
      </c>
      <c r="J61" s="325">
        <v>0</v>
      </c>
      <c r="K61" s="203">
        <f t="shared" si="12"/>
        <v>9047</v>
      </c>
      <c r="L61" s="204">
        <f t="shared" si="13"/>
        <v>8131</v>
      </c>
      <c r="M61" s="205">
        <f t="shared" si="14"/>
        <v>916</v>
      </c>
      <c r="N61" s="204">
        <v>833</v>
      </c>
      <c r="O61" s="204">
        <v>0</v>
      </c>
      <c r="P61" s="204">
        <v>0</v>
      </c>
      <c r="Q61" s="204">
        <v>0</v>
      </c>
      <c r="R61" s="204">
        <v>83</v>
      </c>
      <c r="S61" s="325">
        <v>0</v>
      </c>
    </row>
    <row r="62" spans="1:19" ht="21.75" customHeight="1">
      <c r="A62" s="118" t="s">
        <v>233</v>
      </c>
      <c r="B62" s="206">
        <f t="shared" si="10"/>
        <v>13745</v>
      </c>
      <c r="C62" s="207">
        <v>11428</v>
      </c>
      <c r="D62" s="158">
        <f t="shared" si="11"/>
        <v>2317</v>
      </c>
      <c r="E62" s="207">
        <v>674</v>
      </c>
      <c r="F62" s="207">
        <v>281</v>
      </c>
      <c r="G62" s="207">
        <v>0</v>
      </c>
      <c r="H62" s="207">
        <v>0</v>
      </c>
      <c r="I62" s="207">
        <v>1362</v>
      </c>
      <c r="J62" s="326">
        <v>0</v>
      </c>
      <c r="K62" s="206">
        <f t="shared" si="12"/>
        <v>11780</v>
      </c>
      <c r="L62" s="207">
        <f t="shared" si="13"/>
        <v>11428</v>
      </c>
      <c r="M62" s="208">
        <f t="shared" si="14"/>
        <v>352</v>
      </c>
      <c r="N62" s="207">
        <v>352</v>
      </c>
      <c r="O62" s="207">
        <v>0</v>
      </c>
      <c r="P62" s="207">
        <v>0</v>
      </c>
      <c r="Q62" s="207">
        <v>0</v>
      </c>
      <c r="R62" s="207">
        <v>0</v>
      </c>
      <c r="S62" s="326">
        <v>0</v>
      </c>
    </row>
    <row r="63" spans="1:19" ht="21.75" customHeight="1">
      <c r="A63" s="86" t="s">
        <v>234</v>
      </c>
      <c r="B63" s="203">
        <f t="shared" si="10"/>
        <v>8460</v>
      </c>
      <c r="C63" s="204">
        <v>7789</v>
      </c>
      <c r="D63" s="157">
        <f t="shared" si="11"/>
        <v>671</v>
      </c>
      <c r="E63" s="204">
        <v>0</v>
      </c>
      <c r="F63" s="204">
        <v>0</v>
      </c>
      <c r="G63" s="204">
        <v>0</v>
      </c>
      <c r="H63" s="204">
        <v>8</v>
      </c>
      <c r="I63" s="204">
        <v>663</v>
      </c>
      <c r="J63" s="325">
        <v>0</v>
      </c>
      <c r="K63" s="203">
        <f t="shared" si="12"/>
        <v>7817</v>
      </c>
      <c r="L63" s="204">
        <f t="shared" si="13"/>
        <v>7789</v>
      </c>
      <c r="M63" s="205">
        <f t="shared" si="14"/>
        <v>28</v>
      </c>
      <c r="N63" s="204">
        <v>0</v>
      </c>
      <c r="O63" s="204">
        <v>0</v>
      </c>
      <c r="P63" s="204">
        <v>0</v>
      </c>
      <c r="Q63" s="204">
        <v>0</v>
      </c>
      <c r="R63" s="204">
        <v>28</v>
      </c>
      <c r="S63" s="325">
        <v>0</v>
      </c>
    </row>
    <row r="64" spans="1:19" ht="21.75" customHeight="1">
      <c r="A64" s="86" t="s">
        <v>235</v>
      </c>
      <c r="B64" s="203">
        <f t="shared" si="10"/>
        <v>7423</v>
      </c>
      <c r="C64" s="204">
        <v>7038</v>
      </c>
      <c r="D64" s="157">
        <f t="shared" si="11"/>
        <v>385</v>
      </c>
      <c r="E64" s="204"/>
      <c r="F64" s="204">
        <v>0</v>
      </c>
      <c r="G64" s="204">
        <v>0</v>
      </c>
      <c r="H64" s="204">
        <v>0</v>
      </c>
      <c r="I64" s="204">
        <v>385</v>
      </c>
      <c r="J64" s="325">
        <v>0</v>
      </c>
      <c r="K64" s="203">
        <f t="shared" si="12"/>
        <v>7067</v>
      </c>
      <c r="L64" s="204">
        <f t="shared" si="13"/>
        <v>7038</v>
      </c>
      <c r="M64" s="205">
        <f t="shared" si="14"/>
        <v>29</v>
      </c>
      <c r="N64" s="204">
        <v>0</v>
      </c>
      <c r="O64" s="204">
        <v>0</v>
      </c>
      <c r="P64" s="204">
        <v>0</v>
      </c>
      <c r="Q64" s="204">
        <v>0</v>
      </c>
      <c r="R64" s="204">
        <v>29</v>
      </c>
      <c r="S64" s="325">
        <v>0</v>
      </c>
    </row>
    <row r="65" spans="1:19" ht="21.75" customHeight="1">
      <c r="A65" s="86" t="s">
        <v>236</v>
      </c>
      <c r="B65" s="203">
        <f t="shared" si="10"/>
        <v>3712</v>
      </c>
      <c r="C65" s="204">
        <v>3501</v>
      </c>
      <c r="D65" s="157">
        <f t="shared" si="11"/>
        <v>211</v>
      </c>
      <c r="E65" s="204">
        <v>0</v>
      </c>
      <c r="F65" s="204">
        <v>0</v>
      </c>
      <c r="G65" s="204">
        <v>0</v>
      </c>
      <c r="H65" s="204">
        <v>0</v>
      </c>
      <c r="I65" s="204">
        <v>211</v>
      </c>
      <c r="J65" s="325">
        <v>0</v>
      </c>
      <c r="K65" s="203">
        <f t="shared" si="12"/>
        <v>3518</v>
      </c>
      <c r="L65" s="204">
        <f t="shared" si="13"/>
        <v>3501</v>
      </c>
      <c r="M65" s="205">
        <f t="shared" si="14"/>
        <v>17</v>
      </c>
      <c r="N65" s="204"/>
      <c r="O65" s="204">
        <v>0</v>
      </c>
      <c r="P65" s="204">
        <v>0</v>
      </c>
      <c r="Q65" s="204">
        <v>0</v>
      </c>
      <c r="R65" s="204">
        <v>17</v>
      </c>
      <c r="S65" s="325">
        <v>0</v>
      </c>
    </row>
    <row r="66" spans="1:19" ht="21.75" customHeight="1">
      <c r="A66" s="86" t="s">
        <v>237</v>
      </c>
      <c r="B66" s="203">
        <f t="shared" si="10"/>
        <v>8215</v>
      </c>
      <c r="C66" s="204">
        <v>6566</v>
      </c>
      <c r="D66" s="157">
        <f t="shared" si="11"/>
        <v>1649</v>
      </c>
      <c r="E66" s="204">
        <v>123</v>
      </c>
      <c r="F66" s="204">
        <v>20</v>
      </c>
      <c r="G66" s="204">
        <v>0</v>
      </c>
      <c r="H66" s="204">
        <v>0</v>
      </c>
      <c r="I66" s="204">
        <v>1429</v>
      </c>
      <c r="J66" s="325">
        <v>77</v>
      </c>
      <c r="K66" s="203">
        <f t="shared" si="12"/>
        <v>6632</v>
      </c>
      <c r="L66" s="204">
        <f t="shared" si="13"/>
        <v>6566</v>
      </c>
      <c r="M66" s="205">
        <f t="shared" si="14"/>
        <v>66</v>
      </c>
      <c r="N66" s="204">
        <v>0</v>
      </c>
      <c r="O66" s="204">
        <v>0</v>
      </c>
      <c r="P66" s="204">
        <v>0</v>
      </c>
      <c r="Q66" s="204">
        <v>0</v>
      </c>
      <c r="R66" s="204">
        <v>66</v>
      </c>
      <c r="S66" s="325">
        <v>0</v>
      </c>
    </row>
    <row r="67" spans="1:19" ht="21.75" customHeight="1">
      <c r="A67" s="118" t="s">
        <v>238</v>
      </c>
      <c r="B67" s="206">
        <f t="shared" si="10"/>
        <v>1428</v>
      </c>
      <c r="C67" s="207">
        <v>1233</v>
      </c>
      <c r="D67" s="158">
        <f t="shared" si="11"/>
        <v>195</v>
      </c>
      <c r="E67" s="207">
        <v>52</v>
      </c>
      <c r="F67" s="207">
        <v>0</v>
      </c>
      <c r="G67" s="207">
        <v>0</v>
      </c>
      <c r="H67" s="207">
        <v>0</v>
      </c>
      <c r="I67" s="207">
        <v>126</v>
      </c>
      <c r="J67" s="326">
        <v>17</v>
      </c>
      <c r="K67" s="206">
        <f t="shared" si="12"/>
        <v>1285</v>
      </c>
      <c r="L67" s="207">
        <f t="shared" si="13"/>
        <v>1233</v>
      </c>
      <c r="M67" s="208">
        <f t="shared" si="14"/>
        <v>52</v>
      </c>
      <c r="N67" s="207">
        <v>52</v>
      </c>
      <c r="O67" s="207">
        <v>0</v>
      </c>
      <c r="P67" s="207">
        <v>0</v>
      </c>
      <c r="Q67" s="207">
        <v>0</v>
      </c>
      <c r="R67" s="207">
        <v>0</v>
      </c>
      <c r="S67" s="326">
        <v>0</v>
      </c>
    </row>
    <row r="68" spans="1:19" ht="21.75" customHeight="1">
      <c r="A68" s="86" t="s">
        <v>239</v>
      </c>
      <c r="B68" s="203">
        <f t="shared" si="10"/>
        <v>991</v>
      </c>
      <c r="C68" s="204">
        <v>865</v>
      </c>
      <c r="D68" s="157">
        <f t="shared" si="11"/>
        <v>126</v>
      </c>
      <c r="E68" s="204">
        <v>32</v>
      </c>
      <c r="F68" s="204">
        <v>0</v>
      </c>
      <c r="G68" s="204">
        <v>0</v>
      </c>
      <c r="H68" s="204">
        <v>0</v>
      </c>
      <c r="I68" s="204">
        <v>83</v>
      </c>
      <c r="J68" s="325">
        <v>11</v>
      </c>
      <c r="K68" s="203">
        <f t="shared" si="12"/>
        <v>897</v>
      </c>
      <c r="L68" s="204">
        <f t="shared" si="13"/>
        <v>865</v>
      </c>
      <c r="M68" s="205">
        <f t="shared" si="14"/>
        <v>32</v>
      </c>
      <c r="N68" s="204">
        <v>32</v>
      </c>
      <c r="O68" s="204">
        <v>0</v>
      </c>
      <c r="P68" s="204">
        <v>0</v>
      </c>
      <c r="Q68" s="204">
        <v>0</v>
      </c>
      <c r="R68" s="204">
        <v>0</v>
      </c>
      <c r="S68" s="325">
        <v>0</v>
      </c>
    </row>
    <row r="69" spans="1:19" ht="21.75" customHeight="1" thickBot="1">
      <c r="A69" s="120" t="s">
        <v>240</v>
      </c>
      <c r="B69" s="212">
        <f t="shared" si="10"/>
        <v>333</v>
      </c>
      <c r="C69" s="213">
        <v>283</v>
      </c>
      <c r="D69" s="160">
        <f t="shared" si="11"/>
        <v>50</v>
      </c>
      <c r="E69" s="213">
        <v>10</v>
      </c>
      <c r="F69" s="213">
        <v>0</v>
      </c>
      <c r="G69" s="213">
        <v>0</v>
      </c>
      <c r="H69" s="213">
        <v>0</v>
      </c>
      <c r="I69" s="213">
        <v>37</v>
      </c>
      <c r="J69" s="328">
        <v>3</v>
      </c>
      <c r="K69" s="212">
        <f t="shared" si="12"/>
        <v>293</v>
      </c>
      <c r="L69" s="213">
        <f t="shared" si="13"/>
        <v>283</v>
      </c>
      <c r="M69" s="214">
        <f t="shared" si="14"/>
        <v>10</v>
      </c>
      <c r="N69" s="213">
        <v>10</v>
      </c>
      <c r="O69" s="213">
        <v>0</v>
      </c>
      <c r="P69" s="213">
        <v>0</v>
      </c>
      <c r="Q69" s="213">
        <v>0</v>
      </c>
      <c r="R69" s="213">
        <v>0</v>
      </c>
      <c r="S69" s="328">
        <v>0</v>
      </c>
    </row>
    <row r="70" spans="1:19" ht="45" customHeight="1" thickBot="1">
      <c r="A70" s="224" t="s">
        <v>31</v>
      </c>
      <c r="B70" s="212">
        <f>SUM(B7:B36,B43:B69)</f>
        <v>2256745</v>
      </c>
      <c r="C70" s="213">
        <f aca="true" t="shared" si="15" ref="C70:S70">SUM(C7:C36,C43:C69)</f>
        <v>1875215</v>
      </c>
      <c r="D70" s="213">
        <f t="shared" si="15"/>
        <v>381530</v>
      </c>
      <c r="E70" s="213">
        <f t="shared" si="15"/>
        <v>173941</v>
      </c>
      <c r="F70" s="213">
        <f t="shared" si="15"/>
        <v>6644</v>
      </c>
      <c r="G70" s="213">
        <f t="shared" si="15"/>
        <v>221</v>
      </c>
      <c r="H70" s="213">
        <f t="shared" si="15"/>
        <v>470</v>
      </c>
      <c r="I70" s="213">
        <f t="shared" si="15"/>
        <v>198293</v>
      </c>
      <c r="J70" s="328">
        <f t="shared" si="15"/>
        <v>1961</v>
      </c>
      <c r="K70" s="212">
        <f t="shared" si="15"/>
        <v>2025805</v>
      </c>
      <c r="L70" s="213">
        <f t="shared" si="15"/>
        <v>1875215</v>
      </c>
      <c r="M70" s="214">
        <f t="shared" si="15"/>
        <v>150590</v>
      </c>
      <c r="N70" s="213">
        <f t="shared" si="15"/>
        <v>138247</v>
      </c>
      <c r="O70" s="213">
        <f t="shared" si="15"/>
        <v>0</v>
      </c>
      <c r="P70" s="213">
        <f t="shared" si="15"/>
        <v>0</v>
      </c>
      <c r="Q70" s="213">
        <f t="shared" si="15"/>
        <v>0</v>
      </c>
      <c r="R70" s="213">
        <f t="shared" si="15"/>
        <v>11178</v>
      </c>
      <c r="S70" s="328">
        <f t="shared" si="15"/>
        <v>1165</v>
      </c>
    </row>
    <row r="71" ht="19.5" customHeight="1">
      <c r="A71" s="242" t="s">
        <v>162</v>
      </c>
    </row>
    <row r="72" spans="1:13" ht="19.5" customHeight="1">
      <c r="A72" s="242" t="s">
        <v>164</v>
      </c>
      <c r="K72" s="14"/>
      <c r="M72" s="14"/>
    </row>
    <row r="73" spans="1:13" ht="19.5" customHeight="1">
      <c r="A73" s="242" t="s">
        <v>165</v>
      </c>
      <c r="K73" s="14"/>
      <c r="M73" s="14"/>
    </row>
    <row r="74" spans="1:13" ht="19.5" customHeight="1">
      <c r="A74" s="242" t="s">
        <v>163</v>
      </c>
      <c r="K74" s="14"/>
      <c r="M74" s="14"/>
    </row>
    <row r="75" spans="11:13" ht="27.75" customHeight="1">
      <c r="K75" s="14"/>
      <c r="M75" s="14"/>
    </row>
  </sheetData>
  <mergeCells count="42">
    <mergeCell ref="A39:A42"/>
    <mergeCell ref="Q41:Q42"/>
    <mergeCell ref="R41:R42"/>
    <mergeCell ref="H41:H42"/>
    <mergeCell ref="I41:I42"/>
    <mergeCell ref="J41:J42"/>
    <mergeCell ref="L40:L42"/>
    <mergeCell ref="P41:P42"/>
    <mergeCell ref="K40:K42"/>
    <mergeCell ref="M40:S40"/>
    <mergeCell ref="A3:A6"/>
    <mergeCell ref="N5:N6"/>
    <mergeCell ref="O5:O6"/>
    <mergeCell ref="E5:E6"/>
    <mergeCell ref="F5:F6"/>
    <mergeCell ref="H5:H6"/>
    <mergeCell ref="I5:I6"/>
    <mergeCell ref="C4:C6"/>
    <mergeCell ref="B4:B6"/>
    <mergeCell ref="D4:J4"/>
    <mergeCell ref="D5:D6"/>
    <mergeCell ref="B40:B42"/>
    <mergeCell ref="C40:C42"/>
    <mergeCell ref="D40:J40"/>
    <mergeCell ref="D41:D42"/>
    <mergeCell ref="E41:E42"/>
    <mergeCell ref="F41:F42"/>
    <mergeCell ref="G5:G6"/>
    <mergeCell ref="G41:G42"/>
    <mergeCell ref="J5:J6"/>
    <mergeCell ref="M4:S4"/>
    <mergeCell ref="M5:M6"/>
    <mergeCell ref="K4:K6"/>
    <mergeCell ref="L4:L6"/>
    <mergeCell ref="S5:S6"/>
    <mergeCell ref="Q5:Q6"/>
    <mergeCell ref="R5:R6"/>
    <mergeCell ref="P5:P6"/>
    <mergeCell ref="M41:M42"/>
    <mergeCell ref="S41:S42"/>
    <mergeCell ref="N41:N42"/>
    <mergeCell ref="O41:O42"/>
  </mergeCells>
  <printOptions horizontalCentered="1"/>
  <pageMargins left="0.5905511811023623" right="0.5905511811023623" top="0.5905511811023623" bottom="0.5905511811023623" header="0.3937007874015748" footer="0.3937007874015748"/>
  <pageSetup firstPageNumber="25" useFirstPageNumber="1" fitToHeight="2" fitToWidth="2" horizontalDpi="600" verticalDpi="600" orientation="portrait" pageOrder="overThenDown" paperSize="9" scale="90" r:id="rId2"/>
  <headerFooter alignWithMargins="0">
    <oddFooter>&amp;C&amp;P</oddFooter>
  </headerFooter>
  <rowBreaks count="1" manualBreakCount="1">
    <brk id="36" max="1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tabColor indexed="15"/>
  </sheetPr>
  <dimension ref="A1:Q74"/>
  <sheetViews>
    <sheetView view="pageBreakPreview" zoomScale="75" zoomScaleSheetLayoutView="75" workbookViewId="0" topLeftCell="A1">
      <pane xSplit="1" ySplit="6" topLeftCell="B7" activePane="bottomRight" state="frozen"/>
      <selection pane="topLeft" activeCell="I50" sqref="I50:I75"/>
      <selection pane="topRight" activeCell="I50" sqref="I50:I75"/>
      <selection pane="bottomLeft" activeCell="I50" sqref="I50:I75"/>
      <selection pane="bottomRight" activeCell="G73" sqref="G73"/>
    </sheetView>
  </sheetViews>
  <sheetFormatPr defaultColWidth="8.796875" defaultRowHeight="15"/>
  <cols>
    <col min="1" max="2" width="11.59765625" style="9" customWidth="1"/>
    <col min="3" max="5" width="10.59765625" style="9" customWidth="1"/>
    <col min="6" max="6" width="11.59765625" style="9" customWidth="1"/>
    <col min="7" max="9" width="10.5" style="9" customWidth="1"/>
    <col min="10" max="10" width="11.59765625" style="9" customWidth="1"/>
    <col min="11" max="13" width="10.59765625" style="9" customWidth="1"/>
    <col min="14" max="14" width="11.59765625" style="9" customWidth="1"/>
    <col min="15" max="17" width="10.59765625" style="9" customWidth="1"/>
    <col min="18" max="18" width="2.5" style="9" customWidth="1"/>
    <col min="19" max="16384" width="11" style="9" customWidth="1"/>
  </cols>
  <sheetData>
    <row r="1" s="13" customFormat="1" ht="18" customHeight="1">
      <c r="A1" s="27" t="s">
        <v>52</v>
      </c>
    </row>
    <row r="2" spans="1:17" s="13" customFormat="1" ht="24" customHeight="1" thickBot="1">
      <c r="A2" s="27" t="s">
        <v>256</v>
      </c>
      <c r="Q2" s="21" t="s">
        <v>104</v>
      </c>
    </row>
    <row r="3" spans="1:17" s="13" customFormat="1" ht="19.5" customHeight="1" thickBot="1">
      <c r="A3" s="463" t="s">
        <v>28</v>
      </c>
      <c r="B3" s="525" t="s">
        <v>0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7"/>
    </row>
    <row r="4" spans="1:17" s="13" customFormat="1" ht="18.75" customHeight="1">
      <c r="A4" s="464"/>
      <c r="B4" s="528" t="s">
        <v>245</v>
      </c>
      <c r="C4" s="444" t="s">
        <v>1</v>
      </c>
      <c r="D4" s="445"/>
      <c r="E4" s="530"/>
      <c r="F4" s="108" t="s">
        <v>262</v>
      </c>
      <c r="G4" s="109"/>
      <c r="H4" s="109"/>
      <c r="I4" s="110"/>
      <c r="J4" s="108" t="s">
        <v>263</v>
      </c>
      <c r="K4" s="109"/>
      <c r="L4" s="109"/>
      <c r="M4" s="110"/>
      <c r="N4" s="108" t="s">
        <v>143</v>
      </c>
      <c r="O4" s="109"/>
      <c r="P4" s="109"/>
      <c r="Q4" s="110"/>
    </row>
    <row r="5" spans="1:17" s="13" customFormat="1" ht="15.75" customHeight="1">
      <c r="A5" s="464"/>
      <c r="B5" s="528"/>
      <c r="C5" s="531" t="s">
        <v>259</v>
      </c>
      <c r="D5" s="531" t="s">
        <v>260</v>
      </c>
      <c r="E5" s="523" t="s">
        <v>261</v>
      </c>
      <c r="F5" s="528" t="s">
        <v>128</v>
      </c>
      <c r="G5" s="531" t="s">
        <v>259</v>
      </c>
      <c r="H5" s="531" t="s">
        <v>260</v>
      </c>
      <c r="I5" s="523" t="s">
        <v>261</v>
      </c>
      <c r="J5" s="528" t="s">
        <v>128</v>
      </c>
      <c r="K5" s="531" t="s">
        <v>259</v>
      </c>
      <c r="L5" s="531" t="s">
        <v>260</v>
      </c>
      <c r="M5" s="523" t="s">
        <v>261</v>
      </c>
      <c r="N5" s="528" t="s">
        <v>128</v>
      </c>
      <c r="O5" s="531" t="s">
        <v>259</v>
      </c>
      <c r="P5" s="531" t="s">
        <v>260</v>
      </c>
      <c r="Q5" s="523" t="s">
        <v>261</v>
      </c>
    </row>
    <row r="6" spans="1:17" s="13" customFormat="1" ht="21.75" customHeight="1" thickBot="1">
      <c r="A6" s="533"/>
      <c r="B6" s="529"/>
      <c r="C6" s="532"/>
      <c r="D6" s="532"/>
      <c r="E6" s="524"/>
      <c r="F6" s="529"/>
      <c r="G6" s="532"/>
      <c r="H6" s="532"/>
      <c r="I6" s="524"/>
      <c r="J6" s="529"/>
      <c r="K6" s="532"/>
      <c r="L6" s="532"/>
      <c r="M6" s="524"/>
      <c r="N6" s="529"/>
      <c r="O6" s="532"/>
      <c r="P6" s="532"/>
      <c r="Q6" s="524"/>
    </row>
    <row r="7" spans="1:17" ht="22.5" customHeight="1">
      <c r="A7" s="121" t="s">
        <v>187</v>
      </c>
      <c r="B7" s="161">
        <f>SUM(C7:E7)</f>
        <v>55628</v>
      </c>
      <c r="C7" s="201">
        <f>SUM(G7,K7,O7)</f>
        <v>4857</v>
      </c>
      <c r="D7" s="201">
        <f>SUM(H7,L7,P7)</f>
        <v>47232</v>
      </c>
      <c r="E7" s="330">
        <f>SUM(I7,M7,Q7)</f>
        <v>3539</v>
      </c>
      <c r="F7" s="156">
        <f>SUM(G7:I7)</f>
        <v>14176</v>
      </c>
      <c r="G7" s="201">
        <v>0</v>
      </c>
      <c r="H7" s="201">
        <v>11083</v>
      </c>
      <c r="I7" s="330">
        <v>3093</v>
      </c>
      <c r="J7" s="161">
        <f aca="true" t="shared" si="0" ref="J7:J36">SUM(K7:M7)</f>
        <v>0</v>
      </c>
      <c r="K7" s="201">
        <v>0</v>
      </c>
      <c r="L7" s="201">
        <v>0</v>
      </c>
      <c r="M7" s="330">
        <v>0</v>
      </c>
      <c r="N7" s="156">
        <f>SUM(O7:Q7)</f>
        <v>41452</v>
      </c>
      <c r="O7" s="201">
        <v>4857</v>
      </c>
      <c r="P7" s="201">
        <v>36149</v>
      </c>
      <c r="Q7" s="330">
        <v>446</v>
      </c>
    </row>
    <row r="8" spans="1:17" ht="22.5" customHeight="1">
      <c r="A8" s="86" t="s">
        <v>188</v>
      </c>
      <c r="B8" s="162">
        <f aca="true" t="shared" si="1" ref="B8:B56">SUM(C8:E8)</f>
        <v>12469</v>
      </c>
      <c r="C8" s="204">
        <f aca="true" t="shared" si="2" ref="C8:C36">SUM(G8,K8,O8)</f>
        <v>2373</v>
      </c>
      <c r="D8" s="204">
        <f aca="true" t="shared" si="3" ref="D8:D36">SUM(H8,L8,P8)</f>
        <v>8808</v>
      </c>
      <c r="E8" s="325">
        <f aca="true" t="shared" si="4" ref="E8:E36">SUM(I8,M8,Q8)</f>
        <v>1288</v>
      </c>
      <c r="F8" s="157">
        <f aca="true" t="shared" si="5" ref="F8:F36">SUM(G8:I8)</f>
        <v>12469</v>
      </c>
      <c r="G8" s="204">
        <v>2373</v>
      </c>
      <c r="H8" s="204">
        <v>8808</v>
      </c>
      <c r="I8" s="325">
        <v>1288</v>
      </c>
      <c r="J8" s="162">
        <f t="shared" si="0"/>
        <v>0</v>
      </c>
      <c r="K8" s="204">
        <v>0</v>
      </c>
      <c r="L8" s="204">
        <v>0</v>
      </c>
      <c r="M8" s="325">
        <v>0</v>
      </c>
      <c r="N8" s="157">
        <f aca="true" t="shared" si="6" ref="N8:N36">SUM(O8:Q8)</f>
        <v>0</v>
      </c>
      <c r="O8" s="204">
        <v>0</v>
      </c>
      <c r="P8" s="204">
        <v>0</v>
      </c>
      <c r="Q8" s="325">
        <v>0</v>
      </c>
    </row>
    <row r="9" spans="1:17" ht="22.5" customHeight="1">
      <c r="A9" s="86" t="s">
        <v>189</v>
      </c>
      <c r="B9" s="162">
        <f t="shared" si="1"/>
        <v>17512</v>
      </c>
      <c r="C9" s="204">
        <f t="shared" si="2"/>
        <v>1847</v>
      </c>
      <c r="D9" s="204">
        <f t="shared" si="3"/>
        <v>13229</v>
      </c>
      <c r="E9" s="325">
        <f t="shared" si="4"/>
        <v>2436</v>
      </c>
      <c r="F9" s="157">
        <f t="shared" si="5"/>
        <v>17512</v>
      </c>
      <c r="G9" s="204">
        <v>1847</v>
      </c>
      <c r="H9" s="204">
        <v>13229</v>
      </c>
      <c r="I9" s="325">
        <v>2436</v>
      </c>
      <c r="J9" s="162">
        <f t="shared" si="0"/>
        <v>0</v>
      </c>
      <c r="K9" s="204">
        <v>0</v>
      </c>
      <c r="L9" s="204">
        <v>0</v>
      </c>
      <c r="M9" s="325">
        <v>0</v>
      </c>
      <c r="N9" s="157">
        <f t="shared" si="6"/>
        <v>0</v>
      </c>
      <c r="O9" s="204">
        <v>0</v>
      </c>
      <c r="P9" s="204">
        <v>0</v>
      </c>
      <c r="Q9" s="325">
        <v>0</v>
      </c>
    </row>
    <row r="10" spans="1:17" ht="22.5" customHeight="1">
      <c r="A10" s="86" t="s">
        <v>190</v>
      </c>
      <c r="B10" s="162">
        <f t="shared" si="1"/>
        <v>15837</v>
      </c>
      <c r="C10" s="204">
        <f t="shared" si="2"/>
        <v>5</v>
      </c>
      <c r="D10" s="204">
        <f t="shared" si="3"/>
        <v>13801</v>
      </c>
      <c r="E10" s="325">
        <f t="shared" si="4"/>
        <v>2031</v>
      </c>
      <c r="F10" s="157">
        <f t="shared" si="5"/>
        <v>9734</v>
      </c>
      <c r="G10" s="204">
        <v>5</v>
      </c>
      <c r="H10" s="204">
        <v>7698</v>
      </c>
      <c r="I10" s="325">
        <v>2031</v>
      </c>
      <c r="J10" s="162">
        <f t="shared" si="0"/>
        <v>710</v>
      </c>
      <c r="K10" s="204">
        <v>0</v>
      </c>
      <c r="L10" s="204">
        <v>710</v>
      </c>
      <c r="M10" s="325">
        <v>0</v>
      </c>
      <c r="N10" s="157">
        <f t="shared" si="6"/>
        <v>5393</v>
      </c>
      <c r="O10" s="204">
        <v>0</v>
      </c>
      <c r="P10" s="204">
        <v>5393</v>
      </c>
      <c r="Q10" s="325">
        <v>0</v>
      </c>
    </row>
    <row r="11" spans="1:17" ht="22.5" customHeight="1">
      <c r="A11" s="118" t="s">
        <v>191</v>
      </c>
      <c r="B11" s="163">
        <f t="shared" si="1"/>
        <v>5459</v>
      </c>
      <c r="C11" s="207">
        <f t="shared" si="2"/>
        <v>41</v>
      </c>
      <c r="D11" s="207">
        <f t="shared" si="3"/>
        <v>4839</v>
      </c>
      <c r="E11" s="326">
        <f t="shared" si="4"/>
        <v>579</v>
      </c>
      <c r="F11" s="158">
        <f t="shared" si="5"/>
        <v>2662</v>
      </c>
      <c r="G11" s="207">
        <v>10</v>
      </c>
      <c r="H11" s="207">
        <v>2073</v>
      </c>
      <c r="I11" s="326">
        <v>579</v>
      </c>
      <c r="J11" s="163">
        <f t="shared" si="0"/>
        <v>1665</v>
      </c>
      <c r="K11" s="207">
        <v>0</v>
      </c>
      <c r="L11" s="207">
        <v>1665</v>
      </c>
      <c r="M11" s="326">
        <v>0</v>
      </c>
      <c r="N11" s="158">
        <f t="shared" si="6"/>
        <v>1132</v>
      </c>
      <c r="O11" s="207">
        <v>31</v>
      </c>
      <c r="P11" s="207">
        <v>1101</v>
      </c>
      <c r="Q11" s="326">
        <v>0</v>
      </c>
    </row>
    <row r="12" spans="1:17" ht="22.5" customHeight="1">
      <c r="A12" s="119" t="s">
        <v>192</v>
      </c>
      <c r="B12" s="164">
        <f t="shared" si="1"/>
        <v>7191</v>
      </c>
      <c r="C12" s="210">
        <f t="shared" si="2"/>
        <v>63</v>
      </c>
      <c r="D12" s="210">
        <f t="shared" si="3"/>
        <v>6714</v>
      </c>
      <c r="E12" s="327">
        <f t="shared" si="4"/>
        <v>414</v>
      </c>
      <c r="F12" s="159">
        <f t="shared" si="5"/>
        <v>7191</v>
      </c>
      <c r="G12" s="210">
        <v>63</v>
      </c>
      <c r="H12" s="210">
        <v>6714</v>
      </c>
      <c r="I12" s="327">
        <v>414</v>
      </c>
      <c r="J12" s="164">
        <f t="shared" si="0"/>
        <v>0</v>
      </c>
      <c r="K12" s="210">
        <v>0</v>
      </c>
      <c r="L12" s="210">
        <v>0</v>
      </c>
      <c r="M12" s="327">
        <v>0</v>
      </c>
      <c r="N12" s="159">
        <f t="shared" si="6"/>
        <v>0</v>
      </c>
      <c r="O12" s="210">
        <v>0</v>
      </c>
      <c r="P12" s="210">
        <v>0</v>
      </c>
      <c r="Q12" s="327">
        <v>0</v>
      </c>
    </row>
    <row r="13" spans="1:17" ht="22.5" customHeight="1">
      <c r="A13" s="86" t="s">
        <v>193</v>
      </c>
      <c r="B13" s="162">
        <f t="shared" si="1"/>
        <v>6385</v>
      </c>
      <c r="C13" s="204">
        <f t="shared" si="2"/>
        <v>706</v>
      </c>
      <c r="D13" s="204">
        <f t="shared" si="3"/>
        <v>5679</v>
      </c>
      <c r="E13" s="325">
        <f t="shared" si="4"/>
        <v>0</v>
      </c>
      <c r="F13" s="157">
        <f t="shared" si="5"/>
        <v>6385</v>
      </c>
      <c r="G13" s="204">
        <v>706</v>
      </c>
      <c r="H13" s="204">
        <v>5679</v>
      </c>
      <c r="I13" s="325">
        <v>0</v>
      </c>
      <c r="J13" s="162">
        <f t="shared" si="0"/>
        <v>0</v>
      </c>
      <c r="K13" s="204">
        <v>0</v>
      </c>
      <c r="L13" s="204">
        <v>0</v>
      </c>
      <c r="M13" s="325">
        <v>0</v>
      </c>
      <c r="N13" s="157">
        <f t="shared" si="6"/>
        <v>0</v>
      </c>
      <c r="O13" s="204">
        <v>0</v>
      </c>
      <c r="P13" s="204">
        <v>0</v>
      </c>
      <c r="Q13" s="325">
        <v>0</v>
      </c>
    </row>
    <row r="14" spans="1:17" ht="22.5" customHeight="1">
      <c r="A14" s="86" t="s">
        <v>194</v>
      </c>
      <c r="B14" s="162">
        <f t="shared" si="1"/>
        <v>3720</v>
      </c>
      <c r="C14" s="204">
        <f t="shared" si="2"/>
        <v>717</v>
      </c>
      <c r="D14" s="204">
        <f t="shared" si="3"/>
        <v>2096</v>
      </c>
      <c r="E14" s="325">
        <f t="shared" si="4"/>
        <v>907</v>
      </c>
      <c r="F14" s="157">
        <f t="shared" si="5"/>
        <v>3720</v>
      </c>
      <c r="G14" s="204">
        <v>717</v>
      </c>
      <c r="H14" s="204">
        <v>2096</v>
      </c>
      <c r="I14" s="325">
        <v>907</v>
      </c>
      <c r="J14" s="162">
        <f t="shared" si="0"/>
        <v>0</v>
      </c>
      <c r="K14" s="204">
        <v>0</v>
      </c>
      <c r="L14" s="204">
        <v>0</v>
      </c>
      <c r="M14" s="325">
        <v>0</v>
      </c>
      <c r="N14" s="157">
        <f t="shared" si="6"/>
        <v>0</v>
      </c>
      <c r="O14" s="204">
        <v>0</v>
      </c>
      <c r="P14" s="204">
        <v>0</v>
      </c>
      <c r="Q14" s="325">
        <v>0</v>
      </c>
    </row>
    <row r="15" spans="1:17" ht="22.5" customHeight="1">
      <c r="A15" s="86" t="s">
        <v>195</v>
      </c>
      <c r="B15" s="162">
        <f t="shared" si="1"/>
        <v>2232</v>
      </c>
      <c r="C15" s="204">
        <f t="shared" si="2"/>
        <v>10</v>
      </c>
      <c r="D15" s="204">
        <f t="shared" si="3"/>
        <v>2222</v>
      </c>
      <c r="E15" s="325">
        <f t="shared" si="4"/>
        <v>0</v>
      </c>
      <c r="F15" s="157">
        <f t="shared" si="5"/>
        <v>1141</v>
      </c>
      <c r="G15" s="204">
        <v>10</v>
      </c>
      <c r="H15" s="204">
        <v>1131</v>
      </c>
      <c r="I15" s="325">
        <v>0</v>
      </c>
      <c r="J15" s="162">
        <f t="shared" si="0"/>
        <v>433</v>
      </c>
      <c r="K15" s="204">
        <v>0</v>
      </c>
      <c r="L15" s="204">
        <v>433</v>
      </c>
      <c r="M15" s="325">
        <v>0</v>
      </c>
      <c r="N15" s="157">
        <f t="shared" si="6"/>
        <v>658</v>
      </c>
      <c r="O15" s="204">
        <v>0</v>
      </c>
      <c r="P15" s="204">
        <v>658</v>
      </c>
      <c r="Q15" s="325">
        <v>0</v>
      </c>
    </row>
    <row r="16" spans="1:17" ht="22.5" customHeight="1">
      <c r="A16" s="118" t="s">
        <v>196</v>
      </c>
      <c r="B16" s="163">
        <f t="shared" si="1"/>
        <v>3417</v>
      </c>
      <c r="C16" s="207">
        <f t="shared" si="2"/>
        <v>313</v>
      </c>
      <c r="D16" s="207">
        <f t="shared" si="3"/>
        <v>2944</v>
      </c>
      <c r="E16" s="326">
        <f t="shared" si="4"/>
        <v>160</v>
      </c>
      <c r="F16" s="158">
        <f t="shared" si="5"/>
        <v>1851</v>
      </c>
      <c r="G16" s="207">
        <v>313</v>
      </c>
      <c r="H16" s="207">
        <v>1538</v>
      </c>
      <c r="I16" s="326">
        <v>0</v>
      </c>
      <c r="J16" s="163">
        <f t="shared" si="0"/>
        <v>0</v>
      </c>
      <c r="K16" s="207">
        <v>0</v>
      </c>
      <c r="L16" s="207">
        <v>0</v>
      </c>
      <c r="M16" s="326">
        <v>0</v>
      </c>
      <c r="N16" s="158">
        <f t="shared" si="6"/>
        <v>1566</v>
      </c>
      <c r="O16" s="207">
        <v>0</v>
      </c>
      <c r="P16" s="207">
        <v>1406</v>
      </c>
      <c r="Q16" s="326">
        <v>160</v>
      </c>
    </row>
    <row r="17" spans="1:17" ht="22.5" customHeight="1">
      <c r="A17" s="119" t="s">
        <v>197</v>
      </c>
      <c r="B17" s="164">
        <f t="shared" si="1"/>
        <v>4465</v>
      </c>
      <c r="C17" s="210">
        <f t="shared" si="2"/>
        <v>693</v>
      </c>
      <c r="D17" s="210">
        <f t="shared" si="3"/>
        <v>3443</v>
      </c>
      <c r="E17" s="327">
        <f t="shared" si="4"/>
        <v>329</v>
      </c>
      <c r="F17" s="159">
        <f t="shared" si="5"/>
        <v>1015</v>
      </c>
      <c r="G17" s="210">
        <v>693</v>
      </c>
      <c r="H17" s="210">
        <v>0</v>
      </c>
      <c r="I17" s="327">
        <v>322</v>
      </c>
      <c r="J17" s="164">
        <f>SUM(K17:M17)</f>
        <v>3443</v>
      </c>
      <c r="K17" s="210">
        <v>0</v>
      </c>
      <c r="L17" s="210">
        <v>3443</v>
      </c>
      <c r="M17" s="327">
        <v>0</v>
      </c>
      <c r="N17" s="159">
        <f t="shared" si="6"/>
        <v>7</v>
      </c>
      <c r="O17" s="210">
        <v>0</v>
      </c>
      <c r="P17" s="210">
        <v>0</v>
      </c>
      <c r="Q17" s="327">
        <v>7</v>
      </c>
    </row>
    <row r="18" spans="1:17" ht="22.5" customHeight="1">
      <c r="A18" s="86" t="s">
        <v>198</v>
      </c>
      <c r="B18" s="162">
        <f t="shared" si="1"/>
        <v>10379</v>
      </c>
      <c r="C18" s="204">
        <f t="shared" si="2"/>
        <v>2604</v>
      </c>
      <c r="D18" s="204">
        <f t="shared" si="3"/>
        <v>7775</v>
      </c>
      <c r="E18" s="325">
        <f t="shared" si="4"/>
        <v>0</v>
      </c>
      <c r="F18" s="157">
        <f t="shared" si="5"/>
        <v>10379</v>
      </c>
      <c r="G18" s="204">
        <v>2604</v>
      </c>
      <c r="H18" s="204">
        <v>7775</v>
      </c>
      <c r="I18" s="325">
        <v>0</v>
      </c>
      <c r="J18" s="162">
        <f t="shared" si="0"/>
        <v>0</v>
      </c>
      <c r="K18" s="204">
        <v>0</v>
      </c>
      <c r="L18" s="204">
        <v>0</v>
      </c>
      <c r="M18" s="325">
        <v>0</v>
      </c>
      <c r="N18" s="157">
        <f t="shared" si="6"/>
        <v>0</v>
      </c>
      <c r="O18" s="204">
        <v>0</v>
      </c>
      <c r="P18" s="204">
        <v>0</v>
      </c>
      <c r="Q18" s="325">
        <v>0</v>
      </c>
    </row>
    <row r="19" spans="1:17" ht="22.5" customHeight="1">
      <c r="A19" s="86" t="s">
        <v>199</v>
      </c>
      <c r="B19" s="162">
        <f t="shared" si="1"/>
        <v>4749</v>
      </c>
      <c r="C19" s="204">
        <f t="shared" si="2"/>
        <v>0</v>
      </c>
      <c r="D19" s="204">
        <f t="shared" si="3"/>
        <v>4077</v>
      </c>
      <c r="E19" s="325">
        <f t="shared" si="4"/>
        <v>672</v>
      </c>
      <c r="F19" s="157">
        <f t="shared" si="5"/>
        <v>672</v>
      </c>
      <c r="G19" s="204">
        <v>0</v>
      </c>
      <c r="H19" s="204">
        <v>0</v>
      </c>
      <c r="I19" s="325">
        <v>672</v>
      </c>
      <c r="J19" s="162">
        <f t="shared" si="0"/>
        <v>3046</v>
      </c>
      <c r="K19" s="204">
        <v>0</v>
      </c>
      <c r="L19" s="204">
        <v>3046</v>
      </c>
      <c r="M19" s="325">
        <v>0</v>
      </c>
      <c r="N19" s="157">
        <f t="shared" si="6"/>
        <v>1031</v>
      </c>
      <c r="O19" s="204">
        <v>0</v>
      </c>
      <c r="P19" s="204">
        <v>1031</v>
      </c>
      <c r="Q19" s="325">
        <v>0</v>
      </c>
    </row>
    <row r="20" spans="1:17" ht="22.5" customHeight="1">
      <c r="A20" s="86" t="s">
        <v>200</v>
      </c>
      <c r="B20" s="162">
        <f t="shared" si="1"/>
        <v>4458</v>
      </c>
      <c r="C20" s="204">
        <f t="shared" si="2"/>
        <v>192</v>
      </c>
      <c r="D20" s="204">
        <f t="shared" si="3"/>
        <v>3820</v>
      </c>
      <c r="E20" s="325">
        <f t="shared" si="4"/>
        <v>446</v>
      </c>
      <c r="F20" s="157">
        <f t="shared" si="5"/>
        <v>849</v>
      </c>
      <c r="G20" s="204">
        <v>192</v>
      </c>
      <c r="H20" s="204">
        <v>657</v>
      </c>
      <c r="I20" s="325">
        <v>0</v>
      </c>
      <c r="J20" s="162">
        <f t="shared" si="0"/>
        <v>3609</v>
      </c>
      <c r="K20" s="204">
        <v>0</v>
      </c>
      <c r="L20" s="204">
        <v>3163</v>
      </c>
      <c r="M20" s="325">
        <v>446</v>
      </c>
      <c r="N20" s="157">
        <f t="shared" si="6"/>
        <v>0</v>
      </c>
      <c r="O20" s="204">
        <v>0</v>
      </c>
      <c r="P20" s="204">
        <v>0</v>
      </c>
      <c r="Q20" s="325">
        <v>0</v>
      </c>
    </row>
    <row r="21" spans="1:17" ht="22.5" customHeight="1">
      <c r="A21" s="118" t="s">
        <v>201</v>
      </c>
      <c r="B21" s="163">
        <f t="shared" si="1"/>
        <v>4083</v>
      </c>
      <c r="C21" s="207">
        <f t="shared" si="2"/>
        <v>0</v>
      </c>
      <c r="D21" s="207">
        <f t="shared" si="3"/>
        <v>3499</v>
      </c>
      <c r="E21" s="325">
        <f t="shared" si="4"/>
        <v>584</v>
      </c>
      <c r="F21" s="158">
        <f t="shared" si="5"/>
        <v>4083</v>
      </c>
      <c r="G21" s="207">
        <v>0</v>
      </c>
      <c r="H21" s="207">
        <v>3499</v>
      </c>
      <c r="I21" s="326">
        <v>584</v>
      </c>
      <c r="J21" s="163">
        <f t="shared" si="0"/>
        <v>0</v>
      </c>
      <c r="K21" s="207">
        <v>0</v>
      </c>
      <c r="L21" s="207">
        <v>0</v>
      </c>
      <c r="M21" s="326">
        <v>0</v>
      </c>
      <c r="N21" s="158">
        <f t="shared" si="6"/>
        <v>0</v>
      </c>
      <c r="O21" s="207">
        <v>0</v>
      </c>
      <c r="P21" s="207">
        <v>0</v>
      </c>
      <c r="Q21" s="326">
        <v>0</v>
      </c>
    </row>
    <row r="22" spans="1:17" ht="22.5" customHeight="1">
      <c r="A22" s="119" t="s">
        <v>202</v>
      </c>
      <c r="B22" s="164">
        <f t="shared" si="1"/>
        <v>2801</v>
      </c>
      <c r="C22" s="210">
        <f t="shared" si="2"/>
        <v>0</v>
      </c>
      <c r="D22" s="210">
        <f t="shared" si="3"/>
        <v>2637</v>
      </c>
      <c r="E22" s="327">
        <f t="shared" si="4"/>
        <v>164</v>
      </c>
      <c r="F22" s="159">
        <f t="shared" si="5"/>
        <v>1217</v>
      </c>
      <c r="G22" s="210">
        <v>0</v>
      </c>
      <c r="H22" s="210">
        <v>1053</v>
      </c>
      <c r="I22" s="327">
        <v>164</v>
      </c>
      <c r="J22" s="164">
        <f t="shared" si="0"/>
        <v>1043</v>
      </c>
      <c r="K22" s="210">
        <v>0</v>
      </c>
      <c r="L22" s="210">
        <v>1043</v>
      </c>
      <c r="M22" s="327">
        <v>0</v>
      </c>
      <c r="N22" s="159">
        <f t="shared" si="6"/>
        <v>541</v>
      </c>
      <c r="O22" s="210">
        <v>0</v>
      </c>
      <c r="P22" s="210">
        <v>541</v>
      </c>
      <c r="Q22" s="327">
        <v>0</v>
      </c>
    </row>
    <row r="23" spans="1:17" ht="22.5" customHeight="1">
      <c r="A23" s="86" t="s">
        <v>203</v>
      </c>
      <c r="B23" s="162">
        <f t="shared" si="1"/>
        <v>3552</v>
      </c>
      <c r="C23" s="204">
        <f t="shared" si="2"/>
        <v>458</v>
      </c>
      <c r="D23" s="204">
        <f t="shared" si="3"/>
        <v>2797</v>
      </c>
      <c r="E23" s="325">
        <f t="shared" si="4"/>
        <v>297</v>
      </c>
      <c r="F23" s="157">
        <f t="shared" si="5"/>
        <v>458</v>
      </c>
      <c r="G23" s="204">
        <v>458</v>
      </c>
      <c r="H23" s="204">
        <v>0</v>
      </c>
      <c r="I23" s="325">
        <v>0</v>
      </c>
      <c r="J23" s="162">
        <f t="shared" si="0"/>
        <v>3094</v>
      </c>
      <c r="K23" s="204">
        <v>0</v>
      </c>
      <c r="L23" s="204">
        <v>2797</v>
      </c>
      <c r="M23" s="325">
        <v>297</v>
      </c>
      <c r="N23" s="157">
        <f t="shared" si="6"/>
        <v>0</v>
      </c>
      <c r="O23" s="204">
        <v>0</v>
      </c>
      <c r="P23" s="204">
        <v>0</v>
      </c>
      <c r="Q23" s="325">
        <v>0</v>
      </c>
    </row>
    <row r="24" spans="1:17" ht="22.5" customHeight="1">
      <c r="A24" s="86" t="s">
        <v>204</v>
      </c>
      <c r="B24" s="162">
        <f t="shared" si="1"/>
        <v>2105</v>
      </c>
      <c r="C24" s="204">
        <f t="shared" si="2"/>
        <v>250</v>
      </c>
      <c r="D24" s="204">
        <f t="shared" si="3"/>
        <v>1526</v>
      </c>
      <c r="E24" s="325">
        <f t="shared" si="4"/>
        <v>329</v>
      </c>
      <c r="F24" s="157">
        <f t="shared" si="5"/>
        <v>579</v>
      </c>
      <c r="G24" s="204">
        <v>250</v>
      </c>
      <c r="H24" s="204">
        <v>0</v>
      </c>
      <c r="I24" s="325">
        <v>329</v>
      </c>
      <c r="J24" s="162">
        <f t="shared" si="0"/>
        <v>1526</v>
      </c>
      <c r="K24" s="204">
        <v>0</v>
      </c>
      <c r="L24" s="204">
        <v>1526</v>
      </c>
      <c r="M24" s="325">
        <v>0</v>
      </c>
      <c r="N24" s="157">
        <f t="shared" si="6"/>
        <v>0</v>
      </c>
      <c r="O24" s="204">
        <v>0</v>
      </c>
      <c r="P24" s="204">
        <v>0</v>
      </c>
      <c r="Q24" s="325">
        <v>0</v>
      </c>
    </row>
    <row r="25" spans="1:17" ht="22.5" customHeight="1">
      <c r="A25" s="86" t="s">
        <v>205</v>
      </c>
      <c r="B25" s="162">
        <f t="shared" si="1"/>
        <v>5189</v>
      </c>
      <c r="C25" s="204">
        <f t="shared" si="2"/>
        <v>82</v>
      </c>
      <c r="D25" s="204">
        <f t="shared" si="3"/>
        <v>4292</v>
      </c>
      <c r="E25" s="325">
        <f t="shared" si="4"/>
        <v>815</v>
      </c>
      <c r="F25" s="157">
        <f t="shared" si="5"/>
        <v>2738</v>
      </c>
      <c r="G25" s="204">
        <v>82</v>
      </c>
      <c r="H25" s="204">
        <v>2656</v>
      </c>
      <c r="I25" s="325">
        <v>0</v>
      </c>
      <c r="J25" s="162">
        <f t="shared" si="0"/>
        <v>1044</v>
      </c>
      <c r="K25" s="204">
        <v>0</v>
      </c>
      <c r="L25" s="204">
        <v>1044</v>
      </c>
      <c r="M25" s="325">
        <v>0</v>
      </c>
      <c r="N25" s="157">
        <f t="shared" si="6"/>
        <v>1407</v>
      </c>
      <c r="O25" s="204">
        <v>0</v>
      </c>
      <c r="P25" s="204">
        <v>592</v>
      </c>
      <c r="Q25" s="325">
        <v>815</v>
      </c>
    </row>
    <row r="26" spans="1:17" ht="22.5" customHeight="1">
      <c r="A26" s="118" t="s">
        <v>206</v>
      </c>
      <c r="B26" s="163">
        <f t="shared" si="1"/>
        <v>4737</v>
      </c>
      <c r="C26" s="207">
        <f t="shared" si="2"/>
        <v>0</v>
      </c>
      <c r="D26" s="207">
        <f t="shared" si="3"/>
        <v>4185</v>
      </c>
      <c r="E26" s="326">
        <f t="shared" si="4"/>
        <v>552</v>
      </c>
      <c r="F26" s="158">
        <f t="shared" si="5"/>
        <v>0</v>
      </c>
      <c r="G26" s="207">
        <v>0</v>
      </c>
      <c r="H26" s="207">
        <v>0</v>
      </c>
      <c r="I26" s="326">
        <v>0</v>
      </c>
      <c r="J26" s="163">
        <f t="shared" si="0"/>
        <v>2607</v>
      </c>
      <c r="K26" s="207">
        <v>0</v>
      </c>
      <c r="L26" s="207">
        <v>2607</v>
      </c>
      <c r="M26" s="326">
        <v>0</v>
      </c>
      <c r="N26" s="158">
        <f t="shared" si="6"/>
        <v>2130</v>
      </c>
      <c r="O26" s="207">
        <v>0</v>
      </c>
      <c r="P26" s="207">
        <v>1578</v>
      </c>
      <c r="Q26" s="326">
        <v>552</v>
      </c>
    </row>
    <row r="27" spans="1:17" ht="22.5" customHeight="1">
      <c r="A27" s="119" t="s">
        <v>207</v>
      </c>
      <c r="B27" s="164">
        <f t="shared" si="1"/>
        <v>1926</v>
      </c>
      <c r="C27" s="210">
        <f t="shared" si="2"/>
        <v>0</v>
      </c>
      <c r="D27" s="210">
        <f t="shared" si="3"/>
        <v>1421</v>
      </c>
      <c r="E27" s="327">
        <f t="shared" si="4"/>
        <v>505</v>
      </c>
      <c r="F27" s="159">
        <f t="shared" si="5"/>
        <v>1926</v>
      </c>
      <c r="G27" s="210">
        <v>0</v>
      </c>
      <c r="H27" s="210">
        <v>1421</v>
      </c>
      <c r="I27" s="327">
        <v>505</v>
      </c>
      <c r="J27" s="164">
        <f t="shared" si="0"/>
        <v>0</v>
      </c>
      <c r="K27" s="210">
        <v>0</v>
      </c>
      <c r="L27" s="210">
        <v>0</v>
      </c>
      <c r="M27" s="327">
        <v>0</v>
      </c>
      <c r="N27" s="159">
        <f t="shared" si="6"/>
        <v>0</v>
      </c>
      <c r="O27" s="210">
        <v>0</v>
      </c>
      <c r="P27" s="210">
        <v>0</v>
      </c>
      <c r="Q27" s="327">
        <v>0</v>
      </c>
    </row>
    <row r="28" spans="1:17" ht="22.5" customHeight="1">
      <c r="A28" s="86" t="s">
        <v>208</v>
      </c>
      <c r="B28" s="162">
        <f t="shared" si="1"/>
        <v>1524</v>
      </c>
      <c r="C28" s="204">
        <f t="shared" si="2"/>
        <v>0</v>
      </c>
      <c r="D28" s="204">
        <f t="shared" si="3"/>
        <v>1524</v>
      </c>
      <c r="E28" s="325">
        <f t="shared" si="4"/>
        <v>0</v>
      </c>
      <c r="F28" s="157">
        <f t="shared" si="5"/>
        <v>1350</v>
      </c>
      <c r="G28" s="204">
        <v>0</v>
      </c>
      <c r="H28" s="204">
        <v>1350</v>
      </c>
      <c r="I28" s="325">
        <v>0</v>
      </c>
      <c r="J28" s="162">
        <f t="shared" si="0"/>
        <v>174</v>
      </c>
      <c r="K28" s="204">
        <v>0</v>
      </c>
      <c r="L28" s="204">
        <v>174</v>
      </c>
      <c r="M28" s="325">
        <v>0</v>
      </c>
      <c r="N28" s="157">
        <f t="shared" si="6"/>
        <v>0</v>
      </c>
      <c r="O28" s="204">
        <v>0</v>
      </c>
      <c r="P28" s="204">
        <v>0</v>
      </c>
      <c r="Q28" s="325">
        <v>0</v>
      </c>
    </row>
    <row r="29" spans="1:17" ht="22.5" customHeight="1">
      <c r="A29" s="86" t="s">
        <v>209</v>
      </c>
      <c r="B29" s="162">
        <f t="shared" si="1"/>
        <v>3004</v>
      </c>
      <c r="C29" s="204">
        <f t="shared" si="2"/>
        <v>0</v>
      </c>
      <c r="D29" s="204">
        <f t="shared" si="3"/>
        <v>2683</v>
      </c>
      <c r="E29" s="325">
        <f t="shared" si="4"/>
        <v>321</v>
      </c>
      <c r="F29" s="157">
        <f t="shared" si="5"/>
        <v>0</v>
      </c>
      <c r="G29" s="204">
        <v>0</v>
      </c>
      <c r="H29" s="204">
        <v>0</v>
      </c>
      <c r="I29" s="325">
        <v>0</v>
      </c>
      <c r="J29" s="162">
        <f t="shared" si="0"/>
        <v>3004</v>
      </c>
      <c r="K29" s="204">
        <v>0</v>
      </c>
      <c r="L29" s="204">
        <v>2683</v>
      </c>
      <c r="M29" s="325">
        <v>321</v>
      </c>
      <c r="N29" s="157">
        <f t="shared" si="6"/>
        <v>0</v>
      </c>
      <c r="O29" s="204">
        <v>0</v>
      </c>
      <c r="P29" s="204">
        <v>0</v>
      </c>
      <c r="Q29" s="325">
        <v>0</v>
      </c>
    </row>
    <row r="30" spans="1:17" ht="22.5" customHeight="1">
      <c r="A30" s="86" t="s">
        <v>210</v>
      </c>
      <c r="B30" s="162">
        <f t="shared" si="1"/>
        <v>3687</v>
      </c>
      <c r="C30" s="204">
        <f t="shared" si="2"/>
        <v>0</v>
      </c>
      <c r="D30" s="204">
        <f t="shared" si="3"/>
        <v>3687</v>
      </c>
      <c r="E30" s="325">
        <f t="shared" si="4"/>
        <v>0</v>
      </c>
      <c r="F30" s="157">
        <f t="shared" si="5"/>
        <v>3637</v>
      </c>
      <c r="G30" s="204">
        <v>0</v>
      </c>
      <c r="H30" s="204">
        <v>3637</v>
      </c>
      <c r="I30" s="325">
        <v>0</v>
      </c>
      <c r="J30" s="162">
        <f t="shared" si="0"/>
        <v>50</v>
      </c>
      <c r="K30" s="204">
        <v>0</v>
      </c>
      <c r="L30" s="204">
        <v>50</v>
      </c>
      <c r="M30" s="325">
        <v>0</v>
      </c>
      <c r="N30" s="157">
        <f t="shared" si="6"/>
        <v>0</v>
      </c>
      <c r="O30" s="204">
        <v>0</v>
      </c>
      <c r="P30" s="204">
        <v>0</v>
      </c>
      <c r="Q30" s="325">
        <v>0</v>
      </c>
    </row>
    <row r="31" spans="1:17" ht="22.5" customHeight="1">
      <c r="A31" s="118" t="s">
        <v>211</v>
      </c>
      <c r="B31" s="163">
        <f t="shared" si="1"/>
        <v>1029</v>
      </c>
      <c r="C31" s="207">
        <f t="shared" si="2"/>
        <v>309</v>
      </c>
      <c r="D31" s="207">
        <f t="shared" si="3"/>
        <v>703</v>
      </c>
      <c r="E31" s="326">
        <f t="shared" si="4"/>
        <v>17</v>
      </c>
      <c r="F31" s="158">
        <f t="shared" si="5"/>
        <v>309</v>
      </c>
      <c r="G31" s="207">
        <v>309</v>
      </c>
      <c r="H31" s="207">
        <v>0</v>
      </c>
      <c r="I31" s="326">
        <v>0</v>
      </c>
      <c r="J31" s="163">
        <f t="shared" si="0"/>
        <v>703</v>
      </c>
      <c r="K31" s="207">
        <v>0</v>
      </c>
      <c r="L31" s="207">
        <v>703</v>
      </c>
      <c r="M31" s="326">
        <v>0</v>
      </c>
      <c r="N31" s="158">
        <f t="shared" si="6"/>
        <v>17</v>
      </c>
      <c r="O31" s="207">
        <v>0</v>
      </c>
      <c r="P31" s="207">
        <v>0</v>
      </c>
      <c r="Q31" s="326">
        <v>17</v>
      </c>
    </row>
    <row r="32" spans="1:17" ht="22.5" customHeight="1">
      <c r="A32" s="119" t="s">
        <v>212</v>
      </c>
      <c r="B32" s="164">
        <f t="shared" si="1"/>
        <v>3092</v>
      </c>
      <c r="C32" s="210">
        <f t="shared" si="2"/>
        <v>0</v>
      </c>
      <c r="D32" s="210">
        <f t="shared" si="3"/>
        <v>2861</v>
      </c>
      <c r="E32" s="327">
        <f t="shared" si="4"/>
        <v>231</v>
      </c>
      <c r="F32" s="159">
        <f t="shared" si="5"/>
        <v>1457</v>
      </c>
      <c r="G32" s="210">
        <v>0</v>
      </c>
      <c r="H32" s="210">
        <v>1226</v>
      </c>
      <c r="I32" s="327">
        <v>231</v>
      </c>
      <c r="J32" s="164">
        <f t="shared" si="0"/>
        <v>984</v>
      </c>
      <c r="K32" s="210">
        <v>0</v>
      </c>
      <c r="L32" s="210">
        <v>984</v>
      </c>
      <c r="M32" s="327">
        <v>0</v>
      </c>
      <c r="N32" s="159">
        <f t="shared" si="6"/>
        <v>651</v>
      </c>
      <c r="O32" s="210">
        <v>0</v>
      </c>
      <c r="P32" s="210">
        <v>651</v>
      </c>
      <c r="Q32" s="327">
        <v>0</v>
      </c>
    </row>
    <row r="33" spans="1:17" ht="22.5" customHeight="1">
      <c r="A33" s="86" t="s">
        <v>213</v>
      </c>
      <c r="B33" s="162">
        <f t="shared" si="1"/>
        <v>1778</v>
      </c>
      <c r="C33" s="204">
        <f t="shared" si="2"/>
        <v>67</v>
      </c>
      <c r="D33" s="204">
        <f t="shared" si="3"/>
        <v>1651</v>
      </c>
      <c r="E33" s="325">
        <f t="shared" si="4"/>
        <v>60</v>
      </c>
      <c r="F33" s="157">
        <f t="shared" si="5"/>
        <v>67</v>
      </c>
      <c r="G33" s="204">
        <v>67</v>
      </c>
      <c r="H33" s="204">
        <v>0</v>
      </c>
      <c r="I33" s="325">
        <v>0</v>
      </c>
      <c r="J33" s="162">
        <f t="shared" si="0"/>
        <v>1114</v>
      </c>
      <c r="K33" s="204">
        <v>0</v>
      </c>
      <c r="L33" s="204">
        <v>1114</v>
      </c>
      <c r="M33" s="325">
        <v>0</v>
      </c>
      <c r="N33" s="157">
        <f t="shared" si="6"/>
        <v>597</v>
      </c>
      <c r="O33" s="204">
        <v>0</v>
      </c>
      <c r="P33" s="204">
        <v>537</v>
      </c>
      <c r="Q33" s="325">
        <v>60</v>
      </c>
    </row>
    <row r="34" spans="1:17" ht="22.5" customHeight="1">
      <c r="A34" s="86" t="s">
        <v>214</v>
      </c>
      <c r="B34" s="162">
        <f t="shared" si="1"/>
        <v>1398</v>
      </c>
      <c r="C34" s="204">
        <f t="shared" si="2"/>
        <v>1</v>
      </c>
      <c r="D34" s="204">
        <f t="shared" si="3"/>
        <v>1165</v>
      </c>
      <c r="E34" s="325">
        <f t="shared" si="4"/>
        <v>232</v>
      </c>
      <c r="F34" s="157">
        <f t="shared" si="5"/>
        <v>725</v>
      </c>
      <c r="G34" s="204">
        <v>1</v>
      </c>
      <c r="H34" s="204">
        <v>724</v>
      </c>
      <c r="I34" s="325">
        <v>0</v>
      </c>
      <c r="J34" s="162">
        <f t="shared" si="0"/>
        <v>392</v>
      </c>
      <c r="K34" s="204">
        <v>0</v>
      </c>
      <c r="L34" s="204">
        <v>282</v>
      </c>
      <c r="M34" s="325">
        <v>110</v>
      </c>
      <c r="N34" s="157">
        <f t="shared" si="6"/>
        <v>281</v>
      </c>
      <c r="O34" s="204">
        <v>0</v>
      </c>
      <c r="P34" s="204">
        <v>159</v>
      </c>
      <c r="Q34" s="325">
        <v>122</v>
      </c>
    </row>
    <row r="35" spans="1:17" ht="22.5" customHeight="1">
      <c r="A35" s="86" t="s">
        <v>215</v>
      </c>
      <c r="B35" s="162">
        <f t="shared" si="1"/>
        <v>2130</v>
      </c>
      <c r="C35" s="204">
        <f t="shared" si="2"/>
        <v>0</v>
      </c>
      <c r="D35" s="204">
        <f t="shared" si="3"/>
        <v>1914</v>
      </c>
      <c r="E35" s="325">
        <f t="shared" si="4"/>
        <v>216</v>
      </c>
      <c r="F35" s="157">
        <f t="shared" si="5"/>
        <v>0</v>
      </c>
      <c r="G35" s="204">
        <v>0</v>
      </c>
      <c r="H35" s="204">
        <v>0</v>
      </c>
      <c r="I35" s="325">
        <v>0</v>
      </c>
      <c r="J35" s="162">
        <f t="shared" si="0"/>
        <v>2130</v>
      </c>
      <c r="K35" s="204">
        <v>0</v>
      </c>
      <c r="L35" s="204">
        <v>1914</v>
      </c>
      <c r="M35" s="325">
        <v>216</v>
      </c>
      <c r="N35" s="157">
        <f t="shared" si="6"/>
        <v>0</v>
      </c>
      <c r="O35" s="204">
        <v>0</v>
      </c>
      <c r="P35" s="204">
        <v>0</v>
      </c>
      <c r="Q35" s="325">
        <v>0</v>
      </c>
    </row>
    <row r="36" spans="1:17" ht="22.5" customHeight="1" thickBot="1">
      <c r="A36" s="120" t="s">
        <v>216</v>
      </c>
      <c r="B36" s="165">
        <f t="shared" si="1"/>
        <v>3198</v>
      </c>
      <c r="C36" s="213">
        <f t="shared" si="2"/>
        <v>0</v>
      </c>
      <c r="D36" s="213">
        <f t="shared" si="3"/>
        <v>2717</v>
      </c>
      <c r="E36" s="328">
        <f t="shared" si="4"/>
        <v>481</v>
      </c>
      <c r="F36" s="160">
        <f t="shared" si="5"/>
        <v>0</v>
      </c>
      <c r="G36" s="213">
        <v>0</v>
      </c>
      <c r="H36" s="213">
        <v>0</v>
      </c>
      <c r="I36" s="328">
        <v>0</v>
      </c>
      <c r="J36" s="165">
        <f t="shared" si="0"/>
        <v>2637</v>
      </c>
      <c r="K36" s="213">
        <v>0</v>
      </c>
      <c r="L36" s="213">
        <v>2481</v>
      </c>
      <c r="M36" s="328">
        <v>156</v>
      </c>
      <c r="N36" s="160">
        <f t="shared" si="6"/>
        <v>561</v>
      </c>
      <c r="O36" s="213">
        <v>0</v>
      </c>
      <c r="P36" s="213">
        <v>236</v>
      </c>
      <c r="Q36" s="328">
        <v>325</v>
      </c>
    </row>
    <row r="37" spans="1:17" ht="18" customHeight="1">
      <c r="A37" s="27" t="s">
        <v>52</v>
      </c>
      <c r="B37" s="85"/>
      <c r="C37" s="8"/>
      <c r="D37" s="89"/>
      <c r="E37" s="89"/>
      <c r="F37" s="8"/>
      <c r="G37" s="8"/>
      <c r="H37" s="8"/>
      <c r="I37" s="8"/>
      <c r="J37" s="85"/>
      <c r="K37" s="8"/>
      <c r="L37" s="85"/>
      <c r="M37" s="85"/>
      <c r="N37" s="8"/>
      <c r="O37" s="8"/>
      <c r="P37" s="8"/>
      <c r="Q37" s="8"/>
    </row>
    <row r="38" spans="1:17" s="13" customFormat="1" ht="24" customHeight="1" thickBot="1">
      <c r="A38" s="27" t="s">
        <v>257</v>
      </c>
      <c r="Q38" s="21" t="s">
        <v>104</v>
      </c>
    </row>
    <row r="39" spans="1:17" s="13" customFormat="1" ht="19.5" customHeight="1" thickBot="1">
      <c r="A39" s="463" t="s">
        <v>28</v>
      </c>
      <c r="B39" s="525" t="s">
        <v>0</v>
      </c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526"/>
      <c r="N39" s="526"/>
      <c r="O39" s="526"/>
      <c r="P39" s="526"/>
      <c r="Q39" s="527"/>
    </row>
    <row r="40" spans="1:17" s="13" customFormat="1" ht="18.75" customHeight="1">
      <c r="A40" s="464"/>
      <c r="B40" s="528" t="s">
        <v>245</v>
      </c>
      <c r="C40" s="444" t="s">
        <v>1</v>
      </c>
      <c r="D40" s="445"/>
      <c r="E40" s="530"/>
      <c r="F40" s="108" t="s">
        <v>262</v>
      </c>
      <c r="G40" s="109"/>
      <c r="H40" s="109"/>
      <c r="I40" s="110"/>
      <c r="J40" s="108" t="s">
        <v>263</v>
      </c>
      <c r="K40" s="109"/>
      <c r="L40" s="109"/>
      <c r="M40" s="110"/>
      <c r="N40" s="108" t="s">
        <v>143</v>
      </c>
      <c r="O40" s="109"/>
      <c r="P40" s="109"/>
      <c r="Q40" s="110"/>
    </row>
    <row r="41" spans="1:17" s="13" customFormat="1" ht="15.75" customHeight="1">
      <c r="A41" s="464"/>
      <c r="B41" s="528"/>
      <c r="C41" s="531" t="s">
        <v>259</v>
      </c>
      <c r="D41" s="531" t="s">
        <v>260</v>
      </c>
      <c r="E41" s="523" t="s">
        <v>261</v>
      </c>
      <c r="F41" s="528" t="s">
        <v>128</v>
      </c>
      <c r="G41" s="531" t="s">
        <v>259</v>
      </c>
      <c r="H41" s="531" t="s">
        <v>260</v>
      </c>
      <c r="I41" s="523" t="s">
        <v>261</v>
      </c>
      <c r="J41" s="528" t="s">
        <v>128</v>
      </c>
      <c r="K41" s="531" t="s">
        <v>259</v>
      </c>
      <c r="L41" s="531" t="s">
        <v>260</v>
      </c>
      <c r="M41" s="523" t="s">
        <v>261</v>
      </c>
      <c r="N41" s="528" t="s">
        <v>128</v>
      </c>
      <c r="O41" s="531" t="s">
        <v>259</v>
      </c>
      <c r="P41" s="531" t="s">
        <v>260</v>
      </c>
      <c r="Q41" s="523" t="s">
        <v>261</v>
      </c>
    </row>
    <row r="42" spans="1:17" s="13" customFormat="1" ht="21.75" customHeight="1" thickBot="1">
      <c r="A42" s="533"/>
      <c r="B42" s="529"/>
      <c r="C42" s="532"/>
      <c r="D42" s="532"/>
      <c r="E42" s="524"/>
      <c r="F42" s="529"/>
      <c r="G42" s="532"/>
      <c r="H42" s="532"/>
      <c r="I42" s="524"/>
      <c r="J42" s="529"/>
      <c r="K42" s="532"/>
      <c r="L42" s="532"/>
      <c r="M42" s="524"/>
      <c r="N42" s="529"/>
      <c r="O42" s="532"/>
      <c r="P42" s="532"/>
      <c r="Q42" s="524"/>
    </row>
    <row r="43" spans="1:17" ht="22.5" customHeight="1">
      <c r="A43" s="119" t="s">
        <v>217</v>
      </c>
      <c r="B43" s="164">
        <f aca="true" t="shared" si="7" ref="B43:B49">SUM(C43:E43)</f>
        <v>1742</v>
      </c>
      <c r="C43" s="210">
        <f aca="true" t="shared" si="8" ref="C43:D47">SUM(G43,K43,O43)</f>
        <v>396</v>
      </c>
      <c r="D43" s="210">
        <f t="shared" si="8"/>
        <v>1346</v>
      </c>
      <c r="E43" s="327">
        <f aca="true" t="shared" si="9" ref="E43:E69">SUM(I43,M43,Q43)</f>
        <v>0</v>
      </c>
      <c r="F43" s="159">
        <f aca="true" t="shared" si="10" ref="F43:F49">SUM(G43:I43)</f>
        <v>1742</v>
      </c>
      <c r="G43" s="210">
        <v>396</v>
      </c>
      <c r="H43" s="210">
        <v>1346</v>
      </c>
      <c r="I43" s="327">
        <v>0</v>
      </c>
      <c r="J43" s="164">
        <f aca="true" t="shared" si="11" ref="J43:J49">SUM(K43:M43)</f>
        <v>0</v>
      </c>
      <c r="K43" s="210">
        <v>0</v>
      </c>
      <c r="L43" s="210">
        <v>0</v>
      </c>
      <c r="M43" s="327">
        <v>0</v>
      </c>
      <c r="N43" s="159">
        <f aca="true" t="shared" si="12" ref="N43:N49">SUM(O43:Q43)</f>
        <v>0</v>
      </c>
      <c r="O43" s="210">
        <v>0</v>
      </c>
      <c r="P43" s="210">
        <v>0</v>
      </c>
      <c r="Q43" s="327">
        <v>0</v>
      </c>
    </row>
    <row r="44" spans="1:17" ht="22.5" customHeight="1">
      <c r="A44" s="86" t="s">
        <v>218</v>
      </c>
      <c r="B44" s="162">
        <f t="shared" si="7"/>
        <v>1761</v>
      </c>
      <c r="C44" s="204">
        <f t="shared" si="8"/>
        <v>0</v>
      </c>
      <c r="D44" s="204">
        <f t="shared" si="8"/>
        <v>1761</v>
      </c>
      <c r="E44" s="325">
        <f t="shared" si="9"/>
        <v>0</v>
      </c>
      <c r="F44" s="157">
        <f t="shared" si="10"/>
        <v>896</v>
      </c>
      <c r="G44" s="204">
        <v>0</v>
      </c>
      <c r="H44" s="204">
        <v>896</v>
      </c>
      <c r="I44" s="325">
        <v>0</v>
      </c>
      <c r="J44" s="162">
        <f t="shared" si="11"/>
        <v>391</v>
      </c>
      <c r="K44" s="204">
        <v>0</v>
      </c>
      <c r="L44" s="204">
        <v>391</v>
      </c>
      <c r="M44" s="325">
        <v>0</v>
      </c>
      <c r="N44" s="157">
        <f t="shared" si="12"/>
        <v>474</v>
      </c>
      <c r="O44" s="204">
        <v>0</v>
      </c>
      <c r="P44" s="204">
        <v>474</v>
      </c>
      <c r="Q44" s="325">
        <v>0</v>
      </c>
    </row>
    <row r="45" spans="1:17" ht="22.5" customHeight="1">
      <c r="A45" s="86" t="s">
        <v>219</v>
      </c>
      <c r="B45" s="162">
        <f t="shared" si="7"/>
        <v>2207</v>
      </c>
      <c r="C45" s="204">
        <f t="shared" si="8"/>
        <v>0</v>
      </c>
      <c r="D45" s="204">
        <f t="shared" si="8"/>
        <v>2101</v>
      </c>
      <c r="E45" s="325">
        <f t="shared" si="9"/>
        <v>106</v>
      </c>
      <c r="F45" s="157">
        <f t="shared" si="10"/>
        <v>0</v>
      </c>
      <c r="G45" s="204">
        <v>0</v>
      </c>
      <c r="H45" s="204">
        <v>0</v>
      </c>
      <c r="I45" s="325">
        <v>0</v>
      </c>
      <c r="J45" s="162">
        <f t="shared" si="11"/>
        <v>384</v>
      </c>
      <c r="K45" s="204">
        <v>0</v>
      </c>
      <c r="L45" s="204">
        <v>342</v>
      </c>
      <c r="M45" s="325">
        <v>42</v>
      </c>
      <c r="N45" s="157">
        <f t="shared" si="12"/>
        <v>1823</v>
      </c>
      <c r="O45" s="204">
        <v>0</v>
      </c>
      <c r="P45" s="204">
        <v>1759</v>
      </c>
      <c r="Q45" s="325">
        <v>64</v>
      </c>
    </row>
    <row r="46" spans="1:17" ht="22.5" customHeight="1">
      <c r="A46" s="86" t="s">
        <v>220</v>
      </c>
      <c r="B46" s="162">
        <f t="shared" si="7"/>
        <v>2813</v>
      </c>
      <c r="C46" s="204">
        <f t="shared" si="8"/>
        <v>0</v>
      </c>
      <c r="D46" s="204">
        <f t="shared" si="8"/>
        <v>2813</v>
      </c>
      <c r="E46" s="325">
        <f t="shared" si="9"/>
        <v>0</v>
      </c>
      <c r="F46" s="157">
        <f t="shared" si="10"/>
        <v>0</v>
      </c>
      <c r="G46" s="204">
        <v>0</v>
      </c>
      <c r="H46" s="204">
        <v>0</v>
      </c>
      <c r="I46" s="325">
        <v>0</v>
      </c>
      <c r="J46" s="162">
        <f t="shared" si="11"/>
        <v>2813</v>
      </c>
      <c r="K46" s="204">
        <v>0</v>
      </c>
      <c r="L46" s="204">
        <v>2813</v>
      </c>
      <c r="M46" s="325">
        <v>0</v>
      </c>
      <c r="N46" s="157">
        <f t="shared" si="12"/>
        <v>0</v>
      </c>
      <c r="O46" s="204">
        <v>0</v>
      </c>
      <c r="P46" s="204">
        <v>0</v>
      </c>
      <c r="Q46" s="325">
        <v>0</v>
      </c>
    </row>
    <row r="47" spans="1:17" ht="22.5" customHeight="1">
      <c r="A47" s="118" t="s">
        <v>131</v>
      </c>
      <c r="B47" s="163">
        <f t="shared" si="7"/>
        <v>1310</v>
      </c>
      <c r="C47" s="207">
        <f t="shared" si="8"/>
        <v>5</v>
      </c>
      <c r="D47" s="207">
        <f t="shared" si="8"/>
        <v>1305</v>
      </c>
      <c r="E47" s="326">
        <f t="shared" si="9"/>
        <v>0</v>
      </c>
      <c r="F47" s="158">
        <f t="shared" si="10"/>
        <v>669</v>
      </c>
      <c r="G47" s="207">
        <v>5</v>
      </c>
      <c r="H47" s="207">
        <v>664</v>
      </c>
      <c r="I47" s="326">
        <v>0</v>
      </c>
      <c r="J47" s="163">
        <f t="shared" si="11"/>
        <v>254</v>
      </c>
      <c r="K47" s="207">
        <v>0</v>
      </c>
      <c r="L47" s="207">
        <v>254</v>
      </c>
      <c r="M47" s="326">
        <v>0</v>
      </c>
      <c r="N47" s="158">
        <f t="shared" si="12"/>
        <v>387</v>
      </c>
      <c r="O47" s="207">
        <v>0</v>
      </c>
      <c r="P47" s="207">
        <v>387</v>
      </c>
      <c r="Q47" s="326">
        <v>0</v>
      </c>
    </row>
    <row r="48" spans="1:17" ht="22.5" customHeight="1">
      <c r="A48" s="86" t="s">
        <v>264</v>
      </c>
      <c r="B48" s="162">
        <f t="shared" si="7"/>
        <v>2408</v>
      </c>
      <c r="C48" s="204">
        <f>SUM(G48,K48,O48)</f>
        <v>30</v>
      </c>
      <c r="D48" s="204">
        <f>SUM(H48,L48,P48)</f>
        <v>2032</v>
      </c>
      <c r="E48" s="325">
        <f t="shared" si="9"/>
        <v>346</v>
      </c>
      <c r="F48" s="157">
        <f t="shared" si="10"/>
        <v>0</v>
      </c>
      <c r="G48" s="204">
        <v>0</v>
      </c>
      <c r="H48" s="204">
        <v>0</v>
      </c>
      <c r="I48" s="325">
        <v>0</v>
      </c>
      <c r="J48" s="162">
        <f t="shared" si="11"/>
        <v>2171</v>
      </c>
      <c r="K48" s="204">
        <v>30</v>
      </c>
      <c r="L48" s="204">
        <v>2029</v>
      </c>
      <c r="M48" s="325">
        <v>112</v>
      </c>
      <c r="N48" s="157">
        <f t="shared" si="12"/>
        <v>237</v>
      </c>
      <c r="O48" s="204">
        <v>0</v>
      </c>
      <c r="P48" s="204">
        <v>3</v>
      </c>
      <c r="Q48" s="325">
        <v>234</v>
      </c>
    </row>
    <row r="49" spans="1:17" ht="22.5" customHeight="1">
      <c r="A49" s="86" t="s">
        <v>265</v>
      </c>
      <c r="B49" s="162">
        <f t="shared" si="7"/>
        <v>3690</v>
      </c>
      <c r="C49" s="204">
        <f>SUM(G49,K49,O49)</f>
        <v>20</v>
      </c>
      <c r="D49" s="204">
        <f>SUM(H49,L49,P49)</f>
        <v>3670</v>
      </c>
      <c r="E49" s="325">
        <f t="shared" si="9"/>
        <v>0</v>
      </c>
      <c r="F49" s="162">
        <f t="shared" si="10"/>
        <v>661</v>
      </c>
      <c r="G49" s="204">
        <v>20</v>
      </c>
      <c r="H49" s="204">
        <v>641</v>
      </c>
      <c r="I49" s="325">
        <v>0</v>
      </c>
      <c r="J49" s="162">
        <f t="shared" si="11"/>
        <v>805</v>
      </c>
      <c r="K49" s="204">
        <v>0</v>
      </c>
      <c r="L49" s="204">
        <v>805</v>
      </c>
      <c r="M49" s="325">
        <v>0</v>
      </c>
      <c r="N49" s="157">
        <f t="shared" si="12"/>
        <v>2224</v>
      </c>
      <c r="O49" s="204">
        <v>0</v>
      </c>
      <c r="P49" s="204">
        <v>2224</v>
      </c>
      <c r="Q49" s="325">
        <v>0</v>
      </c>
    </row>
    <row r="50" spans="1:17" ht="22.5" customHeight="1">
      <c r="A50" s="86" t="s">
        <v>221</v>
      </c>
      <c r="B50" s="162">
        <f t="shared" si="1"/>
        <v>1763</v>
      </c>
      <c r="C50" s="204">
        <f aca="true" t="shared" si="13" ref="C50:C69">SUM(G50,K50,O50)</f>
        <v>0</v>
      </c>
      <c r="D50" s="204">
        <f aca="true" t="shared" si="14" ref="D50:D69">SUM(H50,L50,P50)</f>
        <v>1452</v>
      </c>
      <c r="E50" s="325">
        <f t="shared" si="9"/>
        <v>311</v>
      </c>
      <c r="F50" s="157">
        <f aca="true" t="shared" si="15" ref="F50:F69">SUM(G50:I50)</f>
        <v>0</v>
      </c>
      <c r="G50" s="204">
        <v>0</v>
      </c>
      <c r="H50" s="204">
        <v>0</v>
      </c>
      <c r="I50" s="325">
        <v>0</v>
      </c>
      <c r="J50" s="162">
        <f aca="true" t="shared" si="16" ref="J50:J69">SUM(K50:M50)</f>
        <v>1427</v>
      </c>
      <c r="K50" s="204">
        <v>0</v>
      </c>
      <c r="L50" s="204">
        <v>1326</v>
      </c>
      <c r="M50" s="325">
        <v>101</v>
      </c>
      <c r="N50" s="157">
        <f aca="true" t="shared" si="17" ref="N50:N69">SUM(O50:Q50)</f>
        <v>336</v>
      </c>
      <c r="O50" s="204">
        <v>0</v>
      </c>
      <c r="P50" s="204">
        <v>126</v>
      </c>
      <c r="Q50" s="325">
        <v>210</v>
      </c>
    </row>
    <row r="51" spans="1:17" ht="22.5" customHeight="1">
      <c r="A51" s="86" t="s">
        <v>222</v>
      </c>
      <c r="B51" s="162">
        <f t="shared" si="1"/>
        <v>2072</v>
      </c>
      <c r="C51" s="204">
        <f t="shared" si="13"/>
        <v>0</v>
      </c>
      <c r="D51" s="204">
        <f t="shared" si="14"/>
        <v>1869</v>
      </c>
      <c r="E51" s="325">
        <f t="shared" si="9"/>
        <v>203</v>
      </c>
      <c r="F51" s="157">
        <f t="shared" si="15"/>
        <v>1004</v>
      </c>
      <c r="G51" s="204">
        <v>0</v>
      </c>
      <c r="H51" s="204">
        <v>801</v>
      </c>
      <c r="I51" s="325">
        <v>203</v>
      </c>
      <c r="J51" s="162">
        <f t="shared" si="16"/>
        <v>643</v>
      </c>
      <c r="K51" s="204">
        <v>0</v>
      </c>
      <c r="L51" s="204">
        <v>643</v>
      </c>
      <c r="M51" s="325">
        <v>0</v>
      </c>
      <c r="N51" s="157">
        <f t="shared" si="17"/>
        <v>425</v>
      </c>
      <c r="O51" s="204">
        <v>0</v>
      </c>
      <c r="P51" s="204">
        <v>425</v>
      </c>
      <c r="Q51" s="325">
        <v>0</v>
      </c>
    </row>
    <row r="52" spans="1:17" ht="22.5" customHeight="1">
      <c r="A52" s="118" t="s">
        <v>223</v>
      </c>
      <c r="B52" s="163">
        <f t="shared" si="1"/>
        <v>676</v>
      </c>
      <c r="C52" s="207">
        <f t="shared" si="13"/>
        <v>0</v>
      </c>
      <c r="D52" s="207">
        <f t="shared" si="14"/>
        <v>676</v>
      </c>
      <c r="E52" s="326">
        <f t="shared" si="9"/>
        <v>0</v>
      </c>
      <c r="F52" s="158">
        <f t="shared" si="15"/>
        <v>0</v>
      </c>
      <c r="G52" s="207">
        <v>0</v>
      </c>
      <c r="H52" s="207">
        <v>0</v>
      </c>
      <c r="I52" s="326">
        <v>0</v>
      </c>
      <c r="J52" s="163">
        <f t="shared" si="16"/>
        <v>171</v>
      </c>
      <c r="K52" s="207">
        <v>0</v>
      </c>
      <c r="L52" s="207">
        <v>171</v>
      </c>
      <c r="M52" s="326">
        <v>0</v>
      </c>
      <c r="N52" s="158">
        <f t="shared" si="17"/>
        <v>505</v>
      </c>
      <c r="O52" s="207">
        <v>0</v>
      </c>
      <c r="P52" s="207">
        <v>505</v>
      </c>
      <c r="Q52" s="326">
        <v>0</v>
      </c>
    </row>
    <row r="53" spans="1:17" ht="22.5" customHeight="1">
      <c r="A53" s="86" t="s">
        <v>224</v>
      </c>
      <c r="B53" s="162">
        <f t="shared" si="1"/>
        <v>452</v>
      </c>
      <c r="C53" s="204">
        <f t="shared" si="13"/>
        <v>52</v>
      </c>
      <c r="D53" s="204">
        <f t="shared" si="14"/>
        <v>400</v>
      </c>
      <c r="E53" s="325">
        <f t="shared" si="9"/>
        <v>0</v>
      </c>
      <c r="F53" s="157">
        <f t="shared" si="15"/>
        <v>0</v>
      </c>
      <c r="G53" s="204">
        <v>0</v>
      </c>
      <c r="H53" s="204">
        <v>0</v>
      </c>
      <c r="I53" s="325">
        <v>0</v>
      </c>
      <c r="J53" s="162">
        <f t="shared" si="16"/>
        <v>400</v>
      </c>
      <c r="K53" s="204">
        <v>0</v>
      </c>
      <c r="L53" s="204">
        <v>400</v>
      </c>
      <c r="M53" s="325">
        <v>0</v>
      </c>
      <c r="N53" s="157">
        <f t="shared" si="17"/>
        <v>52</v>
      </c>
      <c r="O53" s="204">
        <v>52</v>
      </c>
      <c r="P53" s="204">
        <v>0</v>
      </c>
      <c r="Q53" s="325">
        <v>0</v>
      </c>
    </row>
    <row r="54" spans="1:17" ht="22.5" customHeight="1">
      <c r="A54" s="86" t="s">
        <v>225</v>
      </c>
      <c r="B54" s="162">
        <f t="shared" si="1"/>
        <v>655</v>
      </c>
      <c r="C54" s="204">
        <f t="shared" si="13"/>
        <v>83</v>
      </c>
      <c r="D54" s="204">
        <f t="shared" si="14"/>
        <v>572</v>
      </c>
      <c r="E54" s="325">
        <f t="shared" si="9"/>
        <v>0</v>
      </c>
      <c r="F54" s="157">
        <f t="shared" si="15"/>
        <v>385</v>
      </c>
      <c r="G54" s="204">
        <v>0</v>
      </c>
      <c r="H54" s="204">
        <v>385</v>
      </c>
      <c r="I54" s="325">
        <v>0</v>
      </c>
      <c r="J54" s="162">
        <f t="shared" si="16"/>
        <v>187</v>
      </c>
      <c r="K54" s="204">
        <v>0</v>
      </c>
      <c r="L54" s="204">
        <v>187</v>
      </c>
      <c r="M54" s="325">
        <v>0</v>
      </c>
      <c r="N54" s="157">
        <f t="shared" si="17"/>
        <v>83</v>
      </c>
      <c r="O54" s="204">
        <v>83</v>
      </c>
      <c r="P54" s="204">
        <v>0</v>
      </c>
      <c r="Q54" s="325">
        <v>0</v>
      </c>
    </row>
    <row r="55" spans="1:17" ht="22.5" customHeight="1">
      <c r="A55" s="86" t="s">
        <v>226</v>
      </c>
      <c r="B55" s="162">
        <f t="shared" si="1"/>
        <v>804</v>
      </c>
      <c r="C55" s="204">
        <f t="shared" si="13"/>
        <v>0</v>
      </c>
      <c r="D55" s="204">
        <f t="shared" si="14"/>
        <v>804</v>
      </c>
      <c r="E55" s="325">
        <f t="shared" si="9"/>
        <v>0</v>
      </c>
      <c r="F55" s="157">
        <f t="shared" si="15"/>
        <v>409</v>
      </c>
      <c r="G55" s="204">
        <v>0</v>
      </c>
      <c r="H55" s="204">
        <v>409</v>
      </c>
      <c r="I55" s="325">
        <v>0</v>
      </c>
      <c r="J55" s="162">
        <f t="shared" si="16"/>
        <v>157</v>
      </c>
      <c r="K55" s="204">
        <v>0</v>
      </c>
      <c r="L55" s="204">
        <v>157</v>
      </c>
      <c r="M55" s="325">
        <v>0</v>
      </c>
      <c r="N55" s="157">
        <f t="shared" si="17"/>
        <v>238</v>
      </c>
      <c r="O55" s="204">
        <v>0</v>
      </c>
      <c r="P55" s="204">
        <v>238</v>
      </c>
      <c r="Q55" s="325">
        <v>0</v>
      </c>
    </row>
    <row r="56" spans="1:17" ht="22.5" customHeight="1">
      <c r="A56" s="86" t="s">
        <v>227</v>
      </c>
      <c r="B56" s="162">
        <f t="shared" si="1"/>
        <v>1247</v>
      </c>
      <c r="C56" s="204">
        <f t="shared" si="13"/>
        <v>0</v>
      </c>
      <c r="D56" s="204">
        <f t="shared" si="14"/>
        <v>1247</v>
      </c>
      <c r="E56" s="325">
        <f t="shared" si="9"/>
        <v>0</v>
      </c>
      <c r="F56" s="157">
        <f t="shared" si="15"/>
        <v>635</v>
      </c>
      <c r="G56" s="204">
        <v>0</v>
      </c>
      <c r="H56" s="204">
        <v>635</v>
      </c>
      <c r="I56" s="325">
        <v>0</v>
      </c>
      <c r="J56" s="162">
        <f t="shared" si="16"/>
        <v>243</v>
      </c>
      <c r="K56" s="204">
        <v>0</v>
      </c>
      <c r="L56" s="204">
        <v>243</v>
      </c>
      <c r="M56" s="325">
        <v>0</v>
      </c>
      <c r="N56" s="157">
        <f t="shared" si="17"/>
        <v>369</v>
      </c>
      <c r="O56" s="204">
        <v>0</v>
      </c>
      <c r="P56" s="204">
        <v>369</v>
      </c>
      <c r="Q56" s="325">
        <v>0</v>
      </c>
    </row>
    <row r="57" spans="1:17" ht="22.5" customHeight="1">
      <c r="A57" s="118" t="s">
        <v>228</v>
      </c>
      <c r="B57" s="163">
        <f>SUM(C57:E57)</f>
        <v>266</v>
      </c>
      <c r="C57" s="207">
        <f t="shared" si="13"/>
        <v>0</v>
      </c>
      <c r="D57" s="207">
        <f t="shared" si="14"/>
        <v>266</v>
      </c>
      <c r="E57" s="326">
        <f t="shared" si="9"/>
        <v>0</v>
      </c>
      <c r="F57" s="158">
        <f t="shared" si="15"/>
        <v>135</v>
      </c>
      <c r="G57" s="207">
        <v>0</v>
      </c>
      <c r="H57" s="207">
        <v>135</v>
      </c>
      <c r="I57" s="326">
        <v>0</v>
      </c>
      <c r="J57" s="163">
        <f t="shared" si="16"/>
        <v>52</v>
      </c>
      <c r="K57" s="207">
        <v>0</v>
      </c>
      <c r="L57" s="207">
        <v>52</v>
      </c>
      <c r="M57" s="326">
        <v>0</v>
      </c>
      <c r="N57" s="158">
        <f t="shared" si="17"/>
        <v>79</v>
      </c>
      <c r="O57" s="207">
        <v>0</v>
      </c>
      <c r="P57" s="207">
        <v>79</v>
      </c>
      <c r="Q57" s="326">
        <v>0</v>
      </c>
    </row>
    <row r="58" spans="1:17" ht="22.5" customHeight="1">
      <c r="A58" s="86" t="s">
        <v>229</v>
      </c>
      <c r="B58" s="162">
        <f aca="true" t="shared" si="18" ref="B58:B69">SUM(C58:E58)</f>
        <v>923</v>
      </c>
      <c r="C58" s="204">
        <f t="shared" si="13"/>
        <v>0</v>
      </c>
      <c r="D58" s="204">
        <f t="shared" si="14"/>
        <v>832</v>
      </c>
      <c r="E58" s="325">
        <f t="shared" si="9"/>
        <v>91</v>
      </c>
      <c r="F58" s="157">
        <f t="shared" si="15"/>
        <v>0</v>
      </c>
      <c r="G58" s="204">
        <v>0</v>
      </c>
      <c r="H58" s="204">
        <v>0</v>
      </c>
      <c r="I58" s="325">
        <v>0</v>
      </c>
      <c r="J58" s="162">
        <f t="shared" si="16"/>
        <v>923</v>
      </c>
      <c r="K58" s="204">
        <v>0</v>
      </c>
      <c r="L58" s="204">
        <v>832</v>
      </c>
      <c r="M58" s="325">
        <v>91</v>
      </c>
      <c r="N58" s="157">
        <f t="shared" si="17"/>
        <v>0</v>
      </c>
      <c r="O58" s="204">
        <v>0</v>
      </c>
      <c r="P58" s="204">
        <v>0</v>
      </c>
      <c r="Q58" s="325">
        <v>0</v>
      </c>
    </row>
    <row r="59" spans="1:17" ht="22.5" customHeight="1">
      <c r="A59" s="86" t="s">
        <v>230</v>
      </c>
      <c r="B59" s="162">
        <f t="shared" si="18"/>
        <v>1642</v>
      </c>
      <c r="C59" s="204">
        <f t="shared" si="13"/>
        <v>0</v>
      </c>
      <c r="D59" s="204">
        <f t="shared" si="14"/>
        <v>1495</v>
      </c>
      <c r="E59" s="325">
        <f t="shared" si="9"/>
        <v>147</v>
      </c>
      <c r="F59" s="157">
        <f t="shared" si="15"/>
        <v>0</v>
      </c>
      <c r="G59" s="204">
        <v>0</v>
      </c>
      <c r="H59" s="204">
        <v>0</v>
      </c>
      <c r="I59" s="325">
        <v>0</v>
      </c>
      <c r="J59" s="162">
        <f t="shared" si="16"/>
        <v>1642</v>
      </c>
      <c r="K59" s="204">
        <v>0</v>
      </c>
      <c r="L59" s="204">
        <v>1495</v>
      </c>
      <c r="M59" s="325">
        <v>147</v>
      </c>
      <c r="N59" s="157">
        <f t="shared" si="17"/>
        <v>0</v>
      </c>
      <c r="O59" s="204">
        <v>0</v>
      </c>
      <c r="P59" s="204">
        <v>0</v>
      </c>
      <c r="Q59" s="325">
        <v>0</v>
      </c>
    </row>
    <row r="60" spans="1:17" ht="22.5" customHeight="1">
      <c r="A60" s="86" t="s">
        <v>231</v>
      </c>
      <c r="B60" s="162">
        <f t="shared" si="18"/>
        <v>2050</v>
      </c>
      <c r="C60" s="204">
        <f t="shared" si="13"/>
        <v>383</v>
      </c>
      <c r="D60" s="204">
        <f t="shared" si="14"/>
        <v>1432</v>
      </c>
      <c r="E60" s="325">
        <f t="shared" si="9"/>
        <v>235</v>
      </c>
      <c r="F60" s="157">
        <f t="shared" si="15"/>
        <v>2050</v>
      </c>
      <c r="G60" s="204">
        <v>383</v>
      </c>
      <c r="H60" s="204">
        <v>1432</v>
      </c>
      <c r="I60" s="325">
        <v>235</v>
      </c>
      <c r="J60" s="162">
        <f t="shared" si="16"/>
        <v>0</v>
      </c>
      <c r="K60" s="204">
        <v>0</v>
      </c>
      <c r="L60" s="204">
        <v>0</v>
      </c>
      <c r="M60" s="325">
        <v>0</v>
      </c>
      <c r="N60" s="157">
        <f t="shared" si="17"/>
        <v>0</v>
      </c>
      <c r="O60" s="204">
        <v>0</v>
      </c>
      <c r="P60" s="204">
        <v>0</v>
      </c>
      <c r="Q60" s="325">
        <v>0</v>
      </c>
    </row>
    <row r="61" spans="1:17" ht="22.5" customHeight="1">
      <c r="A61" s="86" t="s">
        <v>232</v>
      </c>
      <c r="B61" s="162">
        <f t="shared" si="18"/>
        <v>1684</v>
      </c>
      <c r="C61" s="204">
        <f t="shared" si="13"/>
        <v>175</v>
      </c>
      <c r="D61" s="204">
        <f t="shared" si="14"/>
        <v>1285</v>
      </c>
      <c r="E61" s="325">
        <f t="shared" si="9"/>
        <v>224</v>
      </c>
      <c r="F61" s="157">
        <f t="shared" si="15"/>
        <v>1684</v>
      </c>
      <c r="G61" s="204">
        <v>175</v>
      </c>
      <c r="H61" s="204">
        <v>1285</v>
      </c>
      <c r="I61" s="325">
        <v>224</v>
      </c>
      <c r="J61" s="162">
        <f t="shared" si="16"/>
        <v>0</v>
      </c>
      <c r="K61" s="204">
        <v>0</v>
      </c>
      <c r="L61" s="204">
        <v>0</v>
      </c>
      <c r="M61" s="325">
        <v>0</v>
      </c>
      <c r="N61" s="157">
        <f t="shared" si="17"/>
        <v>0</v>
      </c>
      <c r="O61" s="204">
        <v>0</v>
      </c>
      <c r="P61" s="204">
        <v>0</v>
      </c>
      <c r="Q61" s="325">
        <v>0</v>
      </c>
    </row>
    <row r="62" spans="1:17" ht="22.5" customHeight="1">
      <c r="A62" s="118" t="s">
        <v>233</v>
      </c>
      <c r="B62" s="163">
        <f t="shared" si="18"/>
        <v>2090</v>
      </c>
      <c r="C62" s="207">
        <f t="shared" si="13"/>
        <v>119</v>
      </c>
      <c r="D62" s="207">
        <f t="shared" si="14"/>
        <v>1818</v>
      </c>
      <c r="E62" s="326">
        <f t="shared" si="9"/>
        <v>153</v>
      </c>
      <c r="F62" s="158">
        <f t="shared" si="15"/>
        <v>119</v>
      </c>
      <c r="G62" s="207">
        <v>119</v>
      </c>
      <c r="H62" s="207">
        <v>0</v>
      </c>
      <c r="I62" s="326">
        <v>0</v>
      </c>
      <c r="J62" s="163">
        <f t="shared" si="16"/>
        <v>1971</v>
      </c>
      <c r="K62" s="207">
        <v>0</v>
      </c>
      <c r="L62" s="207">
        <v>1818</v>
      </c>
      <c r="M62" s="326">
        <v>153</v>
      </c>
      <c r="N62" s="158">
        <f t="shared" si="17"/>
        <v>0</v>
      </c>
      <c r="O62" s="207">
        <v>0</v>
      </c>
      <c r="P62" s="207">
        <v>0</v>
      </c>
      <c r="Q62" s="326">
        <v>0</v>
      </c>
    </row>
    <row r="63" spans="1:17" ht="22.5" customHeight="1">
      <c r="A63" s="86" t="s">
        <v>234</v>
      </c>
      <c r="B63" s="162">
        <f t="shared" si="18"/>
        <v>1376</v>
      </c>
      <c r="C63" s="204">
        <f t="shared" si="13"/>
        <v>422</v>
      </c>
      <c r="D63" s="204">
        <f t="shared" si="14"/>
        <v>909</v>
      </c>
      <c r="E63" s="325">
        <f t="shared" si="9"/>
        <v>45</v>
      </c>
      <c r="F63" s="157">
        <f t="shared" si="15"/>
        <v>789</v>
      </c>
      <c r="G63" s="204">
        <v>422</v>
      </c>
      <c r="H63" s="204">
        <v>322</v>
      </c>
      <c r="I63" s="325">
        <v>45</v>
      </c>
      <c r="J63" s="162">
        <f t="shared" si="16"/>
        <v>587</v>
      </c>
      <c r="K63" s="204">
        <v>0</v>
      </c>
      <c r="L63" s="204">
        <v>587</v>
      </c>
      <c r="M63" s="325">
        <v>0</v>
      </c>
      <c r="N63" s="157">
        <f t="shared" si="17"/>
        <v>0</v>
      </c>
      <c r="O63" s="204">
        <v>0</v>
      </c>
      <c r="P63" s="204">
        <v>0</v>
      </c>
      <c r="Q63" s="325">
        <v>0</v>
      </c>
    </row>
    <row r="64" spans="1:17" ht="22.5" customHeight="1">
      <c r="A64" s="86" t="s">
        <v>235</v>
      </c>
      <c r="B64" s="162">
        <f t="shared" si="18"/>
        <v>979</v>
      </c>
      <c r="C64" s="204">
        <f t="shared" si="13"/>
        <v>108</v>
      </c>
      <c r="D64" s="204">
        <f t="shared" si="14"/>
        <v>821</v>
      </c>
      <c r="E64" s="325">
        <f t="shared" si="9"/>
        <v>50</v>
      </c>
      <c r="F64" s="157">
        <f t="shared" si="15"/>
        <v>245</v>
      </c>
      <c r="G64" s="204">
        <v>108</v>
      </c>
      <c r="H64" s="204">
        <v>137</v>
      </c>
      <c r="I64" s="325">
        <v>0</v>
      </c>
      <c r="J64" s="162">
        <f t="shared" si="16"/>
        <v>734</v>
      </c>
      <c r="K64" s="204">
        <v>0</v>
      </c>
      <c r="L64" s="204">
        <v>684</v>
      </c>
      <c r="M64" s="325">
        <v>50</v>
      </c>
      <c r="N64" s="157">
        <f t="shared" si="17"/>
        <v>0</v>
      </c>
      <c r="O64" s="204">
        <v>0</v>
      </c>
      <c r="P64" s="204">
        <v>0</v>
      </c>
      <c r="Q64" s="325">
        <v>0</v>
      </c>
    </row>
    <row r="65" spans="1:17" ht="22.5" customHeight="1">
      <c r="A65" s="86" t="s">
        <v>236</v>
      </c>
      <c r="B65" s="162">
        <f t="shared" si="18"/>
        <v>773</v>
      </c>
      <c r="C65" s="204">
        <f t="shared" si="13"/>
        <v>336</v>
      </c>
      <c r="D65" s="204">
        <f t="shared" si="14"/>
        <v>409</v>
      </c>
      <c r="E65" s="325">
        <f t="shared" si="9"/>
        <v>28</v>
      </c>
      <c r="F65" s="157">
        <f t="shared" si="15"/>
        <v>336</v>
      </c>
      <c r="G65" s="204">
        <v>336</v>
      </c>
      <c r="H65" s="204">
        <v>0</v>
      </c>
      <c r="I65" s="325">
        <v>0</v>
      </c>
      <c r="J65" s="162">
        <f t="shared" si="16"/>
        <v>437</v>
      </c>
      <c r="K65" s="204">
        <v>0</v>
      </c>
      <c r="L65" s="204">
        <v>409</v>
      </c>
      <c r="M65" s="325">
        <v>28</v>
      </c>
      <c r="N65" s="157">
        <f t="shared" si="17"/>
        <v>0</v>
      </c>
      <c r="O65" s="204">
        <v>0</v>
      </c>
      <c r="P65" s="204">
        <v>0</v>
      </c>
      <c r="Q65" s="325">
        <v>0</v>
      </c>
    </row>
    <row r="66" spans="1:17" ht="22.5" customHeight="1">
      <c r="A66" s="86" t="s">
        <v>237</v>
      </c>
      <c r="B66" s="162">
        <f t="shared" si="18"/>
        <v>1048</v>
      </c>
      <c r="C66" s="204">
        <f t="shared" si="13"/>
        <v>0</v>
      </c>
      <c r="D66" s="204">
        <f t="shared" si="14"/>
        <v>919</v>
      </c>
      <c r="E66" s="325">
        <f t="shared" si="9"/>
        <v>129</v>
      </c>
      <c r="F66" s="157">
        <f t="shared" si="15"/>
        <v>74</v>
      </c>
      <c r="G66" s="204">
        <v>0</v>
      </c>
      <c r="H66" s="204">
        <v>0</v>
      </c>
      <c r="I66" s="325">
        <v>74</v>
      </c>
      <c r="J66" s="162">
        <f t="shared" si="16"/>
        <v>974</v>
      </c>
      <c r="K66" s="204">
        <v>0</v>
      </c>
      <c r="L66" s="204">
        <v>919</v>
      </c>
      <c r="M66" s="325">
        <v>55</v>
      </c>
      <c r="N66" s="157">
        <f t="shared" si="17"/>
        <v>0</v>
      </c>
      <c r="O66" s="204">
        <v>0</v>
      </c>
      <c r="P66" s="204">
        <v>0</v>
      </c>
      <c r="Q66" s="325">
        <v>0</v>
      </c>
    </row>
    <row r="67" spans="1:17" ht="22.5" customHeight="1">
      <c r="A67" s="118" t="s">
        <v>238</v>
      </c>
      <c r="B67" s="163">
        <f t="shared" si="18"/>
        <v>206</v>
      </c>
      <c r="C67" s="207">
        <f t="shared" si="13"/>
        <v>0</v>
      </c>
      <c r="D67" s="207">
        <f t="shared" si="14"/>
        <v>189</v>
      </c>
      <c r="E67" s="326">
        <f t="shared" si="9"/>
        <v>17</v>
      </c>
      <c r="F67" s="158">
        <f t="shared" si="15"/>
        <v>0</v>
      </c>
      <c r="G67" s="207">
        <v>0</v>
      </c>
      <c r="H67" s="207">
        <v>0</v>
      </c>
      <c r="I67" s="326">
        <v>0</v>
      </c>
      <c r="J67" s="163">
        <f t="shared" si="16"/>
        <v>0</v>
      </c>
      <c r="K67" s="207">
        <v>0</v>
      </c>
      <c r="L67" s="207">
        <v>0</v>
      </c>
      <c r="M67" s="326">
        <v>0</v>
      </c>
      <c r="N67" s="158">
        <f t="shared" si="17"/>
        <v>206</v>
      </c>
      <c r="O67" s="207">
        <v>0</v>
      </c>
      <c r="P67" s="207">
        <v>189</v>
      </c>
      <c r="Q67" s="326">
        <v>17</v>
      </c>
    </row>
    <row r="68" spans="1:17" ht="22.5" customHeight="1">
      <c r="A68" s="86" t="s">
        <v>239</v>
      </c>
      <c r="B68" s="162">
        <f t="shared" si="18"/>
        <v>143</v>
      </c>
      <c r="C68" s="204">
        <f t="shared" si="13"/>
        <v>0</v>
      </c>
      <c r="D68" s="204">
        <f t="shared" si="14"/>
        <v>132</v>
      </c>
      <c r="E68" s="325">
        <f t="shared" si="9"/>
        <v>11</v>
      </c>
      <c r="F68" s="157">
        <f t="shared" si="15"/>
        <v>0</v>
      </c>
      <c r="G68" s="204">
        <v>0</v>
      </c>
      <c r="H68" s="204">
        <v>0</v>
      </c>
      <c r="I68" s="325">
        <v>0</v>
      </c>
      <c r="J68" s="162">
        <f t="shared" si="16"/>
        <v>0</v>
      </c>
      <c r="K68" s="204">
        <v>0</v>
      </c>
      <c r="L68" s="204">
        <v>0</v>
      </c>
      <c r="M68" s="325">
        <v>0</v>
      </c>
      <c r="N68" s="157">
        <f t="shared" si="17"/>
        <v>143</v>
      </c>
      <c r="O68" s="204">
        <v>0</v>
      </c>
      <c r="P68" s="204">
        <v>132</v>
      </c>
      <c r="Q68" s="325">
        <v>11</v>
      </c>
    </row>
    <row r="69" spans="1:17" ht="22.5" customHeight="1" thickBot="1">
      <c r="A69" s="120" t="s">
        <v>240</v>
      </c>
      <c r="B69" s="165">
        <f t="shared" si="18"/>
        <v>46</v>
      </c>
      <c r="C69" s="213">
        <f t="shared" si="13"/>
        <v>0</v>
      </c>
      <c r="D69" s="213">
        <f t="shared" si="14"/>
        <v>43</v>
      </c>
      <c r="E69" s="328">
        <f t="shared" si="9"/>
        <v>3</v>
      </c>
      <c r="F69" s="160">
        <f t="shared" si="15"/>
        <v>0</v>
      </c>
      <c r="G69" s="213">
        <v>0</v>
      </c>
      <c r="H69" s="213">
        <v>0</v>
      </c>
      <c r="I69" s="328">
        <v>0</v>
      </c>
      <c r="J69" s="165">
        <f t="shared" si="16"/>
        <v>0</v>
      </c>
      <c r="K69" s="213">
        <v>0</v>
      </c>
      <c r="L69" s="213">
        <v>0</v>
      </c>
      <c r="M69" s="328">
        <v>0</v>
      </c>
      <c r="N69" s="160">
        <f t="shared" si="17"/>
        <v>46</v>
      </c>
      <c r="O69" s="213">
        <v>0</v>
      </c>
      <c r="P69" s="213">
        <v>43</v>
      </c>
      <c r="Q69" s="328">
        <v>3</v>
      </c>
    </row>
    <row r="70" spans="1:17" ht="45" customHeight="1" thickBot="1">
      <c r="A70" s="107" t="s">
        <v>31</v>
      </c>
      <c r="B70" s="165">
        <f>SUM(B7:B36,B43:B69)</f>
        <v>235960</v>
      </c>
      <c r="C70" s="213">
        <f aca="true" t="shared" si="19" ref="C70:Q70">SUM(C7:C36,C43:C69)</f>
        <v>17717</v>
      </c>
      <c r="D70" s="213">
        <f>SUM(D7:D36,D43:D69)</f>
        <v>198539</v>
      </c>
      <c r="E70" s="328">
        <f t="shared" si="19"/>
        <v>19704</v>
      </c>
      <c r="F70" s="160">
        <f t="shared" si="19"/>
        <v>120135</v>
      </c>
      <c r="G70" s="213">
        <f t="shared" si="19"/>
        <v>12664</v>
      </c>
      <c r="H70" s="213">
        <f t="shared" si="19"/>
        <v>93135</v>
      </c>
      <c r="I70" s="328">
        <f t="shared" si="19"/>
        <v>14336</v>
      </c>
      <c r="J70" s="165">
        <f t="shared" si="19"/>
        <v>50774</v>
      </c>
      <c r="K70" s="213">
        <f t="shared" si="19"/>
        <v>30</v>
      </c>
      <c r="L70" s="213">
        <f t="shared" si="19"/>
        <v>48419</v>
      </c>
      <c r="M70" s="328">
        <f t="shared" si="19"/>
        <v>2325</v>
      </c>
      <c r="N70" s="160">
        <f t="shared" si="19"/>
        <v>65051</v>
      </c>
      <c r="O70" s="213">
        <f t="shared" si="19"/>
        <v>5023</v>
      </c>
      <c r="P70" s="213">
        <f t="shared" si="19"/>
        <v>56985</v>
      </c>
      <c r="Q70" s="328">
        <f t="shared" si="19"/>
        <v>3043</v>
      </c>
    </row>
    <row r="71" spans="2:5" ht="32.25" customHeight="1">
      <c r="B71" s="324"/>
      <c r="C71" s="324"/>
      <c r="D71" s="324"/>
      <c r="E71" s="324"/>
    </row>
    <row r="72" ht="14.25">
      <c r="B72" s="14"/>
    </row>
    <row r="73" spans="2:6" ht="14.25">
      <c r="B73" s="14"/>
      <c r="F73" s="14"/>
    </row>
    <row r="74" ht="14.25">
      <c r="B74" s="14"/>
    </row>
  </sheetData>
  <mergeCells count="38">
    <mergeCell ref="A39:A42"/>
    <mergeCell ref="Q41:Q42"/>
    <mergeCell ref="A3:A6"/>
    <mergeCell ref="C5:C6"/>
    <mergeCell ref="D5:D6"/>
    <mergeCell ref="E5:E6"/>
    <mergeCell ref="B4:B6"/>
    <mergeCell ref="C4:E4"/>
    <mergeCell ref="M41:M42"/>
    <mergeCell ref="N41:N42"/>
    <mergeCell ref="O41:O42"/>
    <mergeCell ref="P41:P42"/>
    <mergeCell ref="G5:G6"/>
    <mergeCell ref="H5:H6"/>
    <mergeCell ref="I5:I6"/>
    <mergeCell ref="H41:H42"/>
    <mergeCell ref="I41:I42"/>
    <mergeCell ref="J41:J42"/>
    <mergeCell ref="K41:K42"/>
    <mergeCell ref="L41:L42"/>
    <mergeCell ref="F5:F6"/>
    <mergeCell ref="J5:J6"/>
    <mergeCell ref="K5:K6"/>
    <mergeCell ref="L5:L6"/>
    <mergeCell ref="M5:M6"/>
    <mergeCell ref="N5:N6"/>
    <mergeCell ref="O5:O6"/>
    <mergeCell ref="P5:P6"/>
    <mergeCell ref="Q5:Q6"/>
    <mergeCell ref="B3:Q3"/>
    <mergeCell ref="B39:Q39"/>
    <mergeCell ref="B40:B42"/>
    <mergeCell ref="C40:E40"/>
    <mergeCell ref="C41:C42"/>
    <mergeCell ref="D41:D42"/>
    <mergeCell ref="E41:E42"/>
    <mergeCell ref="F41:F42"/>
    <mergeCell ref="G41:G42"/>
  </mergeCells>
  <printOptions horizontalCentered="1"/>
  <pageMargins left="0.5905511811023623" right="0.5905511811023623" top="0.5905511811023623" bottom="0.5905511811023623" header="0.3937007874015748" footer="0.3937007874015748"/>
  <pageSetup firstPageNumber="29" useFirstPageNumber="1" fitToHeight="2" fitToWidth="2" horizontalDpi="600" verticalDpi="600" orientation="portrait" pageOrder="overThenDown" paperSize="9" scale="85" r:id="rId1"/>
  <headerFooter alignWithMargins="0">
    <oddFooter>&amp;C&amp;P</oddFooter>
  </headerFooter>
  <rowBreaks count="1" manualBreakCount="1">
    <brk id="3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愛知県</cp:lastModifiedBy>
  <cp:lastPrinted>2012-02-21T01:36:10Z</cp:lastPrinted>
  <dcterms:created xsi:type="dcterms:W3CDTF">2001-11-13T13:27:45Z</dcterms:created>
  <dcterms:modified xsi:type="dcterms:W3CDTF">2012-04-11T08:48:58Z</dcterms:modified>
  <cp:category/>
  <cp:version/>
  <cp:contentType/>
  <cp:contentStatus/>
</cp:coreProperties>
</file>