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10.2.21.165\共有フォルダ\助成G\R5\09 10月以降に向けて\06.01.24_事前通知（段階移行関係）\"/>
    </mc:Choice>
  </mc:AlternateContent>
  <xr:revisionPtr revIDLastSave="0" documentId="13_ncr:1_{4D1CDEF3-9982-44B9-9548-D5785992576F}" xr6:coauthVersionLast="47" xr6:coauthVersionMax="47" xr10:uidLastSave="{00000000-0000-0000-0000-000000000000}"/>
  <workbookProtection workbookAlgorithmName="SHA-512" workbookHashValue="39O72YftLfR3rKDH9llWAeSSMH8erIDuweNBUAKs9zBpPevqAUZzQEIJ0izFm9f4KA4Pj+MhJffPuktaKH+hfQ==" workbookSaltValue="qIn4en3Sjs1iGwKoHF3zxA==" workbookSpinCount="100000" lockStructure="1"/>
  <bookViews>
    <workbookView xWindow="-103" yWindow="-103" windowWidth="19543" windowHeight="12497" tabRatio="772" firstSheet="2" activeTab="2" xr2:uid="{6F65E667-41CE-4C20-AEDE-54A9FDB7F116}"/>
  </bookViews>
  <sheets>
    <sheet name="テーブル" sheetId="18" state="hidden" r:id="rId1"/>
    <sheet name="台帳貼り付け用" sheetId="29" state="hidden" r:id="rId2"/>
    <sheet name="はじめに入力してください" sheetId="12" r:id="rId3"/>
    <sheet name="基本情報" sheetId="27" r:id="rId4"/>
    <sheet name="振込先情報" sheetId="17" r:id="rId5"/>
    <sheet name="事前協議書" sheetId="25" state="hidden" r:id="rId6"/>
    <sheet name="表紙" sheetId="3" r:id="rId7"/>
    <sheet name="経費書" sheetId="2" r:id="rId8"/>
    <sheet name="額内訳書" sheetId="1" r:id="rId9"/>
    <sheet name="看板" sheetId="23" r:id="rId10"/>
    <sheet name="HP" sheetId="24" r:id="rId11"/>
    <sheet name="医療機器・サーモ・換気設備" sheetId="21" r:id="rId12"/>
    <sheet name="歳入歳出抄本" sheetId="15" state="hidden" r:id="rId13"/>
    <sheet name="審査意見書" sheetId="28" state="hidden" r:id="rId14"/>
  </sheets>
  <definedNames>
    <definedName name="_xlnm.Print_Area" localSheetId="10">HP!$A$2:$AV$47</definedName>
    <definedName name="_xlnm.Print_Area" localSheetId="2">はじめに入力してください!$B$1:$AC$51</definedName>
    <definedName name="_xlnm.Print_Area" localSheetId="11">医療機器・サーモ・換気設備!$A$1:$AV$73</definedName>
    <definedName name="_xlnm.Print_Area" localSheetId="8">額内訳書!$A$1:$N$12</definedName>
    <definedName name="_xlnm.Print_Area" localSheetId="9">看板!$A$2:$AV$101</definedName>
    <definedName name="_xlnm.Print_Area" localSheetId="3">基本情報!$A$1:$AI$68</definedName>
    <definedName name="_xlnm.Print_Area" localSheetId="7">経費書!$A$1:$J$18</definedName>
    <definedName name="_xlnm.Print_Area" localSheetId="12">歳入歳出抄本!$A$1:$I$44</definedName>
    <definedName name="_xlnm.Print_Area" localSheetId="5">事前協議書!$A$2:$AV$54</definedName>
    <definedName name="_xlnm.Print_Area" localSheetId="13">審査意見書!$A$1:$E$11</definedName>
    <definedName name="_xlnm.Print_Area" localSheetId="4">振込先情報!$A$2:$AJ$56</definedName>
    <definedName name="_xlnm.Print_Area" localSheetId="6">表紙!$A$2:$S$46</definedName>
    <definedName name="_xlnm.Print_Titles" localSheetId="8">額内訳書!$2:$5</definedName>
    <definedName name="令和5年">テーブル!$K$36:$K$45</definedName>
    <definedName name="令和5年10月">テーブル!$E$58:$E$60</definedName>
    <definedName name="令和5年11月">テーブル!$E$61:$E$62</definedName>
    <definedName name="令和5年12月">テーブル!$E$63:$E$64</definedName>
    <definedName name="令和5年3月">テーブル!$E$36:$E$37</definedName>
    <definedName name="令和5年4月">テーブル!$E$38:$E$39</definedName>
    <definedName name="令和5年5月">テーブル!$E$40:$E$44</definedName>
    <definedName name="令和5年6月">テーブル!$E$45:$E$48</definedName>
    <definedName name="令和5年7月">テーブル!$E$49:$E$51</definedName>
    <definedName name="令和5年8月">テーブル!$E$52:$E$55</definedName>
    <definedName name="令和5年9月">テーブル!$E$56:$E$57</definedName>
    <definedName name="令和6年">テーブル!$K$46:$K$48</definedName>
    <definedName name="令和6年1月">テーブル!$E$65</definedName>
    <definedName name="令和6年2月">テーブル!$E$66:$E$67</definedName>
    <definedName name="令和6年3月">テーブル!$E$68:$E$74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8" l="1"/>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36" i="18"/>
  <c r="AW61" i="21"/>
  <c r="AQ61" i="21" s="1"/>
  <c r="AW62" i="21"/>
  <c r="AQ62" i="21" s="1"/>
  <c r="AW63" i="21"/>
  <c r="AQ63" i="21" s="1"/>
  <c r="AW64" i="21"/>
  <c r="AQ64" i="21" s="1"/>
  <c r="AW65" i="21"/>
  <c r="AQ65" i="21" s="1"/>
  <c r="AW66" i="21"/>
  <c r="AQ66" i="21" s="1"/>
  <c r="AW60" i="21"/>
  <c r="AW40" i="21"/>
  <c r="AW17" i="21"/>
  <c r="AW18" i="21"/>
  <c r="AW19" i="21"/>
  <c r="AQ19" i="21" s="1"/>
  <c r="AW20" i="21"/>
  <c r="AQ20" i="21" s="1"/>
  <c r="AW21" i="21"/>
  <c r="AQ21" i="21" s="1"/>
  <c r="AW22" i="21"/>
  <c r="AQ22" i="21" s="1"/>
  <c r="AW23" i="21"/>
  <c r="AQ23" i="21" s="1"/>
  <c r="AW24" i="21"/>
  <c r="AQ24" i="21" s="1"/>
  <c r="AW25" i="21"/>
  <c r="AQ25" i="21" s="1"/>
  <c r="AW16" i="21"/>
  <c r="R68" i="23"/>
  <c r="AZ68" i="23"/>
  <c r="P68" i="23"/>
  <c r="R43" i="23"/>
  <c r="M37" i="18"/>
  <c r="M38" i="18"/>
  <c r="M39" i="18"/>
  <c r="M40" i="18"/>
  <c r="M41" i="18"/>
  <c r="M42" i="18"/>
  <c r="M43" i="18"/>
  <c r="M44" i="18"/>
  <c r="M45" i="18"/>
  <c r="M46" i="18"/>
  <c r="M47" i="18"/>
  <c r="M48" i="18"/>
  <c r="M49" i="18"/>
  <c r="M50" i="18"/>
  <c r="M51" i="18"/>
  <c r="M52" i="18"/>
  <c r="M36" i="18"/>
  <c r="BL23" i="21"/>
  <c r="BQ23" i="21" s="1"/>
  <c r="BH23" i="21"/>
  <c r="BG23" i="21"/>
  <c r="AX23" i="21"/>
  <c r="AL23" i="21"/>
  <c r="BL21" i="21"/>
  <c r="BQ21" i="21" s="1"/>
  <c r="BH21" i="21"/>
  <c r="BG21" i="21"/>
  <c r="AX21" i="21"/>
  <c r="AL21" i="21"/>
  <c r="BL20" i="21"/>
  <c r="BQ20" i="21" s="1"/>
  <c r="BH20" i="21"/>
  <c r="BG20" i="21"/>
  <c r="AX20" i="21"/>
  <c r="AL20" i="21"/>
  <c r="BL22" i="21"/>
  <c r="BQ22" i="21" s="1"/>
  <c r="BH22" i="21"/>
  <c r="BG22" i="21"/>
  <c r="AX22" i="21"/>
  <c r="AL22" i="21"/>
  <c r="BL24" i="21"/>
  <c r="BQ24" i="21" s="1"/>
  <c r="BH24" i="21"/>
  <c r="BG24" i="21"/>
  <c r="AX24" i="21"/>
  <c r="AL24" i="21"/>
  <c r="P43" i="23"/>
  <c r="AB79" i="23"/>
  <c r="T79" i="23"/>
  <c r="AF13" i="12"/>
  <c r="P13" i="12" s="1"/>
  <c r="P33" i="12"/>
  <c r="AH13" i="12"/>
  <c r="AG13" i="12"/>
  <c r="O13" i="12" l="1"/>
  <c r="V2" i="29"/>
  <c r="BM20" i="21"/>
  <c r="BM21" i="21"/>
  <c r="B27" i="3"/>
  <c r="BM22" i="21" l="1"/>
  <c r="BM23" i="21"/>
  <c r="AL19" i="21"/>
  <c r="AL25" i="21"/>
  <c r="AL18" i="21"/>
  <c r="AL17" i="21"/>
  <c r="AL16" i="21"/>
  <c r="AZ61" i="21" l="1"/>
  <c r="AZ62" i="21"/>
  <c r="AZ63" i="21"/>
  <c r="AZ64" i="21"/>
  <c r="AZ65" i="21"/>
  <c r="AX61" i="21"/>
  <c r="AX62" i="21"/>
  <c r="AX63" i="21"/>
  <c r="AX64" i="21"/>
  <c r="AX65" i="21"/>
  <c r="AX66" i="21"/>
  <c r="AX60" i="21"/>
  <c r="AX40" i="21"/>
  <c r="AX16" i="21"/>
  <c r="AZ33" i="21"/>
  <c r="AZ34" i="21"/>
  <c r="AX17" i="21"/>
  <c r="AX18" i="21"/>
  <c r="AX19" i="21"/>
  <c r="AX25" i="21"/>
  <c r="AZ31" i="23"/>
  <c r="AY34" i="24"/>
  <c r="AZ56" i="23"/>
  <c r="AZ43" i="23"/>
  <c r="D31" i="18"/>
  <c r="AF12" i="12"/>
  <c r="P12" i="12" s="1"/>
  <c r="R56" i="23" l="1"/>
  <c r="P56" i="23"/>
  <c r="P31" i="23"/>
  <c r="R31" i="23"/>
  <c r="O12" i="12"/>
  <c r="B30" i="18"/>
  <c r="AD53" i="27"/>
  <c r="AZ60" i="21"/>
  <c r="BM15" i="21"/>
  <c r="BM16" i="21"/>
  <c r="BM17" i="21"/>
  <c r="BM18" i="21"/>
  <c r="BM19" i="21"/>
  <c r="BM5" i="21"/>
  <c r="BD5" i="23"/>
  <c r="BF5" i="23" s="1"/>
  <c r="BD4" i="23"/>
  <c r="BF4" i="23" s="1"/>
  <c r="BD3" i="23"/>
  <c r="BF3" i="23" s="1"/>
  <c r="BD2" i="23"/>
  <c r="BF2" i="23" s="1"/>
  <c r="C31" i="18" l="1"/>
  <c r="D32" i="18"/>
  <c r="Q34" i="24" s="1"/>
  <c r="C32" i="18"/>
  <c r="R28" i="24"/>
  <c r="BH25" i="21"/>
  <c r="BH19" i="21"/>
  <c r="BH18" i="21"/>
  <c r="BH17" i="21"/>
  <c r="BH16" i="21"/>
  <c r="BG25" i="21"/>
  <c r="BG19" i="21"/>
  <c r="BG18" i="21"/>
  <c r="BG17" i="21"/>
  <c r="BG16" i="21"/>
  <c r="BH40" i="21"/>
  <c r="BG40" i="21"/>
  <c r="BG41" i="21" s="1"/>
  <c r="F30" i="23"/>
  <c r="AQ18" i="21" l="1"/>
  <c r="AQ40" i="21"/>
  <c r="AJ45" i="27"/>
  <c r="BL14" i="21"/>
  <c r="BL15" i="21"/>
  <c r="BQ15" i="21" s="1"/>
  <c r="BL16" i="21"/>
  <c r="BQ16" i="21" s="1"/>
  <c r="BL17" i="21"/>
  <c r="BQ17" i="21" s="1"/>
  <c r="BL18" i="21"/>
  <c r="BQ18" i="21" s="1"/>
  <c r="BL19" i="21"/>
  <c r="BQ19" i="21" s="1"/>
  <c r="BL12" i="21"/>
  <c r="BQ12" i="21" s="1"/>
  <c r="BL9" i="21"/>
  <c r="BL2" i="21"/>
  <c r="BL6" i="21"/>
  <c r="BQ6" i="21" s="1"/>
  <c r="BL5" i="21"/>
  <c r="BQ5" i="21" s="1"/>
  <c r="BL4" i="21"/>
  <c r="BQ4" i="21" s="1"/>
  <c r="BL3" i="21"/>
  <c r="BE4" i="24"/>
  <c r="BG4" i="24" s="1"/>
  <c r="BC66" i="27"/>
  <c r="BC67" i="27"/>
  <c r="BC68" i="27"/>
  <c r="BC69" i="27"/>
  <c r="BC70" i="27"/>
  <c r="BC71" i="27"/>
  <c r="BC72" i="27"/>
  <c r="BC73" i="27"/>
  <c r="BC74" i="27"/>
  <c r="BC75" i="27"/>
  <c r="BC76" i="27"/>
  <c r="BC77" i="27"/>
  <c r="BC78" i="27"/>
  <c r="BC79" i="27"/>
  <c r="BC80" i="27"/>
  <c r="BC81" i="27"/>
  <c r="BC82" i="27"/>
  <c r="BC83" i="27"/>
  <c r="BC84" i="27"/>
  <c r="BC85" i="27"/>
  <c r="BC86" i="27"/>
  <c r="BC87" i="27"/>
  <c r="BC88" i="27"/>
  <c r="BC89" i="27"/>
  <c r="BC90" i="27"/>
  <c r="BC91" i="27"/>
  <c r="BC92" i="27"/>
  <c r="BC93" i="27"/>
  <c r="BC94" i="27"/>
  <c r="BC95" i="27"/>
  <c r="BC96" i="27"/>
  <c r="BC97" i="27"/>
  <c r="BC98" i="27"/>
  <c r="BC99" i="27"/>
  <c r="BC100" i="27"/>
  <c r="BC101" i="27"/>
  <c r="BC102" i="27"/>
  <c r="BC103" i="27"/>
  <c r="BC104" i="27"/>
  <c r="BC105" i="27"/>
  <c r="BC106" i="27"/>
  <c r="BC107" i="27"/>
  <c r="BC108" i="27"/>
  <c r="BC109" i="27"/>
  <c r="BC110" i="27"/>
  <c r="BC111" i="27"/>
  <c r="BC112" i="27"/>
  <c r="BC113" i="27"/>
  <c r="BC114" i="27"/>
  <c r="BC115" i="27"/>
  <c r="BC116" i="27"/>
  <c r="BC117" i="27"/>
  <c r="BC118" i="27"/>
  <c r="BC119" i="27"/>
  <c r="BC120" i="27"/>
  <c r="BC121" i="27"/>
  <c r="BC122" i="27"/>
  <c r="BC123" i="27"/>
  <c r="BC124" i="27"/>
  <c r="BC125" i="27"/>
  <c r="BC126" i="27"/>
  <c r="BC127" i="27"/>
  <c r="BC128" i="27"/>
  <c r="BC129" i="27"/>
  <c r="BC130" i="27"/>
  <c r="BC131" i="27"/>
  <c r="BC132" i="27"/>
  <c r="BC133" i="27"/>
  <c r="BC134" i="27"/>
  <c r="BC135" i="27"/>
  <c r="BC136" i="27"/>
  <c r="BC137" i="27"/>
  <c r="BC138" i="27"/>
  <c r="BC139" i="27"/>
  <c r="BC140" i="27"/>
  <c r="BC141" i="27"/>
  <c r="BC142" i="27"/>
  <c r="BC143" i="27"/>
  <c r="BC144" i="27"/>
  <c r="BC145" i="27"/>
  <c r="BC146" i="27"/>
  <c r="BC147" i="27"/>
  <c r="BC148" i="27"/>
  <c r="BC149" i="27"/>
  <c r="BC150" i="27"/>
  <c r="BC151" i="27"/>
  <c r="BC152" i="27"/>
  <c r="BC153" i="27"/>
  <c r="BC154" i="27"/>
  <c r="BC155" i="27"/>
  <c r="BC156" i="27"/>
  <c r="BC157" i="27"/>
  <c r="BC158" i="27"/>
  <c r="BC159" i="27"/>
  <c r="BC160" i="27"/>
  <c r="BC161" i="27"/>
  <c r="BC162" i="27"/>
  <c r="BC163" i="27"/>
  <c r="BC164" i="27"/>
  <c r="BC165" i="27"/>
  <c r="BC166" i="27"/>
  <c r="BC167" i="27"/>
  <c r="BC168" i="27"/>
  <c r="BC169" i="27"/>
  <c r="BC170" i="27"/>
  <c r="BC171" i="27"/>
  <c r="BC172" i="27"/>
  <c r="BC173" i="27"/>
  <c r="BC174" i="27"/>
  <c r="BC175" i="27"/>
  <c r="BC176" i="27"/>
  <c r="BC177" i="27"/>
  <c r="BC178" i="27"/>
  <c r="BC179" i="27"/>
  <c r="BC180" i="27"/>
  <c r="BC181" i="27"/>
  <c r="BC182" i="27"/>
  <c r="BC183" i="27"/>
  <c r="BC184" i="27"/>
  <c r="BC185" i="27"/>
  <c r="BC186" i="27"/>
  <c r="BC187" i="27"/>
  <c r="BC188" i="27"/>
  <c r="BC189" i="27"/>
  <c r="BC190" i="27"/>
  <c r="BC191" i="27"/>
  <c r="BC192" i="27"/>
  <c r="BC193" i="27"/>
  <c r="BC194" i="27"/>
  <c r="BC195" i="27"/>
  <c r="BC196" i="27"/>
  <c r="BC197" i="27"/>
  <c r="BC198" i="27"/>
  <c r="BC199" i="27"/>
  <c r="BC200" i="27"/>
  <c r="BC201" i="27"/>
  <c r="BC202" i="27"/>
  <c r="BC203" i="27"/>
  <c r="BC204" i="27"/>
  <c r="BC205" i="27"/>
  <c r="BC206" i="27"/>
  <c r="BC207" i="27"/>
  <c r="BC208" i="27"/>
  <c r="BC209" i="27"/>
  <c r="BC210" i="27"/>
  <c r="BC211" i="27"/>
  <c r="BC212" i="27"/>
  <c r="BC213" i="27"/>
  <c r="BC214" i="27"/>
  <c r="BC215" i="27"/>
  <c r="BC216" i="27"/>
  <c r="BC217" i="27"/>
  <c r="BC218" i="27"/>
  <c r="BC219" i="27"/>
  <c r="BC220" i="27"/>
  <c r="BC221" i="27"/>
  <c r="BC222" i="27"/>
  <c r="BC223" i="27"/>
  <c r="BC224" i="27"/>
  <c r="BC225" i="27"/>
  <c r="BC226" i="27"/>
  <c r="BC227" i="27"/>
  <c r="BC228" i="27"/>
  <c r="BC229" i="27"/>
  <c r="BC230" i="27"/>
  <c r="BC231" i="27"/>
  <c r="BC232" i="27"/>
  <c r="BC233" i="27"/>
  <c r="BC234" i="27"/>
  <c r="BC235" i="27"/>
  <c r="BC236" i="27"/>
  <c r="BC237" i="27"/>
  <c r="BC238" i="27"/>
  <c r="BC239" i="27"/>
  <c r="BC240" i="27"/>
  <c r="BC241" i="27"/>
  <c r="BC242" i="27"/>
  <c r="BC243" i="27"/>
  <c r="BC244" i="27"/>
  <c r="BC245" i="27"/>
  <c r="BC246" i="27"/>
  <c r="BC247" i="27"/>
  <c r="BC248" i="27"/>
  <c r="BC249" i="27"/>
  <c r="BC250" i="27"/>
  <c r="BC251" i="27"/>
  <c r="BC252" i="27"/>
  <c r="BC253" i="27"/>
  <c r="BC254" i="27"/>
  <c r="BC255" i="27"/>
  <c r="BC256" i="27"/>
  <c r="BC257" i="27"/>
  <c r="BC258" i="27"/>
  <c r="BC259" i="27"/>
  <c r="BC260" i="27"/>
  <c r="BC261" i="27"/>
  <c r="BC262" i="27"/>
  <c r="BC263" i="27"/>
  <c r="BC264" i="27"/>
  <c r="BC265" i="27"/>
  <c r="BC266" i="27"/>
  <c r="BC267" i="27"/>
  <c r="BC268" i="27"/>
  <c r="BC269" i="27"/>
  <c r="BC270" i="27"/>
  <c r="BC271" i="27"/>
  <c r="BC272" i="27"/>
  <c r="BC273" i="27"/>
  <c r="BC274" i="27"/>
  <c r="BC275" i="27"/>
  <c r="BC276" i="27"/>
  <c r="BC277" i="27"/>
  <c r="BC278" i="27"/>
  <c r="BC279" i="27"/>
  <c r="BC280" i="27"/>
  <c r="BC281" i="27"/>
  <c r="BC282" i="27"/>
  <c r="BC283" i="27"/>
  <c r="BC284" i="27"/>
  <c r="BC285" i="27"/>
  <c r="BC286" i="27"/>
  <c r="BC287" i="27"/>
  <c r="BC288" i="27"/>
  <c r="BC289" i="27"/>
  <c r="BC290" i="27"/>
  <c r="BC291" i="27"/>
  <c r="BC292" i="27"/>
  <c r="BC293" i="27"/>
  <c r="BC294" i="27"/>
  <c r="BC295" i="27"/>
  <c r="BC296" i="27"/>
  <c r="BC297" i="27"/>
  <c r="BC298" i="27"/>
  <c r="BC299" i="27"/>
  <c r="BC300" i="27"/>
  <c r="BC301" i="27"/>
  <c r="BC302" i="27"/>
  <c r="BC303" i="27"/>
  <c r="BC304" i="27"/>
  <c r="BC305" i="27"/>
  <c r="BC306" i="27"/>
  <c r="BC307" i="27"/>
  <c r="BC308" i="27"/>
  <c r="BC309" i="27"/>
  <c r="BC310" i="27"/>
  <c r="BC311" i="27"/>
  <c r="BC312" i="27"/>
  <c r="BC313" i="27"/>
  <c r="BC314" i="27"/>
  <c r="BC315" i="27"/>
  <c r="BC316" i="27"/>
  <c r="BC317" i="27"/>
  <c r="BC318" i="27"/>
  <c r="BC319" i="27"/>
  <c r="BC320" i="27"/>
  <c r="BC321" i="27"/>
  <c r="BC322" i="27"/>
  <c r="BC323" i="27"/>
  <c r="BC324" i="27"/>
  <c r="BC325" i="27"/>
  <c r="BC326" i="27"/>
  <c r="BC327" i="27"/>
  <c r="BC328" i="27"/>
  <c r="BC329" i="27"/>
  <c r="BC330" i="27"/>
  <c r="BC331" i="27"/>
  <c r="BC332" i="27"/>
  <c r="BC333" i="27"/>
  <c r="BC334" i="27"/>
  <c r="BC335" i="27"/>
  <c r="BC336" i="27"/>
  <c r="BC337" i="27"/>
  <c r="BC338" i="27"/>
  <c r="BC339" i="27"/>
  <c r="BC340" i="27"/>
  <c r="BC341" i="27"/>
  <c r="BC342" i="27"/>
  <c r="BC343" i="27"/>
  <c r="BC344" i="27"/>
  <c r="BC345" i="27"/>
  <c r="BC346" i="27"/>
  <c r="BC347" i="27"/>
  <c r="BC348" i="27"/>
  <c r="BC349" i="27"/>
  <c r="BC350" i="27"/>
  <c r="BC351" i="27"/>
  <c r="BC352" i="27"/>
  <c r="BC353" i="27"/>
  <c r="BC354" i="27"/>
  <c r="BC355" i="27"/>
  <c r="BC356" i="27"/>
  <c r="BC357" i="27"/>
  <c r="BC358" i="27"/>
  <c r="BC359" i="27"/>
  <c r="BC360" i="27"/>
  <c r="BC361" i="27"/>
  <c r="BC362" i="27"/>
  <c r="BC363" i="27"/>
  <c r="BC364" i="27"/>
  <c r="BC365" i="27"/>
  <c r="BC366" i="27"/>
  <c r="BC367" i="27"/>
  <c r="BC368" i="27"/>
  <c r="BC369" i="27"/>
  <c r="BC370" i="27"/>
  <c r="BC371" i="27"/>
  <c r="BC372" i="27"/>
  <c r="BC373" i="27"/>
  <c r="BC374" i="27"/>
  <c r="BC375" i="27"/>
  <c r="BC376" i="27"/>
  <c r="BC377" i="27"/>
  <c r="BC378" i="27"/>
  <c r="BC379" i="27"/>
  <c r="BC380" i="27"/>
  <c r="BC381" i="27"/>
  <c r="BC382" i="27"/>
  <c r="BC383" i="27"/>
  <c r="BC384" i="27"/>
  <c r="BC385" i="27"/>
  <c r="BC386" i="27"/>
  <c r="BC387" i="27"/>
  <c r="BC388" i="27"/>
  <c r="BC389" i="27"/>
  <c r="BC390" i="27"/>
  <c r="BC391" i="27"/>
  <c r="BC392" i="27"/>
  <c r="BC393" i="27"/>
  <c r="BC394" i="27"/>
  <c r="BC395" i="27"/>
  <c r="BC396" i="27"/>
  <c r="BC397" i="27"/>
  <c r="BC398" i="27"/>
  <c r="BC399" i="27"/>
  <c r="BC400" i="27"/>
  <c r="BC401" i="27"/>
  <c r="BC402" i="27"/>
  <c r="BC403" i="27"/>
  <c r="BC404" i="27"/>
  <c r="BC405" i="27"/>
  <c r="BC406" i="27"/>
  <c r="BC407" i="27"/>
  <c r="BC408" i="27"/>
  <c r="BC409" i="27"/>
  <c r="BC410" i="27"/>
  <c r="BC411" i="27"/>
  <c r="BC412" i="27"/>
  <c r="BC413" i="27"/>
  <c r="BC414" i="27"/>
  <c r="BC415" i="27"/>
  <c r="BC416" i="27"/>
  <c r="BC417" i="27"/>
  <c r="BC418" i="27"/>
  <c r="BC419" i="27"/>
  <c r="BC420" i="27"/>
  <c r="BC421" i="27"/>
  <c r="BC422" i="27"/>
  <c r="BC423" i="27"/>
  <c r="BC424" i="27"/>
  <c r="BC425" i="27"/>
  <c r="BC426" i="27"/>
  <c r="BC427" i="27"/>
  <c r="BC428" i="27"/>
  <c r="BC429" i="27"/>
  <c r="BC430" i="27"/>
  <c r="BC431" i="27"/>
  <c r="BC432" i="27"/>
  <c r="BC433" i="27"/>
  <c r="BC434" i="27"/>
  <c r="BC435" i="27"/>
  <c r="BC436" i="27"/>
  <c r="BC437" i="27"/>
  <c r="BC438" i="27"/>
  <c r="BC439" i="27"/>
  <c r="BC440" i="27"/>
  <c r="BC441" i="27"/>
  <c r="BC442" i="27"/>
  <c r="BC443" i="27"/>
  <c r="BC444" i="27"/>
  <c r="BC445" i="27"/>
  <c r="BC446" i="27"/>
  <c r="BC447" i="27"/>
  <c r="BC448" i="27"/>
  <c r="BC449" i="27"/>
  <c r="BC450" i="27"/>
  <c r="BC451" i="27"/>
  <c r="BC452" i="27"/>
  <c r="BC453" i="27"/>
  <c r="BC454" i="27"/>
  <c r="BC455" i="27"/>
  <c r="BC456" i="27"/>
  <c r="BC457" i="27"/>
  <c r="BC458" i="27"/>
  <c r="BC459" i="27"/>
  <c r="BC460" i="27"/>
  <c r="BC461" i="27"/>
  <c r="BC462" i="27"/>
  <c r="BC463" i="27"/>
  <c r="BC464" i="27"/>
  <c r="BC465" i="27"/>
  <c r="BC466" i="27"/>
  <c r="BC467" i="27"/>
  <c r="BC468" i="27"/>
  <c r="BC469" i="27"/>
  <c r="BC470" i="27"/>
  <c r="BC471" i="27"/>
  <c r="BC472" i="27"/>
  <c r="BC473" i="27"/>
  <c r="BC474" i="27"/>
  <c r="BC475" i="27"/>
  <c r="BC476" i="27"/>
  <c r="BC477" i="27"/>
  <c r="BC478" i="27"/>
  <c r="BC479" i="27"/>
  <c r="BC480" i="27"/>
  <c r="BC481" i="27"/>
  <c r="BC482" i="27"/>
  <c r="BC483" i="27"/>
  <c r="BC484" i="27"/>
  <c r="BC485" i="27"/>
  <c r="BC486" i="27"/>
  <c r="BC487" i="27"/>
  <c r="BC488" i="27"/>
  <c r="BC489" i="27"/>
  <c r="BC490" i="27"/>
  <c r="BC491" i="27"/>
  <c r="BC492" i="27"/>
  <c r="BC493" i="27"/>
  <c r="BC494" i="27"/>
  <c r="BC495" i="27"/>
  <c r="BC496" i="27"/>
  <c r="BC497" i="27"/>
  <c r="BC498" i="27"/>
  <c r="BC499" i="27"/>
  <c r="BC500" i="27"/>
  <c r="BC501" i="27"/>
  <c r="BC502" i="27"/>
  <c r="BC503" i="27"/>
  <c r="BC504" i="27"/>
  <c r="BC505" i="27"/>
  <c r="BC506" i="27"/>
  <c r="BC507" i="27"/>
  <c r="BC508" i="27"/>
  <c r="BC509" i="27"/>
  <c r="BC510" i="27"/>
  <c r="BC511" i="27"/>
  <c r="BC512" i="27"/>
  <c r="BC513" i="27"/>
  <c r="BC514" i="27"/>
  <c r="BC515" i="27"/>
  <c r="BC516" i="27"/>
  <c r="BC517" i="27"/>
  <c r="BC518" i="27"/>
  <c r="BC519" i="27"/>
  <c r="BC520" i="27"/>
  <c r="BB66" i="27"/>
  <c r="BB67" i="27"/>
  <c r="BB68" i="27"/>
  <c r="BB69" i="27"/>
  <c r="BB70" i="27"/>
  <c r="BB71" i="27"/>
  <c r="BB72" i="27"/>
  <c r="BB73" i="27"/>
  <c r="BB74" i="27"/>
  <c r="BB75" i="27"/>
  <c r="BB76" i="27"/>
  <c r="BB77" i="27"/>
  <c r="BB78" i="27"/>
  <c r="BB79" i="27"/>
  <c r="BB80" i="27"/>
  <c r="BB81" i="27"/>
  <c r="BB82" i="27"/>
  <c r="BB83" i="27"/>
  <c r="BB84" i="27"/>
  <c r="BB85" i="27"/>
  <c r="BB86" i="27"/>
  <c r="BB87" i="27"/>
  <c r="BB88" i="27"/>
  <c r="BB89" i="27"/>
  <c r="BB90" i="27"/>
  <c r="BB91" i="27"/>
  <c r="BB92" i="27"/>
  <c r="BB93" i="27"/>
  <c r="BB94" i="27"/>
  <c r="BB95" i="27"/>
  <c r="BB96" i="27"/>
  <c r="BB97" i="27"/>
  <c r="BB98" i="27"/>
  <c r="BB99" i="27"/>
  <c r="BB100" i="27"/>
  <c r="BB101" i="27"/>
  <c r="BB102" i="27"/>
  <c r="BB103" i="27"/>
  <c r="BB104" i="27"/>
  <c r="BB105" i="27"/>
  <c r="BB106" i="27"/>
  <c r="BB107" i="27"/>
  <c r="BB108" i="27"/>
  <c r="BB109" i="27"/>
  <c r="BB110" i="27"/>
  <c r="BB111" i="27"/>
  <c r="BB112" i="27"/>
  <c r="BB113" i="27"/>
  <c r="BB114" i="27"/>
  <c r="BB115" i="27"/>
  <c r="BB116" i="27"/>
  <c r="BB117" i="27"/>
  <c r="BB118" i="27"/>
  <c r="BB119" i="27"/>
  <c r="BB120" i="27"/>
  <c r="BB121" i="27"/>
  <c r="BB122" i="27"/>
  <c r="BB123" i="27"/>
  <c r="BB124" i="27"/>
  <c r="BB125" i="27"/>
  <c r="BB126" i="27"/>
  <c r="BB127" i="27"/>
  <c r="BB128" i="27"/>
  <c r="BB129" i="27"/>
  <c r="BB130" i="27"/>
  <c r="BB131" i="27"/>
  <c r="BB132" i="27"/>
  <c r="BB133" i="27"/>
  <c r="BB134" i="27"/>
  <c r="BB135" i="27"/>
  <c r="BB136" i="27"/>
  <c r="BB137" i="27"/>
  <c r="BB138" i="27"/>
  <c r="BB139" i="27"/>
  <c r="BB140" i="27"/>
  <c r="BB141" i="27"/>
  <c r="BB142" i="27"/>
  <c r="BB143" i="27"/>
  <c r="BB144" i="27"/>
  <c r="BB145" i="27"/>
  <c r="BB146" i="27"/>
  <c r="BB147" i="27"/>
  <c r="BB148" i="27"/>
  <c r="BB149" i="27"/>
  <c r="BB150" i="27"/>
  <c r="BB151" i="27"/>
  <c r="BB152" i="27"/>
  <c r="BB153" i="27"/>
  <c r="BB154" i="27"/>
  <c r="BB155" i="27"/>
  <c r="BB156" i="27"/>
  <c r="BB157" i="27"/>
  <c r="BB158" i="27"/>
  <c r="BB159" i="27"/>
  <c r="BB160" i="27"/>
  <c r="BB161" i="27"/>
  <c r="BB162" i="27"/>
  <c r="BB163" i="27"/>
  <c r="BB164" i="27"/>
  <c r="BB165" i="27"/>
  <c r="BB166" i="27"/>
  <c r="BB167" i="27"/>
  <c r="BB168" i="27"/>
  <c r="BB169" i="27"/>
  <c r="BB170" i="27"/>
  <c r="BB171" i="27"/>
  <c r="BB172" i="27"/>
  <c r="BB173" i="27"/>
  <c r="BB174" i="27"/>
  <c r="BB175" i="27"/>
  <c r="BB176" i="27"/>
  <c r="BB177" i="27"/>
  <c r="BB178" i="27"/>
  <c r="BB179" i="27"/>
  <c r="BB180" i="27"/>
  <c r="BB181" i="27"/>
  <c r="BB182" i="27"/>
  <c r="BB183" i="27"/>
  <c r="BB184" i="27"/>
  <c r="BB185" i="27"/>
  <c r="BB186" i="27"/>
  <c r="BB187" i="27"/>
  <c r="BB188" i="27"/>
  <c r="BB189" i="27"/>
  <c r="BB190" i="27"/>
  <c r="BB191" i="27"/>
  <c r="BB192" i="27"/>
  <c r="BB193" i="27"/>
  <c r="BB194" i="27"/>
  <c r="BB195" i="27"/>
  <c r="BB196" i="27"/>
  <c r="BB197" i="27"/>
  <c r="BB198" i="27"/>
  <c r="BB199" i="27"/>
  <c r="BB200" i="27"/>
  <c r="BB201" i="27"/>
  <c r="BB202" i="27"/>
  <c r="BB203" i="27"/>
  <c r="BB204" i="27"/>
  <c r="BB205" i="27"/>
  <c r="BB206" i="27"/>
  <c r="BB207" i="27"/>
  <c r="BB208" i="27"/>
  <c r="BB209" i="27"/>
  <c r="BB210" i="27"/>
  <c r="BB211" i="27"/>
  <c r="BB212" i="27"/>
  <c r="BB213" i="27"/>
  <c r="BB214" i="27"/>
  <c r="BB215" i="27"/>
  <c r="BB216" i="27"/>
  <c r="BB217" i="27"/>
  <c r="BB218" i="27"/>
  <c r="BB219" i="27"/>
  <c r="BB220" i="27"/>
  <c r="BB221" i="27"/>
  <c r="BB222" i="27"/>
  <c r="BB223" i="27"/>
  <c r="BB224" i="27"/>
  <c r="BB225" i="27"/>
  <c r="BB226" i="27"/>
  <c r="BB227" i="27"/>
  <c r="BB228" i="27"/>
  <c r="BB229" i="27"/>
  <c r="BB230" i="27"/>
  <c r="BB231" i="27"/>
  <c r="BB232" i="27"/>
  <c r="BB233" i="27"/>
  <c r="BB234" i="27"/>
  <c r="BB235" i="27"/>
  <c r="BB236" i="27"/>
  <c r="BB237" i="27"/>
  <c r="BB238" i="27"/>
  <c r="BB239" i="27"/>
  <c r="BB240" i="27"/>
  <c r="BB241" i="27"/>
  <c r="BB242" i="27"/>
  <c r="BB243" i="27"/>
  <c r="BB244" i="27"/>
  <c r="BB245" i="27"/>
  <c r="BB246" i="27"/>
  <c r="BB247" i="27"/>
  <c r="BB248" i="27"/>
  <c r="BB249" i="27"/>
  <c r="BB250" i="27"/>
  <c r="BB251" i="27"/>
  <c r="BB252" i="27"/>
  <c r="BB253" i="27"/>
  <c r="BB254" i="27"/>
  <c r="BB255" i="27"/>
  <c r="BB256" i="27"/>
  <c r="BB257" i="27"/>
  <c r="BB258" i="27"/>
  <c r="BB259" i="27"/>
  <c r="BB260" i="27"/>
  <c r="BB261" i="27"/>
  <c r="BB262" i="27"/>
  <c r="BB263" i="27"/>
  <c r="BB264" i="27"/>
  <c r="BB265" i="27"/>
  <c r="BB266" i="27"/>
  <c r="BB267" i="27"/>
  <c r="BB268" i="27"/>
  <c r="BB269" i="27"/>
  <c r="BB270" i="27"/>
  <c r="BB271" i="27"/>
  <c r="BB272" i="27"/>
  <c r="BB273" i="27"/>
  <c r="BB274" i="27"/>
  <c r="BB275" i="27"/>
  <c r="BB276" i="27"/>
  <c r="BB277" i="27"/>
  <c r="BB278" i="27"/>
  <c r="BB279" i="27"/>
  <c r="BB280" i="27"/>
  <c r="BB281" i="27"/>
  <c r="BB282" i="27"/>
  <c r="BB283" i="27"/>
  <c r="BB284" i="27"/>
  <c r="BB285" i="27"/>
  <c r="BB286" i="27"/>
  <c r="BB287" i="27"/>
  <c r="BB288" i="27"/>
  <c r="BB289" i="27"/>
  <c r="BB290" i="27"/>
  <c r="BB291" i="27"/>
  <c r="BB292" i="27"/>
  <c r="BB293" i="27"/>
  <c r="BB294" i="27"/>
  <c r="BB295" i="27"/>
  <c r="BB296" i="27"/>
  <c r="BB297" i="27"/>
  <c r="BB298" i="27"/>
  <c r="BB299" i="27"/>
  <c r="BB300" i="27"/>
  <c r="BB301" i="27"/>
  <c r="BB302" i="27"/>
  <c r="BB303" i="27"/>
  <c r="BB304" i="27"/>
  <c r="BB305" i="27"/>
  <c r="BB306" i="27"/>
  <c r="BB307" i="27"/>
  <c r="BB308" i="27"/>
  <c r="BB309" i="27"/>
  <c r="BB310" i="27"/>
  <c r="BB311" i="27"/>
  <c r="BB312" i="27"/>
  <c r="BB313" i="27"/>
  <c r="BB314" i="27"/>
  <c r="BB315" i="27"/>
  <c r="BB316" i="27"/>
  <c r="BB317" i="27"/>
  <c r="BB318" i="27"/>
  <c r="BB319" i="27"/>
  <c r="BB320" i="27"/>
  <c r="BB321" i="27"/>
  <c r="BB322" i="27"/>
  <c r="BB323" i="27"/>
  <c r="BB324" i="27"/>
  <c r="BB325" i="27"/>
  <c r="BB326" i="27"/>
  <c r="BB327" i="27"/>
  <c r="BB328" i="27"/>
  <c r="BB329" i="27"/>
  <c r="BB330" i="27"/>
  <c r="BB331" i="27"/>
  <c r="BB332" i="27"/>
  <c r="BB333" i="27"/>
  <c r="BB334" i="27"/>
  <c r="BB335" i="27"/>
  <c r="BB336" i="27"/>
  <c r="BB337" i="27"/>
  <c r="BB338" i="27"/>
  <c r="BB339" i="27"/>
  <c r="BB340" i="27"/>
  <c r="BB341" i="27"/>
  <c r="BB342" i="27"/>
  <c r="BB343" i="27"/>
  <c r="BB344" i="27"/>
  <c r="BB345" i="27"/>
  <c r="BB346" i="27"/>
  <c r="BB347" i="27"/>
  <c r="BB348" i="27"/>
  <c r="BB349" i="27"/>
  <c r="BB350" i="27"/>
  <c r="BB351" i="27"/>
  <c r="BB352" i="27"/>
  <c r="BB353" i="27"/>
  <c r="BB354" i="27"/>
  <c r="BB355" i="27"/>
  <c r="BB356" i="27"/>
  <c r="BB357" i="27"/>
  <c r="BB358" i="27"/>
  <c r="BB359" i="27"/>
  <c r="BB360" i="27"/>
  <c r="BB361" i="27"/>
  <c r="BB362" i="27"/>
  <c r="BB363" i="27"/>
  <c r="BB364" i="27"/>
  <c r="BB365" i="27"/>
  <c r="BB366" i="27"/>
  <c r="BB367" i="27"/>
  <c r="BB368" i="27"/>
  <c r="BB369" i="27"/>
  <c r="BB370" i="27"/>
  <c r="BB371" i="27"/>
  <c r="BB372" i="27"/>
  <c r="BB373" i="27"/>
  <c r="BB374" i="27"/>
  <c r="BB375" i="27"/>
  <c r="BB376" i="27"/>
  <c r="BB377" i="27"/>
  <c r="BB378" i="27"/>
  <c r="BB379" i="27"/>
  <c r="BB380" i="27"/>
  <c r="BB381" i="27"/>
  <c r="BB382" i="27"/>
  <c r="BB383" i="27"/>
  <c r="BB384" i="27"/>
  <c r="BB385" i="27"/>
  <c r="BB386" i="27"/>
  <c r="BB387" i="27"/>
  <c r="BB388" i="27"/>
  <c r="BB389" i="27"/>
  <c r="BB390" i="27"/>
  <c r="BB391" i="27"/>
  <c r="BB392" i="27"/>
  <c r="BB393" i="27"/>
  <c r="BB394" i="27"/>
  <c r="BB395" i="27"/>
  <c r="BB396" i="27"/>
  <c r="BB397" i="27"/>
  <c r="BB398" i="27"/>
  <c r="BB399" i="27"/>
  <c r="BB400" i="27"/>
  <c r="BB401" i="27"/>
  <c r="BB402" i="27"/>
  <c r="BB403" i="27"/>
  <c r="BB404" i="27"/>
  <c r="BB405" i="27"/>
  <c r="BB406" i="27"/>
  <c r="BB407" i="27"/>
  <c r="BB408" i="27"/>
  <c r="BB409" i="27"/>
  <c r="BB410" i="27"/>
  <c r="BB411" i="27"/>
  <c r="BB412" i="27"/>
  <c r="BB413" i="27"/>
  <c r="BB414" i="27"/>
  <c r="BB415" i="27"/>
  <c r="BB416" i="27"/>
  <c r="BB417" i="27"/>
  <c r="BB418" i="27"/>
  <c r="BB419" i="27"/>
  <c r="BB420" i="27"/>
  <c r="BB421" i="27"/>
  <c r="BB422" i="27"/>
  <c r="BB423" i="27"/>
  <c r="BB424" i="27"/>
  <c r="BB425" i="27"/>
  <c r="BB426" i="27"/>
  <c r="BB427" i="27"/>
  <c r="BB428" i="27"/>
  <c r="BB429" i="27"/>
  <c r="BB430" i="27"/>
  <c r="BB431" i="27"/>
  <c r="BB432" i="27"/>
  <c r="BB433" i="27"/>
  <c r="BB434" i="27"/>
  <c r="BB435" i="27"/>
  <c r="BB436" i="27"/>
  <c r="BB437" i="27"/>
  <c r="BB438" i="27"/>
  <c r="BB439" i="27"/>
  <c r="BB440" i="27"/>
  <c r="BB441" i="27"/>
  <c r="BB442" i="27"/>
  <c r="BB443" i="27"/>
  <c r="BB444" i="27"/>
  <c r="BB445" i="27"/>
  <c r="BB446" i="27"/>
  <c r="BB447" i="27"/>
  <c r="BB448" i="27"/>
  <c r="BB449" i="27"/>
  <c r="BB450" i="27"/>
  <c r="BB451" i="27"/>
  <c r="BB452" i="27"/>
  <c r="BB453" i="27"/>
  <c r="BB454" i="27"/>
  <c r="BB455" i="27"/>
  <c r="BB456" i="27"/>
  <c r="BB457" i="27"/>
  <c r="BB458" i="27"/>
  <c r="BB459" i="27"/>
  <c r="BB460" i="27"/>
  <c r="BB461" i="27"/>
  <c r="BB462" i="27"/>
  <c r="BB463" i="27"/>
  <c r="BB464" i="27"/>
  <c r="BB465" i="27"/>
  <c r="BB466" i="27"/>
  <c r="BB467" i="27"/>
  <c r="BB468" i="27"/>
  <c r="BB469" i="27"/>
  <c r="BB470" i="27"/>
  <c r="BB471" i="27"/>
  <c r="BB472" i="27"/>
  <c r="BB473" i="27"/>
  <c r="BB474" i="27"/>
  <c r="BB475" i="27"/>
  <c r="BB476" i="27"/>
  <c r="BB477" i="27"/>
  <c r="BB478" i="27"/>
  <c r="BB479" i="27"/>
  <c r="BB480" i="27"/>
  <c r="BB481" i="27"/>
  <c r="BB482" i="27"/>
  <c r="BB483" i="27"/>
  <c r="BB484" i="27"/>
  <c r="BB485" i="27"/>
  <c r="BB486" i="27"/>
  <c r="BB487" i="27"/>
  <c r="BB488" i="27"/>
  <c r="BB489" i="27"/>
  <c r="BB490" i="27"/>
  <c r="BB491" i="27"/>
  <c r="BB492" i="27"/>
  <c r="BB493" i="27"/>
  <c r="BB494" i="27"/>
  <c r="BB495" i="27"/>
  <c r="BB496" i="27"/>
  <c r="BB497" i="27"/>
  <c r="BB498" i="27"/>
  <c r="BB499" i="27"/>
  <c r="BB500" i="27"/>
  <c r="BB501" i="27"/>
  <c r="BB502" i="27"/>
  <c r="BB503" i="27"/>
  <c r="BB504" i="27"/>
  <c r="BB505" i="27"/>
  <c r="BB506" i="27"/>
  <c r="BB507" i="27"/>
  <c r="BB508" i="27"/>
  <c r="BB509" i="27"/>
  <c r="BB510" i="27"/>
  <c r="BB511" i="27"/>
  <c r="BB512" i="27"/>
  <c r="BB513" i="27"/>
  <c r="BB514" i="27"/>
  <c r="BB515" i="27"/>
  <c r="BB516" i="27"/>
  <c r="BB517" i="27"/>
  <c r="BB518" i="27"/>
  <c r="BB519" i="27"/>
  <c r="BB520" i="27"/>
  <c r="BB65" i="27"/>
  <c r="BC65" i="27" s="1"/>
  <c r="B51" i="27" l="1"/>
  <c r="AZ32" i="21"/>
  <c r="BM3" i="21"/>
  <c r="AQ60" i="21"/>
  <c r="AZ59" i="21"/>
  <c r="AQ17" i="21"/>
  <c r="AZ31" i="21"/>
  <c r="AQ16" i="21"/>
  <c r="AW26" i="21"/>
  <c r="AZ30" i="21"/>
  <c r="BM4" i="21"/>
  <c r="BQ14" i="21"/>
  <c r="BM14" i="21"/>
  <c r="BM6" i="21"/>
  <c r="BQ9" i="21"/>
  <c r="BQ3" i="21"/>
  <c r="BQ2" i="21"/>
  <c r="H51" i="27"/>
  <c r="H52" i="27" s="1"/>
  <c r="X51" i="27"/>
  <c r="X52" i="27" s="1"/>
  <c r="T51" i="27"/>
  <c r="T52" i="27" s="1"/>
  <c r="L51" i="27"/>
  <c r="L52" i="27" s="1"/>
  <c r="N51" i="27"/>
  <c r="N52" i="27" s="1"/>
  <c r="R51" i="27"/>
  <c r="R52" i="27" s="1"/>
  <c r="AD51" i="27"/>
  <c r="AD52" i="27" s="1"/>
  <c r="V51" i="27"/>
  <c r="V52" i="27" s="1"/>
  <c r="J51" i="27"/>
  <c r="J52" i="27" s="1"/>
  <c r="Z51" i="27"/>
  <c r="Z52" i="27" s="1"/>
  <c r="P51" i="27"/>
  <c r="P52" i="27" s="1"/>
  <c r="D51" i="27"/>
  <c r="D52" i="27" s="1"/>
  <c r="AB51" i="27"/>
  <c r="AB52" i="27" s="1"/>
  <c r="F51" i="27"/>
  <c r="F52" i="27" s="1"/>
  <c r="AJ21" i="27" l="1"/>
  <c r="F24" i="27"/>
  <c r="B52" i="27"/>
  <c r="AF51" i="27"/>
  <c r="AJ8" i="27" l="1"/>
  <c r="AF50" i="27"/>
  <c r="AF52" i="27" s="1"/>
  <c r="AF35" i="12"/>
  <c r="AF33" i="12"/>
  <c r="C19" i="18"/>
  <c r="E19" i="18"/>
  <c r="D19" i="18"/>
  <c r="E14" i="18"/>
  <c r="D14" i="18"/>
  <c r="W33" i="12"/>
  <c r="U33" i="12"/>
  <c r="AB33" i="12" s="1"/>
  <c r="T33" i="12"/>
  <c r="AA33" i="12" s="1"/>
  <c r="S33" i="12"/>
  <c r="Z33" i="12" s="1"/>
  <c r="R33" i="12"/>
  <c r="Y33" i="12" s="1"/>
  <c r="Q33" i="12"/>
  <c r="X33" i="12" s="1"/>
  <c r="O33" i="12"/>
  <c r="V33" i="12" s="1"/>
  <c r="O6" i="12"/>
  <c r="AE33" i="12" l="1"/>
  <c r="S2" i="29" l="1"/>
  <c r="K2" i="29"/>
  <c r="J2" i="29"/>
  <c r="I2" i="29"/>
  <c r="H2" i="29"/>
  <c r="G2" i="29"/>
  <c r="F2" i="29"/>
  <c r="E2" i="29"/>
  <c r="D2" i="29"/>
  <c r="C14" i="18" l="1"/>
  <c r="A2" i="28"/>
  <c r="O20" i="12"/>
  <c r="O25" i="12"/>
  <c r="O24" i="12"/>
  <c r="O23" i="12"/>
  <c r="O22" i="12"/>
  <c r="O21" i="12"/>
  <c r="O19" i="12"/>
  <c r="P25" i="12"/>
  <c r="P24" i="12"/>
  <c r="P23" i="12"/>
  <c r="P22" i="12"/>
  <c r="P21" i="12"/>
  <c r="P20" i="12"/>
  <c r="P19" i="12"/>
  <c r="E1" i="28"/>
  <c r="A4" i="28"/>
  <c r="AD8" i="15" l="1"/>
  <c r="AD6" i="15"/>
  <c r="AB8" i="15"/>
  <c r="AB6" i="15"/>
  <c r="AB83" i="23"/>
  <c r="R71" i="23"/>
  <c r="R73" i="23"/>
  <c r="R72" i="23"/>
  <c r="AF70" i="23"/>
  <c r="AD70" i="23"/>
  <c r="R70" i="23"/>
  <c r="H67" i="23"/>
  <c r="F67" i="23"/>
  <c r="R27" i="24"/>
  <c r="R26" i="24"/>
  <c r="N79" i="23"/>
  <c r="R79" i="23" s="1"/>
  <c r="AF58" i="23"/>
  <c r="AD58" i="23"/>
  <c r="R59" i="23"/>
  <c r="R58" i="23"/>
  <c r="R61" i="23"/>
  <c r="R60" i="23"/>
  <c r="R34" i="23"/>
  <c r="R37" i="23"/>
  <c r="R36" i="23"/>
  <c r="R35" i="23"/>
  <c r="R33" i="23"/>
  <c r="R46" i="23"/>
  <c r="R47" i="23"/>
  <c r="R48" i="23"/>
  <c r="R49" i="23"/>
  <c r="AF33" i="23"/>
  <c r="AD33" i="23"/>
  <c r="R45" i="23"/>
  <c r="D21" i="25"/>
  <c r="D20" i="25"/>
  <c r="P32" i="12"/>
  <c r="AJ9" i="27"/>
  <c r="AJ5" i="27"/>
  <c r="AJ30" i="27"/>
  <c r="AJ29" i="27"/>
  <c r="AJ28" i="27"/>
  <c r="AJ27" i="27" s="1"/>
  <c r="AJ20" i="27" s="1"/>
  <c r="A45" i="27"/>
  <c r="AJ62" i="27"/>
  <c r="AJ65" i="27"/>
  <c r="AJ59" i="27"/>
  <c r="AJ54" i="27" s="1"/>
  <c r="A54" i="27" s="1"/>
  <c r="AD59" i="23" l="1"/>
  <c r="AF59" i="23"/>
  <c r="AF49" i="23"/>
  <c r="AD49" i="23"/>
  <c r="AF48" i="23"/>
  <c r="AD48" i="23"/>
  <c r="AF47" i="23"/>
  <c r="AD47" i="23"/>
  <c r="AF46" i="23"/>
  <c r="AD46" i="23"/>
  <c r="AD36" i="23"/>
  <c r="AF37" i="23"/>
  <c r="AD37" i="23"/>
  <c r="V49" i="23"/>
  <c r="R62" i="23"/>
  <c r="V62" i="23" s="1"/>
  <c r="V73" i="23"/>
  <c r="AF73" i="23" s="1"/>
  <c r="V72" i="23"/>
  <c r="AD72" i="23" s="1"/>
  <c r="V71" i="23"/>
  <c r="AD71" i="23" s="1"/>
  <c r="V60" i="23"/>
  <c r="AD60" i="23" s="1"/>
  <c r="R74" i="23"/>
  <c r="V74" i="23" s="1"/>
  <c r="V46" i="23"/>
  <c r="V61" i="23"/>
  <c r="AF61" i="23" s="1"/>
  <c r="V59" i="23"/>
  <c r="V47" i="23"/>
  <c r="V48" i="23"/>
  <c r="R38" i="23"/>
  <c r="V38" i="23" s="1"/>
  <c r="R29" i="24"/>
  <c r="V27" i="24"/>
  <c r="AF27" i="24" s="1"/>
  <c r="V28" i="24"/>
  <c r="V34" i="23"/>
  <c r="AD34" i="23" s="1"/>
  <c r="V37" i="23"/>
  <c r="V36" i="23"/>
  <c r="AF36" i="23" s="1"/>
  <c r="V35" i="23"/>
  <c r="AD35" i="23" s="1"/>
  <c r="AM1" i="27"/>
  <c r="AN1" i="27"/>
  <c r="A27" i="27"/>
  <c r="AK1" i="27"/>
  <c r="A5" i="27"/>
  <c r="AF28" i="24" l="1"/>
  <c r="AD28" i="24"/>
  <c r="AD27" i="24"/>
  <c r="AF72" i="23"/>
  <c r="AF71" i="23"/>
  <c r="AD73" i="23"/>
  <c r="AD61" i="23"/>
  <c r="AF60" i="23"/>
  <c r="AF35" i="23"/>
  <c r="AD38" i="23"/>
  <c r="AF34" i="23"/>
  <c r="AF62" i="23"/>
  <c r="AD62" i="23"/>
  <c r="AD74" i="23" l="1"/>
  <c r="AD67" i="23" s="1"/>
  <c r="AF74" i="23"/>
  <c r="AF38" i="23"/>
  <c r="Z30" i="23"/>
  <c r="BC28" i="23" s="1"/>
  <c r="AN53" i="3"/>
  <c r="B14" i="2"/>
  <c r="B12" i="2"/>
  <c r="B10" i="2"/>
  <c r="B8" i="2"/>
  <c r="B6" i="2"/>
  <c r="G4" i="1"/>
  <c r="A31" i="24"/>
  <c r="AL66" i="21"/>
  <c r="AL65" i="21"/>
  <c r="AL64" i="21"/>
  <c r="AL63" i="21"/>
  <c r="AL62" i="21"/>
  <c r="AL61" i="21"/>
  <c r="AW67" i="21" s="1"/>
  <c r="BM24" i="21" s="1"/>
  <c r="AL60" i="21"/>
  <c r="AL40" i="21"/>
  <c r="Z67" i="23" l="1"/>
  <c r="BE5" i="23" s="1"/>
  <c r="B67" i="21"/>
  <c r="P29" i="12"/>
  <c r="O29" i="12"/>
  <c r="AY5" i="24"/>
  <c r="AF45" i="23"/>
  <c r="AD45" i="23"/>
  <c r="H42" i="23"/>
  <c r="F42" i="23"/>
  <c r="AY5" i="23" l="1"/>
  <c r="BC31" i="23"/>
  <c r="AX33" i="23"/>
  <c r="B64" i="23"/>
  <c r="R50" i="23"/>
  <c r="V50" i="23" s="1"/>
  <c r="B12" i="3"/>
  <c r="C50" i="12"/>
  <c r="C45" i="12"/>
  <c r="C44" i="12"/>
  <c r="C43" i="12"/>
  <c r="B2" i="15"/>
  <c r="B39" i="25"/>
  <c r="AI34" i="25"/>
  <c r="AI33" i="25"/>
  <c r="B1" i="15"/>
  <c r="B1" i="1"/>
  <c r="B2" i="1"/>
  <c r="B1" i="2"/>
  <c r="C4" i="1"/>
  <c r="J6" i="2"/>
  <c r="F5" i="2"/>
  <c r="D5" i="2"/>
  <c r="G4" i="2"/>
  <c r="B2" i="2"/>
  <c r="B18" i="3"/>
  <c r="B17" i="3"/>
  <c r="AF8" i="25"/>
  <c r="AL9" i="25"/>
  <c r="AF9" i="25"/>
  <c r="AF7" i="25"/>
  <c r="AD52" i="25"/>
  <c r="AD53" i="25"/>
  <c r="AB81" i="23"/>
  <c r="H55" i="23"/>
  <c r="F55" i="23"/>
  <c r="AD55" i="23" l="1"/>
  <c r="Z55" i="23"/>
  <c r="F34" i="24"/>
  <c r="AF26" i="24"/>
  <c r="AD26" i="24"/>
  <c r="T80" i="23"/>
  <c r="V80" i="23" s="1"/>
  <c r="AE83" i="23" s="1"/>
  <c r="T81" i="23"/>
  <c r="V81" i="23" s="1"/>
  <c r="T82" i="23"/>
  <c r="V82" i="23" s="1"/>
  <c r="T83" i="23"/>
  <c r="V83" i="23" s="1"/>
  <c r="T84" i="23"/>
  <c r="V84" i="23" s="1"/>
  <c r="T85" i="23"/>
  <c r="V85" i="23" s="1"/>
  <c r="V79" i="23"/>
  <c r="AE81" i="23" s="1"/>
  <c r="N80" i="23"/>
  <c r="R80" i="23" s="1"/>
  <c r="N81" i="23"/>
  <c r="R81" i="23" s="1"/>
  <c r="N82" i="23"/>
  <c r="R82" i="23" s="1"/>
  <c r="N83" i="23"/>
  <c r="R83" i="23" s="1"/>
  <c r="N84" i="23"/>
  <c r="R84" i="23" s="1"/>
  <c r="N85" i="23"/>
  <c r="R85" i="23" s="1"/>
  <c r="H30" i="23"/>
  <c r="AF29" i="24" l="1"/>
  <c r="AD29" i="24"/>
  <c r="AX23" i="24" s="1"/>
  <c r="BE4" i="23"/>
  <c r="BC30" i="23"/>
  <c r="R86" i="23"/>
  <c r="AJ81" i="23"/>
  <c r="AE79" i="23"/>
  <c r="AH79" i="23" s="1"/>
  <c r="AJ83" i="23"/>
  <c r="N86" i="23"/>
  <c r="AH81" i="23"/>
  <c r="AP9" i="1"/>
  <c r="BH26" i="21"/>
  <c r="BG26" i="21"/>
  <c r="S34" i="24"/>
  <c r="V29" i="24"/>
  <c r="AW23" i="24" l="1"/>
  <c r="AJ79" i="23"/>
  <c r="AH83" i="23"/>
  <c r="AH85" i="23" s="1"/>
  <c r="A76" i="23" l="1"/>
  <c r="AF50" i="23"/>
  <c r="AD50" i="23"/>
  <c r="A23" i="24" l="1"/>
  <c r="B52" i="23" l="1"/>
  <c r="AX32" i="23"/>
  <c r="AY4" i="24"/>
  <c r="T6" i="24" s="1"/>
  <c r="AY4" i="23"/>
  <c r="AZ4" i="24"/>
  <c r="P28" i="12" l="1"/>
  <c r="O28" i="12"/>
  <c r="BD35" i="24"/>
  <c r="P48" i="12"/>
  <c r="BF4" i="24"/>
  <c r="AO3" i="24"/>
  <c r="O2" i="29" s="1"/>
  <c r="D7" i="1"/>
  <c r="O48" i="12"/>
  <c r="AE48" i="12" s="1"/>
  <c r="AP7" i="1"/>
  <c r="AE44" i="12"/>
  <c r="BE37" i="24" l="1"/>
  <c r="J7" i="1" s="1"/>
  <c r="BE38" i="24"/>
  <c r="L7" i="1" s="1"/>
  <c r="BF36" i="24"/>
  <c r="BE36" i="24" s="1"/>
  <c r="H7" i="1" s="1"/>
  <c r="BE7" i="24"/>
  <c r="BF5" i="24"/>
  <c r="BE5" i="24" s="1"/>
  <c r="BE6" i="24"/>
  <c r="C7" i="1"/>
  <c r="E7" i="1"/>
  <c r="F7" i="1" s="1"/>
  <c r="AT7" i="1"/>
  <c r="B36" i="3"/>
  <c r="M28" i="12" l="1"/>
  <c r="K28" i="12"/>
  <c r="I28" i="12"/>
  <c r="AG7" i="1"/>
  <c r="AH7" i="1"/>
  <c r="E16" i="18"/>
  <c r="D16" i="18"/>
  <c r="C16" i="18"/>
  <c r="AE28" i="12" l="1"/>
  <c r="AF7" i="1"/>
  <c r="AE7" i="1" s="1"/>
  <c r="AF25" i="12" l="1"/>
  <c r="AF24" i="12"/>
  <c r="W2" i="29" s="1"/>
  <c r="AF23" i="12"/>
  <c r="AF22" i="12"/>
  <c r="U2" i="29" s="1"/>
  <c r="AF21" i="12"/>
  <c r="AF20" i="12"/>
  <c r="AF19" i="12"/>
  <c r="AF18" i="12"/>
  <c r="AI36" i="25" s="1"/>
  <c r="AF15" i="12"/>
  <c r="AF16" i="12"/>
  <c r="T2" i="29" l="1"/>
  <c r="B32" i="3"/>
  <c r="AF7" i="12"/>
  <c r="AF8" i="12"/>
  <c r="AF9" i="12"/>
  <c r="AF10" i="12"/>
  <c r="AF11" i="12"/>
  <c r="AF6" i="12"/>
  <c r="P18" i="12"/>
  <c r="AE24" i="12" l="1"/>
  <c r="O17" i="12" l="1"/>
  <c r="AF17" i="12" l="1"/>
  <c r="AI35" i="25" s="1"/>
  <c r="P17" i="12"/>
  <c r="AO7" i="1"/>
  <c r="L45" i="3" l="1"/>
  <c r="L2" i="29" s="1"/>
  <c r="AT10" i="1"/>
  <c r="AP10" i="1" l="1"/>
  <c r="AT9" i="1"/>
  <c r="G30" i="17"/>
  <c r="H29" i="17"/>
  <c r="I29" i="17"/>
  <c r="J29" i="17"/>
  <c r="K29" i="17"/>
  <c r="L29" i="17"/>
  <c r="M29" i="17"/>
  <c r="G29" i="17"/>
  <c r="G28" i="17"/>
  <c r="AE23" i="12"/>
  <c r="G26" i="17"/>
  <c r="G25" i="17"/>
  <c r="H24" i="17"/>
  <c r="I24" i="17"/>
  <c r="G24" i="17"/>
  <c r="H23" i="17"/>
  <c r="I23" i="17"/>
  <c r="J23" i="17"/>
  <c r="G23" i="17"/>
  <c r="AE25" i="12"/>
  <c r="AE22" i="12"/>
  <c r="AE21" i="12"/>
  <c r="AE20" i="12"/>
  <c r="AE19" i="12"/>
  <c r="BH3" i="21" l="1"/>
  <c r="BG3" i="21"/>
  <c r="AS7" i="1"/>
  <c r="AR7" i="1"/>
  <c r="AQ7" i="1"/>
  <c r="C8" i="2"/>
  <c r="BG4" i="21"/>
  <c r="D16" i="2" l="1"/>
  <c r="N5" i="3" l="1"/>
  <c r="P15" i="12"/>
  <c r="E36" i="15" l="1"/>
  <c r="B2" i="29"/>
  <c r="I17" i="2"/>
  <c r="H17" i="2"/>
  <c r="G17" i="2"/>
  <c r="F17" i="2"/>
  <c r="E17" i="2"/>
  <c r="D17" i="2"/>
  <c r="C17" i="2"/>
  <c r="AP8" i="1" l="1"/>
  <c r="AC8" i="15"/>
  <c r="AC6" i="15"/>
  <c r="AA8" i="15"/>
  <c r="AA6" i="15"/>
  <c r="Z8" i="15"/>
  <c r="Z6" i="15"/>
  <c r="Y6" i="15"/>
  <c r="Y8" i="15"/>
  <c r="O32" i="12"/>
  <c r="AE32" i="12" s="1"/>
  <c r="AT8" i="1" l="1"/>
  <c r="AF6" i="15"/>
  <c r="AF13" i="15"/>
  <c r="AM5" i="12" l="1"/>
  <c r="AM4" i="12" l="1"/>
  <c r="AM3" i="12"/>
  <c r="AE14" i="12"/>
  <c r="AE6" i="12"/>
  <c r="P16" i="12"/>
  <c r="P11" i="12"/>
  <c r="O11" i="12"/>
  <c r="AE11" i="12" s="1"/>
  <c r="C36" i="15" l="1"/>
  <c r="O3" i="12"/>
  <c r="AE3" i="12" s="1"/>
  <c r="P3" i="12"/>
  <c r="O7" i="12"/>
  <c r="AE7" i="12" s="1"/>
  <c r="O8" i="12"/>
  <c r="O9" i="12"/>
  <c r="O15" i="12"/>
  <c r="O16" i="12"/>
  <c r="O18" i="12"/>
  <c r="Z11" i="15" l="1"/>
  <c r="P50" i="12" s="1"/>
  <c r="AE16" i="12"/>
  <c r="L44" i="3"/>
  <c r="AE18" i="12"/>
  <c r="L46" i="3"/>
  <c r="AE15" i="12"/>
  <c r="L43" i="3"/>
  <c r="Y11" i="15"/>
  <c r="O50" i="12" s="1"/>
  <c r="AE50" i="12" s="1"/>
  <c r="L9" i="3"/>
  <c r="AE10" i="12"/>
  <c r="P10" i="12"/>
  <c r="P7" i="12"/>
  <c r="P9" i="12"/>
  <c r="AE9" i="12"/>
  <c r="O10" i="12"/>
  <c r="AE17" i="12"/>
  <c r="P8" i="12"/>
  <c r="AE8" i="12"/>
  <c r="P6" i="12"/>
  <c r="N11" i="17" l="1"/>
  <c r="N9" i="17"/>
  <c r="N7" i="17"/>
  <c r="S7" i="17" l="1"/>
  <c r="E38" i="15"/>
  <c r="H3" i="2" l="1"/>
  <c r="E40" i="15" l="1"/>
  <c r="L10" i="3"/>
  <c r="S11" i="17" s="1"/>
  <c r="W17" i="17" l="1"/>
  <c r="W15" i="17"/>
  <c r="W13" i="17"/>
  <c r="N4" i="3"/>
  <c r="L8" i="3"/>
  <c r="S9" i="17" s="1"/>
  <c r="E8" i="2" l="1"/>
  <c r="F8" i="2" s="1"/>
  <c r="G8" i="2" s="1"/>
  <c r="H8" i="2" l="1"/>
  <c r="I8" i="2" s="1"/>
  <c r="AP1" i="1" l="1"/>
  <c r="AY6" i="23" l="1"/>
  <c r="A21" i="27" l="1"/>
  <c r="AL1" i="27"/>
  <c r="AE1" i="27" s="1"/>
  <c r="O46" i="12" l="1"/>
  <c r="AE46" i="12" s="1"/>
  <c r="P46" i="12"/>
  <c r="O26" i="12"/>
  <c r="A20" i="27"/>
  <c r="AE26" i="12" l="1"/>
  <c r="P26" i="12"/>
  <c r="AE13" i="12" l="1"/>
  <c r="C2" i="29"/>
  <c r="AW41" i="21" l="1"/>
  <c r="P31" i="12" l="1"/>
  <c r="O31" i="12"/>
  <c r="BC39" i="21"/>
  <c r="BC41" i="21" s="1"/>
  <c r="J10" i="1" s="1"/>
  <c r="K31" i="12" s="1"/>
  <c r="BM2" i="21"/>
  <c r="BH41" i="21"/>
  <c r="BH4" i="21" s="1"/>
  <c r="BM9" i="21"/>
  <c r="AZ41" i="21"/>
  <c r="B33" i="21" s="1"/>
  <c r="AW3" i="21"/>
  <c r="D10" i="1"/>
  <c r="C10" i="1" s="1"/>
  <c r="AQ41" i="21"/>
  <c r="BM12" i="21"/>
  <c r="BA59" i="21"/>
  <c r="Z42" i="23"/>
  <c r="BC29" i="23" s="1"/>
  <c r="AD42" i="23"/>
  <c r="AD30" i="23"/>
  <c r="P30" i="12" l="1"/>
  <c r="O30" i="12"/>
  <c r="BC61" i="21"/>
  <c r="BB61" i="21" s="1"/>
  <c r="H8" i="1" s="1"/>
  <c r="I29" i="12" s="1"/>
  <c r="BB63" i="21"/>
  <c r="L8" i="1" s="1"/>
  <c r="M29" i="12" s="1"/>
  <c r="BB62" i="21"/>
  <c r="J8" i="1" s="1"/>
  <c r="K29" i="12" s="1"/>
  <c r="BD40" i="21"/>
  <c r="BC40" i="21" s="1"/>
  <c r="H10" i="1" s="1"/>
  <c r="I31" i="12" s="1"/>
  <c r="BC42" i="21"/>
  <c r="L10" i="1" s="1"/>
  <c r="M31" i="12" s="1"/>
  <c r="AZ35" i="21"/>
  <c r="BG5" i="21"/>
  <c r="AZ67" i="21"/>
  <c r="BH5" i="21" s="1"/>
  <c r="BL25" i="21"/>
  <c r="AQ67" i="21"/>
  <c r="AW4" i="21"/>
  <c r="D8" i="1"/>
  <c r="AO3" i="21"/>
  <c r="E10" i="1" s="1"/>
  <c r="F10" i="1" s="1"/>
  <c r="C14" i="2" s="1"/>
  <c r="E14" i="2" s="1"/>
  <c r="F14" i="2" s="1"/>
  <c r="G14" i="2" s="1"/>
  <c r="H14" i="2" s="1"/>
  <c r="I14" i="2" s="1"/>
  <c r="Q2" i="29"/>
  <c r="BO11" i="21"/>
  <c r="BP9" i="21"/>
  <c r="BO9" i="21" s="1"/>
  <c r="BO10" i="21"/>
  <c r="AZ26" i="21"/>
  <c r="B8" i="21" s="1"/>
  <c r="BL7" i="21"/>
  <c r="D9" i="1"/>
  <c r="AW2" i="21"/>
  <c r="AQ26" i="21"/>
  <c r="AY2" i="23"/>
  <c r="AX30" i="23"/>
  <c r="BE2" i="23"/>
  <c r="BE3" i="23"/>
  <c r="AX31" i="23"/>
  <c r="AY3" i="23"/>
  <c r="AX2" i="21" l="1"/>
  <c r="P49" i="12" s="1"/>
  <c r="B48" i="21"/>
  <c r="BB34" i="21"/>
  <c r="J9" i="1" s="1"/>
  <c r="BB35" i="21"/>
  <c r="L9" i="1" s="1"/>
  <c r="BC33" i="21"/>
  <c r="BB33" i="21" s="1"/>
  <c r="H9" i="1" s="1"/>
  <c r="AZ2" i="23"/>
  <c r="AX29" i="23"/>
  <c r="AY29" i="23" s="1"/>
  <c r="B26" i="23" s="1"/>
  <c r="C8" i="1"/>
  <c r="C9" i="1"/>
  <c r="BP2" i="21"/>
  <c r="BO2" i="21" s="1"/>
  <c r="BO4" i="21"/>
  <c r="BO3" i="21"/>
  <c r="R2" i="29"/>
  <c r="AO4" i="21"/>
  <c r="E8" i="1" s="1"/>
  <c r="F8" i="1" s="1"/>
  <c r="C10" i="2" s="1"/>
  <c r="E10" i="2" s="1"/>
  <c r="F10" i="2" s="1"/>
  <c r="G10" i="2" s="1"/>
  <c r="H10" i="2" s="1"/>
  <c r="I10" i="2" s="1"/>
  <c r="BO17" i="21"/>
  <c r="BP15" i="21"/>
  <c r="BO15" i="21" s="1"/>
  <c r="BO16" i="21"/>
  <c r="AH10" i="1"/>
  <c r="AO2" i="21"/>
  <c r="E9" i="1" s="1"/>
  <c r="F9" i="1" s="1"/>
  <c r="C12" i="2" s="1"/>
  <c r="E12" i="2" s="1"/>
  <c r="F12" i="2" s="1"/>
  <c r="G12" i="2" s="1"/>
  <c r="H12" i="2" s="1"/>
  <c r="I12" i="2" s="1"/>
  <c r="P2" i="29"/>
  <c r="AF10" i="1"/>
  <c r="AE10" i="1" s="1"/>
  <c r="AO10" i="1"/>
  <c r="AG10" i="1"/>
  <c r="O27" i="12" l="1"/>
  <c r="P27" i="12"/>
  <c r="O49" i="12"/>
  <c r="AE49" i="12" s="1"/>
  <c r="BC32" i="23"/>
  <c r="BC34" i="23" s="1"/>
  <c r="BD7" i="23"/>
  <c r="BD10" i="23" s="1"/>
  <c r="T6" i="23"/>
  <c r="AO3" i="23"/>
  <c r="AT6" i="1" s="1"/>
  <c r="AO5" i="21"/>
  <c r="D6" i="1"/>
  <c r="O47" i="12"/>
  <c r="AE47" i="12" s="1"/>
  <c r="P47" i="12"/>
  <c r="AP6" i="1"/>
  <c r="M30" i="12"/>
  <c r="AH9" i="1"/>
  <c r="K30" i="12"/>
  <c r="AG9" i="1"/>
  <c r="AE31" i="12"/>
  <c r="AS10" i="1"/>
  <c r="AR10" i="1"/>
  <c r="AQ10" i="1"/>
  <c r="AG8" i="1"/>
  <c r="I30" i="12"/>
  <c r="AF9" i="1"/>
  <c r="AE9" i="1" s="1"/>
  <c r="AO9" i="1"/>
  <c r="AF8" i="1"/>
  <c r="AE8" i="1" s="1"/>
  <c r="AO8" i="1"/>
  <c r="AH8" i="1"/>
  <c r="BC35" i="23" l="1"/>
  <c r="L6" i="1" s="1"/>
  <c r="M27" i="12" s="1"/>
  <c r="BD33" i="23"/>
  <c r="BC33" i="23" s="1"/>
  <c r="H6" i="1" s="1"/>
  <c r="J6" i="1"/>
  <c r="BD9" i="23"/>
  <c r="BE8" i="23"/>
  <c r="BD8" i="23" s="1"/>
  <c r="E6" i="1"/>
  <c r="F6" i="1" s="1"/>
  <c r="C6" i="2" s="1"/>
  <c r="C6" i="1"/>
  <c r="N2" i="29"/>
  <c r="AE30" i="12"/>
  <c r="AE29" i="12"/>
  <c r="AR8" i="1"/>
  <c r="AS8" i="1"/>
  <c r="AQ8" i="1"/>
  <c r="AS9" i="1"/>
  <c r="AR9" i="1"/>
  <c r="AQ9" i="1"/>
  <c r="AH6" i="1" l="1"/>
  <c r="K27" i="12"/>
  <c r="AO6" i="1"/>
  <c r="AQ6" i="1" s="1"/>
  <c r="AF6" i="1"/>
  <c r="AE6" i="1" s="1"/>
  <c r="C15" i="18" s="1"/>
  <c r="I27" i="12"/>
  <c r="AG6" i="1"/>
  <c r="F11" i="1"/>
  <c r="E6" i="2"/>
  <c r="C16" i="2"/>
  <c r="AE27" i="12" l="1"/>
  <c r="AS6" i="1"/>
  <c r="AR6" i="1"/>
  <c r="D15" i="18"/>
  <c r="E15" i="18"/>
  <c r="H4" i="2"/>
  <c r="AT2" i="1"/>
  <c r="AU2" i="1"/>
  <c r="AT12" i="1"/>
  <c r="E16" i="2"/>
  <c r="F6" i="2"/>
  <c r="F16" i="2" l="1"/>
  <c r="G6" i="2"/>
  <c r="H6" i="2" l="1"/>
  <c r="G16" i="2"/>
  <c r="I6" i="2" l="1"/>
  <c r="I16" i="2" s="1"/>
  <c r="H16" i="2"/>
  <c r="I18" i="2" l="1"/>
  <c r="M2" i="29" s="1"/>
  <c r="G18" i="2"/>
  <c r="D24" i="25" l="1"/>
  <c r="F35" i="12"/>
  <c r="AE12" i="12"/>
  <c r="AN52" i="3"/>
  <c r="O42" i="12" l="1"/>
  <c r="O43" i="12" s="1"/>
  <c r="G35" i="12"/>
  <c r="P42" i="12" s="1"/>
  <c r="AK3" i="25"/>
  <c r="O45" i="12" l="1"/>
  <c r="AE45" i="12" s="1"/>
  <c r="AE42" i="12"/>
  <c r="AE43" i="12"/>
  <c r="P45" i="12"/>
  <c r="P43" i="12"/>
  <c r="F39" i="12" l="1"/>
  <c r="H20" i="3" s="1"/>
  <c r="A20" i="17" s="1"/>
  <c r="G39" i="12" l="1"/>
</calcChain>
</file>

<file path=xl/sharedStrings.xml><?xml version="1.0" encoding="utf-8"?>
<sst xmlns="http://schemas.openxmlformats.org/spreadsheetml/2006/main" count="823" uniqueCount="497">
  <si>
    <t>数量</t>
    <phoneticPr fontId="1"/>
  </si>
  <si>
    <t>差引事業費
(A)―(B)
（C）</t>
    <phoneticPr fontId="1"/>
  </si>
  <si>
    <t>合計</t>
    <rPh sb="0" eb="2">
      <t>ゴウケイ</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</si>
  <si>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</si>
  <si>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</si>
  <si>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</si>
  <si>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</si>
  <si>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</si>
  <si>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</si>
  <si>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</si>
  <si>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</si>
  <si>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</si>
  <si>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</si>
  <si>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</si>
  <si>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</si>
  <si>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</si>
  <si>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</si>
  <si>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歳入</t>
    <rPh sb="0" eb="2">
      <t>サイニュウ</t>
    </rPh>
    <phoneticPr fontId="4"/>
  </si>
  <si>
    <t>款</t>
    <rPh sb="0" eb="1">
      <t>カン</t>
    </rPh>
    <phoneticPr fontId="4"/>
  </si>
  <si>
    <t>項</t>
    <rPh sb="0" eb="1">
      <t>コウ</t>
    </rPh>
    <phoneticPr fontId="4"/>
  </si>
  <si>
    <t>目</t>
    <rPh sb="0" eb="1">
      <t>モク</t>
    </rPh>
    <phoneticPr fontId="4"/>
  </si>
  <si>
    <t>予算現額</t>
    <rPh sb="0" eb="2">
      <t>ヨサン</t>
    </rPh>
    <rPh sb="2" eb="3">
      <t>ウツツ</t>
    </rPh>
    <rPh sb="3" eb="4">
      <t>ガク</t>
    </rPh>
    <phoneticPr fontId="4"/>
  </si>
  <si>
    <t>節</t>
    <rPh sb="0" eb="1">
      <t>セツ</t>
    </rPh>
    <phoneticPr fontId="4"/>
  </si>
  <si>
    <t>備考</t>
    <rPh sb="0" eb="2">
      <t>ビコウ</t>
    </rPh>
    <phoneticPr fontId="4"/>
  </si>
  <si>
    <t>区分</t>
    <rPh sb="0" eb="2">
      <t>クブン</t>
    </rPh>
    <phoneticPr fontId="4"/>
  </si>
  <si>
    <t>金額</t>
    <rPh sb="0" eb="2">
      <t>キンガク</t>
    </rPh>
    <phoneticPr fontId="4"/>
  </si>
  <si>
    <t>歳出</t>
    <rPh sb="0" eb="2">
      <t>サイシュツ</t>
    </rPh>
    <phoneticPr fontId="4"/>
  </si>
  <si>
    <t>　　　原本と相違ないことを証明します。</t>
    <rPh sb="3" eb="5">
      <t>ゲンポン</t>
    </rPh>
    <rPh sb="6" eb="8">
      <t>ソウイ</t>
    </rPh>
    <rPh sb="13" eb="15">
      <t>ショウメイ</t>
    </rPh>
    <phoneticPr fontId="4"/>
  </si>
  <si>
    <t>代表者職氏名</t>
    <rPh sb="0" eb="3">
      <t>ダイヒョウシャ</t>
    </rPh>
    <rPh sb="3" eb="4">
      <t>ショク</t>
    </rPh>
    <rPh sb="4" eb="6">
      <t>シメイ</t>
    </rPh>
    <phoneticPr fontId="1"/>
  </si>
  <si>
    <t>１　施設の名称及び所在地</t>
    <phoneticPr fontId="1"/>
  </si>
  <si>
    <t>５　添付書類</t>
    <rPh sb="2" eb="4">
      <t>テンプ</t>
    </rPh>
    <rPh sb="4" eb="6">
      <t>ショルイ</t>
    </rPh>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</si>
  <si>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</si>
  <si>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
  </si>
  <si>
    <t>施設の名称</t>
    <rPh sb="0" eb="2">
      <t>シセツ</t>
    </rPh>
    <rPh sb="3" eb="5">
      <t>メイショウ</t>
    </rPh>
    <phoneticPr fontId="1"/>
  </si>
  <si>
    <t>品目</t>
    <rPh sb="1" eb="2">
      <t>モク</t>
    </rPh>
    <phoneticPr fontId="1"/>
  </si>
  <si>
    <t>金額</t>
    <phoneticPr fontId="1"/>
  </si>
  <si>
    <t>備考</t>
    <phoneticPr fontId="1"/>
  </si>
  <si>
    <t>品目</t>
    <rPh sb="0" eb="1">
      <t>ヒン</t>
    </rPh>
    <rPh sb="1" eb="2">
      <t>モク</t>
    </rPh>
    <phoneticPr fontId="1"/>
  </si>
  <si>
    <t>所　  在 　 地</t>
    <rPh sb="0" eb="1">
      <t>トコロ</t>
    </rPh>
    <rPh sb="4" eb="5">
      <t>ザイ</t>
    </rPh>
    <rPh sb="8" eb="9">
      <t>チ</t>
    </rPh>
    <phoneticPr fontId="1"/>
  </si>
  <si>
    <t>総事業費
(A)</t>
    <phoneticPr fontId="1"/>
  </si>
  <si>
    <t>規格（型式）</t>
    <phoneticPr fontId="1"/>
  </si>
  <si>
    <t>計</t>
    <rPh sb="0" eb="1">
      <t>ケイ</t>
    </rPh>
    <phoneticPr fontId="1"/>
  </si>
  <si>
    <t>単価（税込）</t>
    <rPh sb="3" eb="5">
      <t>ゼイコ</t>
    </rPh>
    <phoneticPr fontId="1"/>
  </si>
  <si>
    <t>判定</t>
    <rPh sb="0" eb="2">
      <t>ハンテイ</t>
    </rPh>
    <phoneticPr fontId="1"/>
  </si>
  <si>
    <t>単価(税抜)</t>
    <rPh sb="0" eb="2">
      <t>タンカ</t>
    </rPh>
    <rPh sb="3" eb="4">
      <t>ゼイ</t>
    </rPh>
    <rPh sb="4" eb="5">
      <t>ヌ</t>
    </rPh>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</si>
  <si>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</si>
  <si>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</si>
  <si>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</si>
  <si>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</si>
  <si>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</si>
  <si>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</si>
  <si>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</si>
  <si>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</si>
  <si>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</si>
  <si>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この
シート</t>
    <phoneticPr fontId="1"/>
  </si>
  <si>
    <t>氏　名</t>
    <rPh sb="0" eb="1">
      <t>シ</t>
    </rPh>
    <rPh sb="2" eb="3">
      <t>ナ</t>
    </rPh>
    <phoneticPr fontId="12"/>
  </si>
  <si>
    <t>担　当　者</t>
    <rPh sb="0" eb="1">
      <t>タン</t>
    </rPh>
    <rPh sb="2" eb="3">
      <t>トウ</t>
    </rPh>
    <rPh sb="4" eb="5">
      <t>モノ</t>
    </rPh>
    <phoneticPr fontId="12"/>
  </si>
  <si>
    <t>電話番号</t>
    <rPh sb="0" eb="1">
      <t>デン</t>
    </rPh>
    <rPh sb="1" eb="2">
      <t>ハナシ</t>
    </rPh>
    <rPh sb="2" eb="4">
      <t>バンゴウ</t>
    </rPh>
    <phoneticPr fontId="12"/>
  </si>
  <si>
    <t>メールアドレス</t>
  </si>
  <si>
    <t>金融機関コード</t>
    <rPh sb="0" eb="2">
      <t>キンユウ</t>
    </rPh>
    <rPh sb="2" eb="4">
      <t>キカン</t>
    </rPh>
    <phoneticPr fontId="4"/>
  </si>
  <si>
    <t>支店番号</t>
    <rPh sb="0" eb="2">
      <t>シテン</t>
    </rPh>
    <rPh sb="2" eb="4">
      <t>バンゴウ</t>
    </rPh>
    <phoneticPr fontId="4"/>
  </si>
  <si>
    <t>金融機関名</t>
    <rPh sb="0" eb="2">
      <t>キンユウ</t>
    </rPh>
    <rPh sb="2" eb="4">
      <t>キカン</t>
    </rPh>
    <rPh sb="4" eb="5">
      <t>メイ</t>
    </rPh>
    <phoneticPr fontId="4"/>
  </si>
  <si>
    <t>店　名</t>
    <rPh sb="0" eb="1">
      <t>ミセ</t>
    </rPh>
    <rPh sb="2" eb="3">
      <t>ナ</t>
    </rPh>
    <phoneticPr fontId="4"/>
  </si>
  <si>
    <t>預金種類</t>
    <rPh sb="0" eb="2">
      <t>ヨキン</t>
    </rPh>
    <rPh sb="2" eb="4">
      <t>シュルイ</t>
    </rPh>
    <phoneticPr fontId="4"/>
  </si>
  <si>
    <t>口座番号</t>
    <rPh sb="0" eb="2">
      <t>コウザ</t>
    </rPh>
    <rPh sb="2" eb="4">
      <t>バンゴウ</t>
    </rPh>
    <phoneticPr fontId="4"/>
  </si>
  <si>
    <t>口座名義（ｶﾅ）</t>
    <rPh sb="0" eb="2">
      <t>コウザ</t>
    </rPh>
    <rPh sb="2" eb="4">
      <t>メイギ</t>
    </rPh>
    <phoneticPr fontId="12"/>
  </si>
  <si>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2"/>
  </si>
  <si>
    <t>以下のとおりです。</t>
    <phoneticPr fontId="1"/>
  </si>
  <si>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</si>
  <si>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2"/>
  </si>
  <si>
    <t>コメント</t>
    <phoneticPr fontId="1"/>
  </si>
  <si>
    <t>総合判定</t>
    <rPh sb="0" eb="2">
      <t>ソウゴウ</t>
    </rPh>
    <rPh sb="2" eb="4">
      <t>ハンテイ</t>
    </rPh>
    <phoneticPr fontId="1"/>
  </si>
  <si>
    <t>判定</t>
    <rPh sb="0" eb="2">
      <t>ハンテイ</t>
    </rPh>
    <phoneticPr fontId="1"/>
  </si>
  <si>
    <t>総合判定</t>
    <rPh sb="0" eb="2">
      <t>ソウゴウ</t>
    </rPh>
    <rPh sb="2" eb="4">
      <t>ハンテイ</t>
    </rPh>
    <phoneticPr fontId="1"/>
  </si>
  <si>
    <t>コメント</t>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</si>
  <si>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</si>
  <si>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</si>
  <si>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</si>
  <si>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</si>
  <si>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</si>
  <si>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</si>
  <si>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</si>
  <si>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</si>
  <si>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</si>
  <si>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</si>
  <si>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</si>
  <si>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</si>
  <si>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</si>
  <si>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</si>
  <si>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</si>
  <si>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</si>
  <si>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</si>
  <si>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総合判定</t>
    <rPh sb="0" eb="2">
      <t>ソウゴウ</t>
    </rPh>
    <rPh sb="2" eb="4">
      <t>ハンテイ</t>
    </rPh>
    <phoneticPr fontId="1"/>
  </si>
  <si>
    <t>　　　公立医療機関</t>
    <rPh sb="3" eb="5">
      <t>コウリツ</t>
    </rPh>
    <rPh sb="5" eb="7">
      <t>イリョウ</t>
    </rPh>
    <rPh sb="7" eb="9">
      <t>キカン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</si>
  <si>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</si>
  <si>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申立てする</t>
    <rPh sb="0" eb="2">
      <t>モウシタテ</t>
    </rPh>
    <phoneticPr fontId="1"/>
  </si>
  <si>
    <t>申し立てしない</t>
    <rPh sb="0" eb="1">
      <t>モウ</t>
    </rPh>
    <rPh sb="2" eb="3">
      <t>タ</t>
    </rPh>
    <phoneticPr fontId="1"/>
  </si>
  <si>
    <t>歳入</t>
    <rPh sb="0" eb="2">
      <t>サイニュウ</t>
    </rPh>
    <phoneticPr fontId="1"/>
  </si>
  <si>
    <t>歳出</t>
    <rPh sb="0" eb="2">
      <t>サイシュツ</t>
    </rPh>
    <phoneticPr fontId="1"/>
  </si>
  <si>
    <t>入力区分</t>
    <rPh sb="0" eb="2">
      <t>ニュウリョク</t>
    </rPh>
    <rPh sb="2" eb="4">
      <t>クブン</t>
    </rPh>
    <phoneticPr fontId="1"/>
  </si>
  <si>
    <t>（任意）文書を発出する際に文書番号が必要である場合は入力してください</t>
    <phoneticPr fontId="1"/>
  </si>
  <si>
    <t>↘</t>
    <phoneticPr fontId="1"/>
  </si>
  <si>
    <t>その他</t>
    <rPh sb="2" eb="3">
      <t>タ</t>
    </rPh>
    <phoneticPr fontId="1"/>
  </si>
  <si>
    <t>交付決定日</t>
    <rPh sb="0" eb="2">
      <t>コウフ</t>
    </rPh>
    <rPh sb="2" eb="4">
      <t>ケッテイ</t>
    </rPh>
    <rPh sb="4" eb="5">
      <t>ビ</t>
    </rPh>
    <phoneticPr fontId="1"/>
  </si>
  <si>
    <t>国事業完了日</t>
    <rPh sb="0" eb="1">
      <t>クニ</t>
    </rPh>
    <rPh sb="1" eb="3">
      <t>ジギョウ</t>
    </rPh>
    <rPh sb="3" eb="5">
      <t>カンリョウ</t>
    </rPh>
    <rPh sb="5" eb="6">
      <t>ビ</t>
    </rPh>
    <phoneticPr fontId="1"/>
  </si>
  <si>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</si>
  <si>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</si>
  <si>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無</t>
    <rPh sb="0" eb="1">
      <t>ナ</t>
    </rPh>
    <phoneticPr fontId="1"/>
  </si>
  <si>
    <t>振込先口座名義（半角ｶﾅ）</t>
    <rPh sb="3" eb="5">
      <t>コウザ</t>
    </rPh>
    <rPh sb="5" eb="7">
      <t>メイギ</t>
    </rPh>
    <rPh sb="8" eb="10">
      <t>ハンカク</t>
    </rPh>
    <phoneticPr fontId="1"/>
  </si>
  <si>
    <t>金融機関名</t>
    <rPh sb="0" eb="2">
      <t>キンユウ</t>
    </rPh>
    <rPh sb="2" eb="4">
      <t>キカン</t>
    </rPh>
    <rPh sb="4" eb="5">
      <t>メイ</t>
    </rPh>
    <phoneticPr fontId="1"/>
  </si>
  <si>
    <t>申請者情報</t>
    <rPh sb="0" eb="3">
      <t>シンセイシャ</t>
    </rPh>
    <rPh sb="3" eb="5">
      <t>ジョウホウ</t>
    </rPh>
    <phoneticPr fontId="1"/>
  </si>
  <si>
    <t>振込先情報</t>
    <rPh sb="0" eb="3">
      <t>フリコミサキ</t>
    </rPh>
    <rPh sb="3" eb="5">
      <t>ジョウホウ</t>
    </rPh>
    <phoneticPr fontId="1"/>
  </si>
  <si>
    <t>申立て</t>
    <rPh sb="0" eb="1">
      <t>モウ</t>
    </rPh>
    <rPh sb="1" eb="2">
      <t>リツ</t>
    </rPh>
    <phoneticPr fontId="1"/>
  </si>
  <si>
    <t>店名</t>
    <rPh sb="0" eb="2">
      <t>テンメイ</t>
    </rPh>
    <phoneticPr fontId="1"/>
  </si>
  <si>
    <t>預金種類</t>
    <rPh sb="0" eb="2">
      <t>ヨキン</t>
    </rPh>
    <rPh sb="2" eb="4">
      <t>シュルイ</t>
    </rPh>
    <phoneticPr fontId="1"/>
  </si>
  <si>
    <t>口座番号</t>
    <rPh sb="0" eb="2">
      <t>コウザ</t>
    </rPh>
    <rPh sb="2" eb="4">
      <t>バンゴウ</t>
    </rPh>
    <phoneticPr fontId="1"/>
  </si>
  <si>
    <t>【補助要件】</t>
    <rPh sb="1" eb="3">
      <t>ホジョ</t>
    </rPh>
    <rPh sb="3" eb="5">
      <t>ヨウケン</t>
    </rPh>
    <phoneticPr fontId="1"/>
  </si>
  <si>
    <t>②</t>
    <phoneticPr fontId="1"/>
  </si>
  <si>
    <t>①</t>
    <phoneticPr fontId="1"/>
  </si>
  <si>
    <t>単価(税込)</t>
    <rPh sb="0" eb="2">
      <t>タンカ</t>
    </rPh>
    <rPh sb="3" eb="5">
      <t>ゼイコ</t>
    </rPh>
    <phoneticPr fontId="1"/>
  </si>
  <si>
    <t>金額(税込)</t>
    <rPh sb="0" eb="2">
      <t>キンガク</t>
    </rPh>
    <rPh sb="3" eb="5">
      <t>ゼイコ</t>
    </rPh>
    <phoneticPr fontId="1"/>
  </si>
  <si>
    <t>設置場所</t>
    <rPh sb="0" eb="2">
      <t>セッチ</t>
    </rPh>
    <rPh sb="2" eb="4">
      <t>バショ</t>
    </rPh>
    <phoneticPr fontId="1"/>
  </si>
  <si>
    <t>院内診療スペース</t>
    <rPh sb="0" eb="2">
      <t>インナイ</t>
    </rPh>
    <rPh sb="2" eb="4">
      <t>シンリョウ</t>
    </rPh>
    <phoneticPr fontId="1"/>
  </si>
  <si>
    <t>簡易診療室</t>
    <rPh sb="0" eb="2">
      <t>カンイ</t>
    </rPh>
    <rPh sb="2" eb="5">
      <t>シンリョウシツ</t>
    </rPh>
    <phoneticPr fontId="1"/>
  </si>
  <si>
    <t>判定</t>
    <rPh sb="0" eb="2">
      <t>ハンテイ</t>
    </rPh>
    <phoneticPr fontId="1"/>
  </si>
  <si>
    <t>コメント</t>
    <phoneticPr fontId="1"/>
  </si>
  <si>
    <t>品名</t>
    <rPh sb="0" eb="2">
      <t>ヒンメイ</t>
    </rPh>
    <phoneticPr fontId="1"/>
  </si>
  <si>
    <t>総合
判定</t>
    <rPh sb="0" eb="2">
      <t>ソウゴウ</t>
    </rPh>
    <rPh sb="3" eb="5">
      <t>ハンテイ</t>
    </rPh>
    <phoneticPr fontId="1"/>
  </si>
  <si>
    <t>明細</t>
    <rPh sb="0" eb="2">
      <t>メイサイ</t>
    </rPh>
    <phoneticPr fontId="1"/>
  </si>
  <si>
    <t>選定額</t>
    <rPh sb="0" eb="2">
      <t>センテイ</t>
    </rPh>
    <rPh sb="2" eb="3">
      <t>ガク</t>
    </rPh>
    <phoneticPr fontId="1"/>
  </si>
  <si>
    <t>コメント</t>
    <phoneticPr fontId="1"/>
  </si>
  <si>
    <t>変更申請期間（起）</t>
    <rPh sb="0" eb="2">
      <t>ヘンコウ</t>
    </rPh>
    <rPh sb="2" eb="4">
      <t>シンセイ</t>
    </rPh>
    <rPh sb="4" eb="6">
      <t>キカン</t>
    </rPh>
    <rPh sb="7" eb="8">
      <t>オ</t>
    </rPh>
    <phoneticPr fontId="1"/>
  </si>
  <si>
    <t>変更申請期間（終）</t>
    <rPh sb="0" eb="2">
      <t>ヘンコウ</t>
    </rPh>
    <rPh sb="2" eb="4">
      <t>シンセイ</t>
    </rPh>
    <rPh sb="4" eb="6">
      <t>キカン</t>
    </rPh>
    <rPh sb="7" eb="8">
      <t>オ</t>
    </rPh>
    <phoneticPr fontId="1"/>
  </si>
  <si>
    <t>受付（起）</t>
    <rPh sb="0" eb="2">
      <t>ウケツケ</t>
    </rPh>
    <phoneticPr fontId="1"/>
  </si>
  <si>
    <t>受付（終）</t>
    <rPh sb="0" eb="2">
      <t>ウケツケ</t>
    </rPh>
    <phoneticPr fontId="1"/>
  </si>
  <si>
    <t>《以下の品目を申請する場合は、設置場所がわかる図面、購入品目の規格等がわかるカタログ及び見積書を提出すること。》</t>
    <rPh sb="1" eb="3">
      <t>イカ</t>
    </rPh>
    <rPh sb="4" eb="6">
      <t>ヒンモク</t>
    </rPh>
    <rPh sb="7" eb="9">
      <t>シンセイ</t>
    </rPh>
    <rPh sb="11" eb="13">
      <t>バアイ</t>
    </rPh>
    <rPh sb="15" eb="17">
      <t>セッチ</t>
    </rPh>
    <rPh sb="17" eb="19">
      <t>バショ</t>
    </rPh>
    <rPh sb="23" eb="25">
      <t>ズメン</t>
    </rPh>
    <rPh sb="26" eb="28">
      <t>コウニュウ</t>
    </rPh>
    <rPh sb="28" eb="30">
      <t>ヒンモク</t>
    </rPh>
    <rPh sb="31" eb="33">
      <t>キカク</t>
    </rPh>
    <rPh sb="33" eb="34">
      <t>トウ</t>
    </rPh>
    <rPh sb="42" eb="43">
      <t>オヨ</t>
    </rPh>
    <rPh sb="44" eb="47">
      <t>ミツモリショ</t>
    </rPh>
    <rPh sb="48" eb="50">
      <t>テイシュツ</t>
    </rPh>
    <phoneticPr fontId="1"/>
  </si>
  <si>
    <t>年</t>
    <rPh sb="0" eb="1">
      <t>ネン</t>
    </rPh>
    <phoneticPr fontId="1"/>
  </si>
  <si>
    <t>月</t>
    <rPh sb="0" eb="1">
      <t>ツキ</t>
    </rPh>
    <phoneticPr fontId="1"/>
  </si>
  <si>
    <t>日</t>
    <rPh sb="0" eb="1">
      <t>ヒ</t>
    </rPh>
    <phoneticPr fontId="1"/>
  </si>
  <si>
    <t>項目</t>
    <rPh sb="0" eb="2">
      <t>コウモク</t>
    </rPh>
    <phoneticPr fontId="1"/>
  </si>
  <si>
    <t>国事業開始日</t>
    <rPh sb="0" eb="1">
      <t>クニ</t>
    </rPh>
    <rPh sb="1" eb="3">
      <t>ジギョウ</t>
    </rPh>
    <rPh sb="3" eb="5">
      <t>カイシ</t>
    </rPh>
    <rPh sb="5" eb="6">
      <t>ビ</t>
    </rPh>
    <phoneticPr fontId="1"/>
  </si>
  <si>
    <t>提出日（年度）</t>
    <rPh sb="0" eb="2">
      <t>テイシュツ</t>
    </rPh>
    <rPh sb="2" eb="3">
      <t>ビ</t>
    </rPh>
    <rPh sb="4" eb="6">
      <t>ネンド</t>
    </rPh>
    <phoneticPr fontId="1"/>
  </si>
  <si>
    <r>
      <t>１．はじめに
　　今回申請するにあたり、以下の記入欄に必要事項を入力してください。
　　→　記入欄右の「判定」が全て「○」となり、</t>
    </r>
    <r>
      <rPr>
        <b/>
        <u/>
        <sz val="10"/>
        <color rgb="FFFF0000"/>
        <rFont val="游ゴシック"/>
        <family val="3"/>
        <charset val="128"/>
        <scheme val="minor"/>
      </rPr>
      <t>赤表示が全て白表示に変われば入力完了</t>
    </r>
    <r>
      <rPr>
        <b/>
        <sz val="10"/>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</si>
  <si>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0"/>
        <color rgb="FFFF0000"/>
        <rFont val="游ゴシック"/>
        <family val="3"/>
        <charset val="128"/>
        <scheme val="minor"/>
      </rPr>
      <t>提出にあたっては「総合判定」が「○」になっていることを必ず確認</t>
    </r>
    <r>
      <rPr>
        <b/>
        <sz val="10"/>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</si>
  <si>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転記用</t>
    <rPh sb="0" eb="2">
      <t>テンキ</t>
    </rPh>
    <rPh sb="2" eb="3">
      <t>ヨウ</t>
    </rPh>
    <phoneticPr fontId="1"/>
  </si>
  <si>
    <t>―</t>
    <phoneticPr fontId="1"/>
  </si>
  <si>
    <t xml:space="preserve">― </t>
    <phoneticPr fontId="1"/>
  </si>
  <si>
    <t>不備の点</t>
    <rPh sb="0" eb="2">
      <t>フビ</t>
    </rPh>
    <rPh sb="3" eb="4">
      <t>テン</t>
    </rPh>
    <phoneticPr fontId="1"/>
  </si>
  <si>
    <t>申立事項</t>
    <rPh sb="0" eb="2">
      <t>モウシタ</t>
    </rPh>
    <rPh sb="2" eb="4">
      <t>ジコウ</t>
    </rPh>
    <phoneticPr fontId="1"/>
  </si>
  <si>
    <t>総合</t>
    <rPh sb="0" eb="2">
      <t>ソウゴウ</t>
    </rPh>
    <phoneticPr fontId="1"/>
  </si>
  <si>
    <t>事業完了（予定）日</t>
    <phoneticPr fontId="1"/>
  </si>
  <si>
    <t>振込先通帳写し　貼り付け用台紙
令和5年度　新型コロナウイルス感染症外来対応医療機関確保事業費補助金</t>
    <rPh sb="0" eb="3">
      <t>フリコミサキ</t>
    </rPh>
    <rPh sb="3" eb="5">
      <t>ツウチョウ</t>
    </rPh>
    <rPh sb="5" eb="6">
      <t>ウツ</t>
    </rPh>
    <rPh sb="8" eb="9">
      <t>ハ</t>
    </rPh>
    <rPh sb="10" eb="11">
      <t>ツ</t>
    </rPh>
    <rPh sb="12" eb="13">
      <t>ヨウ</t>
    </rPh>
    <rPh sb="13" eb="15">
      <t>ダイシ</t>
    </rPh>
    <rPh sb="34" eb="47">
      <t>ガイライタイオウイリョウキカンカクホジギョウヒ</t>
    </rPh>
    <phoneticPr fontId="12"/>
  </si>
  <si>
    <t>医療機器</t>
    <rPh sb="0" eb="4">
      <t>イリョウキキ</t>
    </rPh>
    <phoneticPr fontId="1"/>
  </si>
  <si>
    <t>（２）契約書及び納品書の写し、検収調書の写し等事業経費等を確認できる書類</t>
    <phoneticPr fontId="1"/>
  </si>
  <si>
    <t>（３）その他参考となる書類</t>
    <rPh sb="5" eb="6">
      <t>タ</t>
    </rPh>
    <rPh sb="6" eb="8">
      <t>サンコウ</t>
    </rPh>
    <rPh sb="11" eb="13">
      <t>ショルイ</t>
    </rPh>
    <phoneticPr fontId="1"/>
  </si>
  <si>
    <t>サーモグラフィーカメラ</t>
    <phoneticPr fontId="1"/>
  </si>
  <si>
    <t xml:space="preserve">
本枠内に振込先口座の通帳の表紙見開きの写しを貼り付けしてください。
挙証資料（品目に係る納品書等）とともに
愛知県感染症対策課助成グループへ郵送してください。
（封筒余白に「コロナ外来対応医療機関確保事業費補助金交付申請」と朱書すること。）
</t>
    <rPh sb="46" eb="49">
      <t>ノウヒンショ</t>
    </rPh>
    <rPh sb="94" eb="107">
      <t>ガイライタイオウイリョウキカンカクホジギョウヒ</t>
    </rPh>
    <phoneticPr fontId="12"/>
  </si>
  <si>
    <t>金融機関番号</t>
    <rPh sb="0" eb="6">
      <t>キンユウキカンバンゴウ</t>
    </rPh>
    <phoneticPr fontId="1"/>
  </si>
  <si>
    <t>支店番号</t>
    <rPh sb="0" eb="4">
      <t>シテンバンゴウ</t>
    </rPh>
    <phoneticPr fontId="1"/>
  </si>
  <si>
    <t>選定額
(E)</t>
    <phoneticPr fontId="1"/>
  </si>
  <si>
    <t>県補助
基本額
(F)</t>
    <phoneticPr fontId="1"/>
  </si>
  <si>
    <t>県補助額
(F)×10/10
(G)</t>
    <phoneticPr fontId="1"/>
  </si>
  <si>
    <t>注１「県補助額」(G)には、１，０００円未満を切り捨てた額を記入すること。</t>
    <phoneticPr fontId="1"/>
  </si>
  <si>
    <t>交付申請兼実績報告書</t>
    <rPh sb="0" eb="4">
      <t>コウフシンセイ</t>
    </rPh>
    <rPh sb="4" eb="5">
      <t>ケン</t>
    </rPh>
    <rPh sb="5" eb="10">
      <t>ジッセキホウコクショ</t>
    </rPh>
    <phoneticPr fontId="1"/>
  </si>
  <si>
    <t>年</t>
    <phoneticPr fontId="1"/>
  </si>
  <si>
    <t>（１）歳入歳出決算書書（見込書）抄本（様式１-3）</t>
    <phoneticPr fontId="1"/>
  </si>
  <si>
    <t>４　初度設備整備基準算出内訳及び対象経費実支出額内訳（様式１-2）</t>
    <rPh sb="2" eb="4">
      <t>ショド</t>
    </rPh>
    <phoneticPr fontId="1"/>
  </si>
  <si>
    <t>３　経費精算書（様式１-1）</t>
    <phoneticPr fontId="1"/>
  </si>
  <si>
    <t>6　支払先口座情報</t>
    <rPh sb="2" eb="5">
      <t>シハライサキ</t>
    </rPh>
    <rPh sb="5" eb="9">
      <t>コウザジョウホウ</t>
    </rPh>
    <phoneticPr fontId="1"/>
  </si>
  <si>
    <t>看板 明細</t>
    <rPh sb="0" eb="2">
      <t>カンバン</t>
    </rPh>
    <rPh sb="3" eb="5">
      <t>メイサイ</t>
    </rPh>
    <phoneticPr fontId="1"/>
  </si>
  <si>
    <t>所要額</t>
    <rPh sb="0" eb="3">
      <t>ショヨウガク</t>
    </rPh>
    <phoneticPr fontId="1"/>
  </si>
  <si>
    <t>《標準仕様》</t>
    <rPh sb="1" eb="5">
      <t>ヒョウジュンシヨウ</t>
    </rPh>
    <phoneticPr fontId="1"/>
  </si>
  <si>
    <t>○イメージ図</t>
    <rPh sb="5" eb="6">
      <t>ズ</t>
    </rPh>
    <phoneticPr fontId="1"/>
  </si>
  <si>
    <t>全体</t>
    <rPh sb="0" eb="2">
      <t>ゼンタイ</t>
    </rPh>
    <phoneticPr fontId="1"/>
  </si>
  <si>
    <t>面積</t>
    <rPh sb="0" eb="2">
      <t>メンセキ</t>
    </rPh>
    <phoneticPr fontId="1"/>
  </si>
  <si>
    <t>専有割合</t>
    <rPh sb="0" eb="2">
      <t>センユウ</t>
    </rPh>
    <rPh sb="2" eb="4">
      <t>ワリアイ</t>
    </rPh>
    <phoneticPr fontId="1"/>
  </si>
  <si>
    <t>－</t>
    <phoneticPr fontId="1"/>
  </si>
  <si>
    <t>発熱外来の明示部分</t>
    <rPh sb="0" eb="2">
      <t>ハツネツ</t>
    </rPh>
    <rPh sb="2" eb="4">
      <t>ガイライ</t>
    </rPh>
    <rPh sb="5" eb="7">
      <t>メイジ</t>
    </rPh>
    <rPh sb="7" eb="9">
      <t>ブブン</t>
    </rPh>
    <phoneticPr fontId="1"/>
  </si>
  <si>
    <t>箇所</t>
    <rPh sb="0" eb="2">
      <t>カショ</t>
    </rPh>
    <phoneticPr fontId="1"/>
  </si>
  <si>
    <t>案内図</t>
    <rPh sb="0" eb="3">
      <t>アンナイズ</t>
    </rPh>
    <phoneticPr fontId="1"/>
  </si>
  <si>
    <t>対応時間</t>
    <rPh sb="0" eb="4">
      <t>タイオウジカン</t>
    </rPh>
    <phoneticPr fontId="1"/>
  </si>
  <si>
    <t>医療機関情報</t>
    <rPh sb="0" eb="6">
      <t>イリョウキカンジョウホウ</t>
    </rPh>
    <phoneticPr fontId="1"/>
  </si>
  <si>
    <t>必要割合</t>
    <rPh sb="0" eb="2">
      <t>ヒツヨウ</t>
    </rPh>
    <rPh sb="2" eb="4">
      <t>ワリアイ</t>
    </rPh>
    <phoneticPr fontId="1"/>
  </si>
  <si>
    <t>設置個所数</t>
    <rPh sb="0" eb="5">
      <t>セッチカショスウ</t>
    </rPh>
    <phoneticPr fontId="1"/>
  </si>
  <si>
    <t>総合判定</t>
    <phoneticPr fontId="1"/>
  </si>
  <si>
    <t>分類</t>
    <rPh sb="0" eb="2">
      <t>ブンルイ</t>
    </rPh>
    <phoneticPr fontId="1"/>
  </si>
  <si>
    <t>電柱広告</t>
    <rPh sb="0" eb="4">
      <t>デンチュウコウコク</t>
    </rPh>
    <phoneticPr fontId="1"/>
  </si>
  <si>
    <t>個数</t>
    <rPh sb="0" eb="2">
      <t>コスウ</t>
    </rPh>
    <phoneticPr fontId="1"/>
  </si>
  <si>
    <t>個所数</t>
    <rPh sb="0" eb="3">
      <t>カショスウ</t>
    </rPh>
    <phoneticPr fontId="1"/>
  </si>
  <si>
    <t>道路看板</t>
    <rPh sb="0" eb="2">
      <t>ドウロ</t>
    </rPh>
    <rPh sb="2" eb="4">
      <t>カンバン</t>
    </rPh>
    <phoneticPr fontId="1"/>
  </si>
  <si>
    <t>計上数</t>
    <rPh sb="0" eb="3">
      <t>ケイジョウスウ</t>
    </rPh>
    <phoneticPr fontId="1"/>
  </si>
  <si>
    <t>（１）イ</t>
    <phoneticPr fontId="1"/>
  </si>
  <si>
    <t>（２）</t>
    <phoneticPr fontId="1"/>
  </si>
  <si>
    <t>総合判定</t>
    <rPh sb="0" eb="4">
      <t>ソウゴウハンテイ</t>
    </rPh>
    <phoneticPr fontId="1"/>
  </si>
  <si>
    <t>（１）寸法内訳（仕様詳細関係）</t>
    <phoneticPr fontId="1"/>
  </si>
  <si>
    <t>□　全ての看板の設置位置図</t>
    <rPh sb="2" eb="3">
      <t>スベ</t>
    </rPh>
    <rPh sb="5" eb="7">
      <t>カンバン</t>
    </rPh>
    <rPh sb="8" eb="10">
      <t>セッチ</t>
    </rPh>
    <rPh sb="10" eb="13">
      <t>イチズ</t>
    </rPh>
    <phoneticPr fontId="1"/>
  </si>
  <si>
    <t>□　全ての看板の設計図面（カラー印刷のもの。看板全体及び、各種要件記載の縦横寸法が記載されたもの。）</t>
    <rPh sb="2" eb="3">
      <t>スベ</t>
    </rPh>
    <rPh sb="5" eb="7">
      <t>カンバン</t>
    </rPh>
    <rPh sb="8" eb="10">
      <t>セッケイ</t>
    </rPh>
    <rPh sb="10" eb="12">
      <t>ズメン</t>
    </rPh>
    <rPh sb="16" eb="18">
      <t>インサツ</t>
    </rPh>
    <rPh sb="22" eb="26">
      <t>カンバンゼンタイ</t>
    </rPh>
    <rPh sb="26" eb="27">
      <t>オヨ</t>
    </rPh>
    <rPh sb="29" eb="31">
      <t>カクシュ</t>
    </rPh>
    <rPh sb="31" eb="33">
      <t>ヨウケン</t>
    </rPh>
    <rPh sb="33" eb="35">
      <t>キサイ</t>
    </rPh>
    <rPh sb="36" eb="38">
      <t>タテヨコ</t>
    </rPh>
    <rPh sb="38" eb="40">
      <t>スンポウ</t>
    </rPh>
    <rPh sb="41" eb="43">
      <t>キサイ</t>
    </rPh>
    <phoneticPr fontId="1"/>
  </si>
  <si>
    <t>□　全ての看板の設置状況写真（カラー）</t>
    <rPh sb="2" eb="3">
      <t>スベ</t>
    </rPh>
    <rPh sb="5" eb="7">
      <t>カンバン</t>
    </rPh>
    <rPh sb="8" eb="10">
      <t>セッチ</t>
    </rPh>
    <rPh sb="10" eb="12">
      <t>ジョウキョウ</t>
    </rPh>
    <rPh sb="12" eb="14">
      <t>シャシン</t>
    </rPh>
    <phoneticPr fontId="1"/>
  </si>
  <si>
    <t>□　納品書または請求書（経費発生の事実及びその内訳がわかるもの。）</t>
    <rPh sb="2" eb="5">
      <t>ノウヒンショ</t>
    </rPh>
    <rPh sb="8" eb="11">
      <t>セイキュウショ</t>
    </rPh>
    <rPh sb="12" eb="14">
      <t>ケイヒ</t>
    </rPh>
    <rPh sb="14" eb="16">
      <t>ハッセイ</t>
    </rPh>
    <rPh sb="17" eb="19">
      <t>ジジツ</t>
    </rPh>
    <rPh sb="19" eb="20">
      <t>オヨ</t>
    </rPh>
    <rPh sb="23" eb="25">
      <t>ウチワケ</t>
    </rPh>
    <phoneticPr fontId="1"/>
  </si>
  <si>
    <t>ホームページ 明細</t>
    <rPh sb="7" eb="9">
      <t>メイサイ</t>
    </rPh>
    <phoneticPr fontId="1"/>
  </si>
  <si>
    <t>整備理由</t>
    <rPh sb="0" eb="4">
      <t>セイビリユウ</t>
    </rPh>
    <phoneticPr fontId="1"/>
  </si>
  <si>
    <t>全体（バナー等を除いた部分）</t>
    <rPh sb="0" eb="2">
      <t>ゼンタイ</t>
    </rPh>
    <rPh sb="6" eb="7">
      <t>トウ</t>
    </rPh>
    <rPh sb="8" eb="9">
      <t>ノゾ</t>
    </rPh>
    <rPh sb="11" eb="13">
      <t>ブブン</t>
    </rPh>
    <phoneticPr fontId="1"/>
  </si>
  <si>
    <t>（１）ウ</t>
    <phoneticPr fontId="1"/>
  </si>
  <si>
    <t>052-954-7489(ﾀﾞｲﾔﾙｲﾝ)</t>
  </si>
  <si>
    <t>感染症対策局感染症対策課助成グループ</t>
    <rPh sb="0" eb="3">
      <t>カンセンショウ</t>
    </rPh>
    <rPh sb="3" eb="5">
      <t>タイサク</t>
    </rPh>
    <rPh sb="5" eb="6">
      <t>キョク</t>
    </rPh>
    <rPh sb="6" eb="9">
      <t>カンセンショウ</t>
    </rPh>
    <rPh sb="9" eb="11">
      <t>タイサク</t>
    </rPh>
    <rPh sb="11" eb="12">
      <t>カ</t>
    </rPh>
    <rPh sb="12" eb="14">
      <t>ジョセイ</t>
    </rPh>
    <phoneticPr fontId="12"/>
  </si>
  <si>
    <t>回答</t>
    <rPh sb="0" eb="2">
      <t>カイトウ</t>
    </rPh>
    <phoneticPr fontId="12"/>
  </si>
  <si>
    <t>未</t>
    <rPh sb="0" eb="1">
      <t>ミ</t>
    </rPh>
    <phoneticPr fontId="12"/>
  </si>
  <si>
    <t>貴法人からありました任意協議の内容を確認したところ、以下のとおり支障ないものと判断されました。
但し、以下に付帯条件記載がある場合、これに基づき補助事業を実施するようにしてください。</t>
    <rPh sb="51" eb="53">
      <t>イカ</t>
    </rPh>
    <rPh sb="54" eb="56">
      <t>フタイ</t>
    </rPh>
    <rPh sb="58" eb="60">
      <t>キサイ</t>
    </rPh>
    <phoneticPr fontId="12"/>
  </si>
  <si>
    <t>電話番号</t>
    <rPh sb="0" eb="2">
      <t>デンワ</t>
    </rPh>
    <rPh sb="2" eb="4">
      <t>バンゴウ</t>
    </rPh>
    <phoneticPr fontId="12"/>
  </si>
  <si>
    <t>担当部署</t>
    <rPh sb="0" eb="4">
      <t>タントウブショ</t>
    </rPh>
    <phoneticPr fontId="12"/>
  </si>
  <si>
    <t>非接触サーモグラフィー
カメラ関係</t>
    <rPh sb="0" eb="3">
      <t>ヒセッショク</t>
    </rPh>
    <rPh sb="15" eb="17">
      <t>カンケイ</t>
    </rPh>
    <phoneticPr fontId="12"/>
  </si>
  <si>
    <t>医療機器整備費関係</t>
    <rPh sb="0" eb="4">
      <t>イリョウキキ</t>
    </rPh>
    <rPh sb="4" eb="7">
      <t>セイビヒ</t>
    </rPh>
    <rPh sb="7" eb="9">
      <t>カンケイ</t>
    </rPh>
    <phoneticPr fontId="12"/>
  </si>
  <si>
    <t>換気扇設備修繕費関係</t>
    <rPh sb="0" eb="5">
      <t>カンキセンセツビ</t>
    </rPh>
    <rPh sb="5" eb="8">
      <t>シュウゼンヒ</t>
    </rPh>
    <rPh sb="8" eb="10">
      <t>カンケイ</t>
    </rPh>
    <phoneticPr fontId="12"/>
  </si>
  <si>
    <t>ホームページ改修費関係</t>
    <rPh sb="6" eb="9">
      <t>カイシュウヒ</t>
    </rPh>
    <rPh sb="9" eb="11">
      <t>カンケイ</t>
    </rPh>
    <phoneticPr fontId="12"/>
  </si>
  <si>
    <t>看板設置料関係</t>
    <rPh sb="0" eb="2">
      <t>カンバン</t>
    </rPh>
    <rPh sb="2" eb="5">
      <t>セッチリョウ</t>
    </rPh>
    <rPh sb="5" eb="7">
      <t>カンケイ</t>
    </rPh>
    <phoneticPr fontId="12"/>
  </si>
  <si>
    <t>【県意見記入欄】</t>
    <rPh sb="1" eb="2">
      <t>ケン</t>
    </rPh>
    <rPh sb="2" eb="4">
      <t>イケン</t>
    </rPh>
    <rPh sb="4" eb="7">
      <t>キニュウラン</t>
    </rPh>
    <phoneticPr fontId="12"/>
  </si>
  <si>
    <t>Mailアドレス</t>
    <phoneticPr fontId="12"/>
  </si>
  <si>
    <t>担当者名</t>
    <rPh sb="0" eb="4">
      <t>タントウシャメイ</t>
    </rPh>
    <phoneticPr fontId="12"/>
  </si>
  <si>
    <t>　・　その他参考となる書類</t>
    <rPh sb="5" eb="6">
      <t>タ</t>
    </rPh>
    <rPh sb="6" eb="8">
      <t>サンコウ</t>
    </rPh>
    <rPh sb="11" eb="13">
      <t>ショルイ</t>
    </rPh>
    <phoneticPr fontId="12"/>
  </si>
  <si>
    <t>　・　歳入歳出決算書（見込書）抄本（様式１－３）案</t>
    <rPh sb="3" eb="7">
      <t>サイニュウサイシュツ</t>
    </rPh>
    <rPh sb="7" eb="9">
      <t>ケッサン</t>
    </rPh>
    <rPh sb="9" eb="10">
      <t>ショ</t>
    </rPh>
    <rPh sb="11" eb="13">
      <t>ミコミ</t>
    </rPh>
    <rPh sb="13" eb="14">
      <t>ショ</t>
    </rPh>
    <rPh sb="15" eb="17">
      <t>ショウホン</t>
    </rPh>
    <rPh sb="18" eb="20">
      <t>ヨウシキ</t>
    </rPh>
    <rPh sb="24" eb="25">
      <t>アン</t>
    </rPh>
    <phoneticPr fontId="12"/>
  </si>
  <si>
    <t>　・　設備整備基準額算出内訳及び対象経費実支出額内訳書（様式１－２）案</t>
    <rPh sb="3" eb="7">
      <t>セツビセイビ</t>
    </rPh>
    <rPh sb="7" eb="10">
      <t>キジュンガク</t>
    </rPh>
    <rPh sb="10" eb="12">
      <t>サンシュツ</t>
    </rPh>
    <rPh sb="12" eb="14">
      <t>ウチワケ</t>
    </rPh>
    <rPh sb="14" eb="15">
      <t>オヨ</t>
    </rPh>
    <rPh sb="16" eb="20">
      <t>タイショウケイヒ</t>
    </rPh>
    <rPh sb="20" eb="21">
      <t>ジツ</t>
    </rPh>
    <rPh sb="21" eb="23">
      <t>シシュツ</t>
    </rPh>
    <rPh sb="23" eb="24">
      <t>ガク</t>
    </rPh>
    <rPh sb="24" eb="26">
      <t>ウチワケ</t>
    </rPh>
    <rPh sb="26" eb="27">
      <t>ショ</t>
    </rPh>
    <rPh sb="28" eb="30">
      <t>ヨウシキ</t>
    </rPh>
    <rPh sb="34" eb="35">
      <t>アン</t>
    </rPh>
    <phoneticPr fontId="12"/>
  </si>
  <si>
    <t>　・　経費精算書（様式１－１）案</t>
    <rPh sb="3" eb="5">
      <t>ケイヒ</t>
    </rPh>
    <rPh sb="5" eb="8">
      <t>セイサンショ</t>
    </rPh>
    <rPh sb="9" eb="11">
      <t>ヨウシキ</t>
    </rPh>
    <rPh sb="15" eb="16">
      <t>アン</t>
    </rPh>
    <phoneticPr fontId="12"/>
  </si>
  <si>
    <t>　・　交付申請書兼実績報告書兼請求書（様式１）案</t>
    <rPh sb="19" eb="21">
      <t>ヨウシキ</t>
    </rPh>
    <rPh sb="23" eb="24">
      <t>アン</t>
    </rPh>
    <phoneticPr fontId="12"/>
  </si>
  <si>
    <t>３　添付資料</t>
    <rPh sb="2" eb="4">
      <t>テンプ</t>
    </rPh>
    <rPh sb="4" eb="6">
      <t>シリョウ</t>
    </rPh>
    <phoneticPr fontId="12"/>
  </si>
  <si>
    <t>２　所要見込額</t>
    <rPh sb="2" eb="4">
      <t>ショヨウ</t>
    </rPh>
    <rPh sb="4" eb="7">
      <t>ミコミガク</t>
    </rPh>
    <phoneticPr fontId="12"/>
  </si>
  <si>
    <t>１　施設の名称及び所在地</t>
    <rPh sb="2" eb="4">
      <t>シセツ</t>
    </rPh>
    <rPh sb="5" eb="7">
      <t>メイショウ</t>
    </rPh>
    <rPh sb="7" eb="8">
      <t>オヨ</t>
    </rPh>
    <rPh sb="9" eb="12">
      <t>ショザイチ</t>
    </rPh>
    <phoneticPr fontId="12"/>
  </si>
  <si>
    <t>　このことについて、補助事業の実施に先立ち実施計画につき下記のとおり任意協議をします。
　なお、協議完了後、補助事業を実施する場合は協議結果を踏まえ補助事業を実施することを申し立て
するとともに、協議結果に含まれない整備を行った際には本補助事業の趣旨目的に照らし、補助対象外
となることがあることについても確認しました。</t>
    <rPh sb="10" eb="14">
      <t>ホジョジギョウ</t>
    </rPh>
    <rPh sb="15" eb="17">
      <t>ジッシ</t>
    </rPh>
    <rPh sb="18" eb="20">
      <t>サキダ</t>
    </rPh>
    <rPh sb="21" eb="23">
      <t>ジッシ</t>
    </rPh>
    <rPh sb="23" eb="25">
      <t>ケイカク</t>
    </rPh>
    <rPh sb="28" eb="30">
      <t>カキ</t>
    </rPh>
    <rPh sb="34" eb="36">
      <t>ニンイ</t>
    </rPh>
    <rPh sb="36" eb="38">
      <t>キョウギ</t>
    </rPh>
    <rPh sb="48" eb="50">
      <t>キョウギ</t>
    </rPh>
    <rPh sb="50" eb="53">
      <t>カンリョウゴ</t>
    </rPh>
    <rPh sb="54" eb="56">
      <t>ホジョ</t>
    </rPh>
    <rPh sb="56" eb="58">
      <t>ジギョウ</t>
    </rPh>
    <rPh sb="59" eb="61">
      <t>ジッシ</t>
    </rPh>
    <rPh sb="63" eb="65">
      <t>バアイ</t>
    </rPh>
    <rPh sb="66" eb="68">
      <t>キョウギ</t>
    </rPh>
    <rPh sb="68" eb="70">
      <t>ケッカ</t>
    </rPh>
    <rPh sb="71" eb="72">
      <t>フ</t>
    </rPh>
    <rPh sb="74" eb="78">
      <t>ホジョジギョウ</t>
    </rPh>
    <rPh sb="79" eb="81">
      <t>ジッシ</t>
    </rPh>
    <rPh sb="86" eb="87">
      <t>モウ</t>
    </rPh>
    <rPh sb="88" eb="89">
      <t>タ</t>
    </rPh>
    <rPh sb="98" eb="100">
      <t>キョウギ</t>
    </rPh>
    <rPh sb="100" eb="102">
      <t>ケッカ</t>
    </rPh>
    <rPh sb="103" eb="104">
      <t>フク</t>
    </rPh>
    <rPh sb="108" eb="110">
      <t>セイビ</t>
    </rPh>
    <rPh sb="111" eb="112">
      <t>オコナ</t>
    </rPh>
    <rPh sb="114" eb="115">
      <t>サイ</t>
    </rPh>
    <rPh sb="117" eb="118">
      <t>ホン</t>
    </rPh>
    <rPh sb="118" eb="120">
      <t>ホジョ</t>
    </rPh>
    <rPh sb="120" eb="122">
      <t>ジギョウ</t>
    </rPh>
    <rPh sb="123" eb="125">
      <t>シュシ</t>
    </rPh>
    <rPh sb="125" eb="127">
      <t>モクテキ</t>
    </rPh>
    <rPh sb="128" eb="129">
      <t>テ</t>
    </rPh>
    <rPh sb="132" eb="134">
      <t>ホジョ</t>
    </rPh>
    <rPh sb="134" eb="137">
      <t>タイショウガイ</t>
    </rPh>
    <rPh sb="153" eb="155">
      <t>カクニン</t>
    </rPh>
    <phoneticPr fontId="12"/>
  </si>
  <si>
    <t>代表者職氏名</t>
    <rPh sb="0" eb="3">
      <t>ダイヒョウシャ</t>
    </rPh>
    <rPh sb="3" eb="6">
      <t>ショクシメイ</t>
    </rPh>
    <phoneticPr fontId="12"/>
  </si>
  <si>
    <t>補助事業者名</t>
    <rPh sb="0" eb="6">
      <t>ホジョジギョウシャメイ</t>
    </rPh>
    <phoneticPr fontId="12"/>
  </si>
  <si>
    <t>所在地</t>
    <rPh sb="0" eb="3">
      <t>ショザイチ</t>
    </rPh>
    <phoneticPr fontId="12"/>
  </si>
  <si>
    <t>愛知県知事　殿</t>
    <rPh sb="0" eb="3">
      <t>アイチケン</t>
    </rPh>
    <rPh sb="3" eb="5">
      <t>チジ</t>
    </rPh>
    <rPh sb="6" eb="7">
      <t>ドノ</t>
    </rPh>
    <phoneticPr fontId="12"/>
  </si>
  <si>
    <t>事前協議</t>
    <rPh sb="0" eb="4">
      <t>ジゼンキョウギ</t>
    </rPh>
    <phoneticPr fontId="1"/>
  </si>
  <si>
    <t>診療日</t>
    <rPh sb="0" eb="3">
      <t>シンリョウビ</t>
    </rPh>
    <phoneticPr fontId="1"/>
  </si>
  <si>
    <t>休診日</t>
    <rPh sb="0" eb="3">
      <t>キュウシンビ</t>
    </rPh>
    <phoneticPr fontId="1"/>
  </si>
  <si>
    <t>発熱外来基本情報</t>
    <rPh sb="0" eb="4">
      <t>ハツネツガイライ</t>
    </rPh>
    <rPh sb="4" eb="8">
      <t>キホンジョウホウ</t>
    </rPh>
    <phoneticPr fontId="1"/>
  </si>
  <si>
    <t>基本情報</t>
    <rPh sb="0" eb="4">
      <t>キホンジョウホウ</t>
    </rPh>
    <phoneticPr fontId="1"/>
  </si>
  <si>
    <t>看板</t>
    <rPh sb="0" eb="2">
      <t>カンバン</t>
    </rPh>
    <phoneticPr fontId="1"/>
  </si>
  <si>
    <t>ホームページ</t>
    <phoneticPr fontId="1"/>
  </si>
  <si>
    <t>看板設置料の助成申請を行う場合のみ</t>
    <rPh sb="0" eb="5">
      <t>カンバンセッチリョウ</t>
    </rPh>
    <rPh sb="6" eb="10">
      <t>ジョセイシンセイ</t>
    </rPh>
    <rPh sb="11" eb="12">
      <t>オコナ</t>
    </rPh>
    <rPh sb="13" eb="15">
      <t>バアイ</t>
    </rPh>
    <phoneticPr fontId="1"/>
  </si>
  <si>
    <t>ホームページ改修費の助成申請を行う場合のみ</t>
    <rPh sb="6" eb="9">
      <t>カイシュウヒ</t>
    </rPh>
    <rPh sb="10" eb="14">
      <t>ジョセイシンセイ</t>
    </rPh>
    <rPh sb="15" eb="16">
      <t>オコナ</t>
    </rPh>
    <rPh sb="17" eb="19">
      <t>バアイ</t>
    </rPh>
    <phoneticPr fontId="1"/>
  </si>
  <si>
    <t>（１）</t>
  </si>
  <si>
    <t>総合判定</t>
    <rPh sb="0" eb="4">
      <t>ソウゴウハンテイ</t>
    </rPh>
    <phoneticPr fontId="1"/>
  </si>
  <si>
    <t>月</t>
    <phoneticPr fontId="1"/>
  </si>
  <si>
    <t>（ア）１種類目（１種類のみ作成の場合はこちらに入力してください。）</t>
    <rPh sb="4" eb="6">
      <t>シュルイ</t>
    </rPh>
    <rPh sb="6" eb="7">
      <t>メ</t>
    </rPh>
    <rPh sb="9" eb="11">
      <t>シュルイ</t>
    </rPh>
    <rPh sb="13" eb="15">
      <t>サクセイ</t>
    </rPh>
    <rPh sb="16" eb="18">
      <t>バアイ</t>
    </rPh>
    <rPh sb="23" eb="25">
      <t>ニュウリョク</t>
    </rPh>
    <phoneticPr fontId="1"/>
  </si>
  <si>
    <t>（イ）２種類目（上段と別種を作成する場合はこちらに入力してください。）</t>
    <rPh sb="4" eb="6">
      <t>シュルイ</t>
    </rPh>
    <rPh sb="6" eb="7">
      <t>メ</t>
    </rPh>
    <rPh sb="8" eb="10">
      <t>ジョウダン</t>
    </rPh>
    <rPh sb="11" eb="13">
      <t>ベッシュ</t>
    </rPh>
    <rPh sb="14" eb="16">
      <t>サクセイ</t>
    </rPh>
    <rPh sb="18" eb="20">
      <t>バアイ</t>
    </rPh>
    <rPh sb="25" eb="27">
      <t>ニュウリョク</t>
    </rPh>
    <phoneticPr fontId="1"/>
  </si>
  <si>
    <t>１種類目</t>
    <rPh sb="1" eb="3">
      <t>シュルイ</t>
    </rPh>
    <rPh sb="3" eb="4">
      <t>メ</t>
    </rPh>
    <phoneticPr fontId="1"/>
  </si>
  <si>
    <t>２種類目</t>
    <rPh sb="1" eb="3">
      <t>シュルイ</t>
    </rPh>
    <rPh sb="3" eb="4">
      <t>メ</t>
    </rPh>
    <phoneticPr fontId="1"/>
  </si>
  <si>
    <t>道路看板</t>
    <rPh sb="0" eb="2">
      <t>ドウロ</t>
    </rPh>
    <rPh sb="2" eb="4">
      <t>カンバン</t>
    </rPh>
    <phoneticPr fontId="1"/>
  </si>
  <si>
    <t>電柱広告</t>
    <rPh sb="0" eb="2">
      <t>デンチュウ</t>
    </rPh>
    <rPh sb="2" eb="4">
      <t>コウコク</t>
    </rPh>
    <phoneticPr fontId="1"/>
  </si>
  <si>
    <t>○標準仕様（標準仕様を満たさない場合、原則補助対象外となりますのでご注意ください。）</t>
    <rPh sb="1" eb="3">
      <t>ヒョウジュン</t>
    </rPh>
    <rPh sb="3" eb="5">
      <t>シヨウ</t>
    </rPh>
    <rPh sb="6" eb="8">
      <t>ヒョウジュン</t>
    </rPh>
    <rPh sb="8" eb="10">
      <t>シヨウ</t>
    </rPh>
    <rPh sb="11" eb="12">
      <t>ミ</t>
    </rPh>
    <rPh sb="16" eb="18">
      <t>バアイ</t>
    </rPh>
    <rPh sb="19" eb="21">
      <t>ゲンソク</t>
    </rPh>
    <rPh sb="21" eb="23">
      <t>ホジョ</t>
    </rPh>
    <rPh sb="23" eb="25">
      <t>タイショウ</t>
    </rPh>
    <rPh sb="25" eb="26">
      <t>ガイ</t>
    </rPh>
    <rPh sb="34" eb="36">
      <t>チュウイ</t>
    </rPh>
    <phoneticPr fontId="1"/>
  </si>
  <si>
    <t>縦（cm）</t>
    <rPh sb="0" eb="1">
      <t>タテ</t>
    </rPh>
    <phoneticPr fontId="1"/>
  </si>
  <si>
    <t>横(cm)</t>
    <rPh sb="0" eb="1">
      <t>ヨコ</t>
    </rPh>
    <phoneticPr fontId="1"/>
  </si>
  <si>
    <t>寸法については、A４用紙に倍率100パーセントで印刷した際のものを入力すること。</t>
    <rPh sb="0" eb="2">
      <t>スンポウ</t>
    </rPh>
    <rPh sb="10" eb="12">
      <t>ヨウシ</t>
    </rPh>
    <rPh sb="13" eb="15">
      <t>バイリツ</t>
    </rPh>
    <rPh sb="24" eb="26">
      <t>インサツ</t>
    </rPh>
    <rPh sb="28" eb="29">
      <t>サイ</t>
    </rPh>
    <rPh sb="33" eb="35">
      <t>ニュウリョク</t>
    </rPh>
    <phoneticPr fontId="1"/>
  </si>
  <si>
    <t>☆　郵送による添付書類</t>
    <rPh sb="2" eb="4">
      <t>ユウソウ</t>
    </rPh>
    <rPh sb="7" eb="9">
      <t>テンプ</t>
    </rPh>
    <rPh sb="9" eb="11">
      <t>ショルイ</t>
    </rPh>
    <phoneticPr fontId="1"/>
  </si>
  <si>
    <t>　□　納品書または請求書（経費発生の事実及びその内訳がわかるもの。）</t>
    <rPh sb="3" eb="6">
      <t>ノウヒンショ</t>
    </rPh>
    <rPh sb="9" eb="12">
      <t>セイキュウショ</t>
    </rPh>
    <rPh sb="13" eb="15">
      <t>ケイヒ</t>
    </rPh>
    <rPh sb="15" eb="17">
      <t>ハッセイ</t>
    </rPh>
    <rPh sb="18" eb="20">
      <t>ジジツ</t>
    </rPh>
    <rPh sb="20" eb="21">
      <t>オヨ</t>
    </rPh>
    <rPh sb="24" eb="26">
      <t>ウチワケ</t>
    </rPh>
    <phoneticPr fontId="1"/>
  </si>
  <si>
    <t>　□　ホームページの設計図面（カラー印刷のもの。ページ全体及び、各種要件記載の縦横寸法が記載されたもの。）</t>
    <rPh sb="10" eb="12">
      <t>セッケイ</t>
    </rPh>
    <rPh sb="12" eb="14">
      <t>ズメン</t>
    </rPh>
    <rPh sb="18" eb="20">
      <t>インサツ</t>
    </rPh>
    <rPh sb="27" eb="29">
      <t>ゼンタイ</t>
    </rPh>
    <rPh sb="29" eb="30">
      <t>オヨ</t>
    </rPh>
    <rPh sb="32" eb="34">
      <t>カクシュ</t>
    </rPh>
    <rPh sb="34" eb="36">
      <t>ヨウケン</t>
    </rPh>
    <rPh sb="36" eb="38">
      <t>キサイ</t>
    </rPh>
    <rPh sb="39" eb="41">
      <t>タテヨコ</t>
    </rPh>
    <rPh sb="41" eb="43">
      <t>スンポウ</t>
    </rPh>
    <rPh sb="44" eb="46">
      <t>キサイ</t>
    </rPh>
    <phoneticPr fontId="1"/>
  </si>
  <si>
    <t>　□　全ての看板の設置位置図</t>
    <rPh sb="3" eb="4">
      <t>スベ</t>
    </rPh>
    <rPh sb="6" eb="8">
      <t>カンバン</t>
    </rPh>
    <rPh sb="9" eb="11">
      <t>セッチ</t>
    </rPh>
    <rPh sb="11" eb="14">
      <t>イチズ</t>
    </rPh>
    <phoneticPr fontId="1"/>
  </si>
  <si>
    <t>　□　ホームページ画面をA4用紙に倍率100パーセント、カラーモードで印刷したもの。</t>
    <rPh sb="9" eb="11">
      <t>ガメン</t>
    </rPh>
    <rPh sb="14" eb="16">
      <t>ヨウシ</t>
    </rPh>
    <rPh sb="17" eb="19">
      <t>バイリツ</t>
    </rPh>
    <rPh sb="35" eb="37">
      <t>インサツ</t>
    </rPh>
    <phoneticPr fontId="1"/>
  </si>
  <si>
    <t>　☆　郵送による添付書類</t>
    <rPh sb="3" eb="5">
      <t>ユウソウ</t>
    </rPh>
    <rPh sb="8" eb="10">
      <t>テンプ</t>
    </rPh>
    <rPh sb="10" eb="12">
      <t>ショルイ</t>
    </rPh>
    <phoneticPr fontId="1"/>
  </si>
  <si>
    <t>個別判定</t>
    <rPh sb="0" eb="2">
      <t>コベツ</t>
    </rPh>
    <rPh sb="2" eb="4">
      <t>ハンテイ</t>
    </rPh>
    <phoneticPr fontId="1"/>
  </si>
  <si>
    <t>購入した医療機器が新型コロナウイルス感染症の外来対応を実施するにおいて真に必要不可欠であると認められるものであること。</t>
    <rPh sb="0" eb="2">
      <t>コウニュウ</t>
    </rPh>
    <rPh sb="4" eb="8">
      <t>イリョウキキ</t>
    </rPh>
    <rPh sb="9" eb="11">
      <t>シンガタ</t>
    </rPh>
    <rPh sb="18" eb="21">
      <t>カンセンショウ</t>
    </rPh>
    <rPh sb="22" eb="26">
      <t>ガイライタイオウ</t>
    </rPh>
    <rPh sb="27" eb="29">
      <t>ジッシ</t>
    </rPh>
    <rPh sb="35" eb="36">
      <t>シン</t>
    </rPh>
    <rPh sb="37" eb="42">
      <t>ヒツヨウフカケツ</t>
    </rPh>
    <rPh sb="46" eb="47">
      <t>ミト</t>
    </rPh>
    <phoneticPr fontId="1"/>
  </si>
  <si>
    <t>②</t>
    <phoneticPr fontId="1"/>
  </si>
  <si>
    <t>貴重な公金を原資とした整備であることから、院内の既存設備により対応が困難であるものに限り、必要最小限度であること。</t>
    <rPh sb="0" eb="2">
      <t>キチョウ</t>
    </rPh>
    <rPh sb="3" eb="5">
      <t>コウキン</t>
    </rPh>
    <rPh sb="6" eb="8">
      <t>ゲンシ</t>
    </rPh>
    <rPh sb="11" eb="13">
      <t>セイビ</t>
    </rPh>
    <rPh sb="21" eb="23">
      <t>インナイ</t>
    </rPh>
    <rPh sb="24" eb="26">
      <t>キソン</t>
    </rPh>
    <rPh sb="26" eb="28">
      <t>セツビ</t>
    </rPh>
    <rPh sb="31" eb="33">
      <t>タイオウ</t>
    </rPh>
    <rPh sb="34" eb="36">
      <t>コンナン</t>
    </rPh>
    <rPh sb="42" eb="43">
      <t>カギ</t>
    </rPh>
    <rPh sb="45" eb="47">
      <t>ヒツヨウ</t>
    </rPh>
    <rPh sb="47" eb="49">
      <t>サイショウ</t>
    </rPh>
    <rPh sb="49" eb="51">
      <t>ゲンド</t>
    </rPh>
    <phoneticPr fontId="1"/>
  </si>
  <si>
    <t>上記①及び②の観点に基づき、整備理由を記載すること。</t>
    <rPh sb="0" eb="2">
      <t>ジョウキ</t>
    </rPh>
    <rPh sb="3" eb="4">
      <t>オヨ</t>
    </rPh>
    <rPh sb="7" eb="9">
      <t>カンテン</t>
    </rPh>
    <rPh sb="10" eb="11">
      <t>モト</t>
    </rPh>
    <rPh sb="14" eb="16">
      <t>セイビ</t>
    </rPh>
    <rPh sb="16" eb="18">
      <t>リユウ</t>
    </rPh>
    <rPh sb="19" eb="21">
      <t>キサイ</t>
    </rPh>
    <phoneticPr fontId="1"/>
  </si>
  <si>
    <t>【経費内訳】</t>
    <rPh sb="1" eb="3">
      <t>ケイヒ</t>
    </rPh>
    <rPh sb="3" eb="5">
      <t>ウチワケ</t>
    </rPh>
    <phoneticPr fontId="1"/>
  </si>
  <si>
    <t>発熱外来診療の実施に供するため整備するものであること。</t>
    <rPh sb="7" eb="9">
      <t>ジッシ</t>
    </rPh>
    <rPh sb="10" eb="11">
      <t>キョウ</t>
    </rPh>
    <rPh sb="15" eb="17">
      <t>セイビ</t>
    </rPh>
    <phoneticPr fontId="1"/>
  </si>
  <si>
    <t>計</t>
    <phoneticPr fontId="1"/>
  </si>
  <si>
    <t>検温機能及び消毒液の噴霧機能付きであること。</t>
    <rPh sb="0" eb="2">
      <t>ケンオン</t>
    </rPh>
    <rPh sb="2" eb="4">
      <t>キノウ</t>
    </rPh>
    <rPh sb="4" eb="5">
      <t>オヨ</t>
    </rPh>
    <rPh sb="6" eb="8">
      <t>ショウドク</t>
    </rPh>
    <rPh sb="8" eb="9">
      <t>エキ</t>
    </rPh>
    <rPh sb="10" eb="12">
      <t>フンム</t>
    </rPh>
    <rPh sb="12" eb="14">
      <t>キノウ</t>
    </rPh>
    <rPh sb="14" eb="15">
      <t>ツ</t>
    </rPh>
    <phoneticPr fontId="1"/>
  </si>
  <si>
    <t>医療機器（パルスオキシメーター等）
非接触サーモグラフィーカメラ（検温・消毒機能付き）
換気設備設置のための軽微な改修等の修繕費</t>
    <rPh sb="0" eb="4">
      <t>イリョウキキ</t>
    </rPh>
    <rPh sb="15" eb="16">
      <t>トウ</t>
    </rPh>
    <phoneticPr fontId="1"/>
  </si>
  <si>
    <t>換気設備</t>
    <rPh sb="0" eb="2">
      <t>カンキ</t>
    </rPh>
    <rPh sb="2" eb="4">
      <t>セツビ</t>
    </rPh>
    <phoneticPr fontId="1"/>
  </si>
  <si>
    <t>修繕費であることから、以下の要件を満たすものであること。</t>
    <rPh sb="0" eb="3">
      <t>シュウゼンヒ</t>
    </rPh>
    <rPh sb="11" eb="13">
      <t>イカ</t>
    </rPh>
    <rPh sb="14" eb="16">
      <t>ヨウケン</t>
    </rPh>
    <rPh sb="17" eb="18">
      <t>ミ</t>
    </rPh>
    <phoneticPr fontId="1"/>
  </si>
  <si>
    <t>・既に整備されている換気設備の修繕（故障した状態からの原状回復等）であること。</t>
    <rPh sb="1" eb="2">
      <t>スデ</t>
    </rPh>
    <rPh sb="3" eb="5">
      <t>セイビ</t>
    </rPh>
    <rPh sb="10" eb="12">
      <t>カンキ</t>
    </rPh>
    <rPh sb="12" eb="14">
      <t>セツビ</t>
    </rPh>
    <rPh sb="15" eb="17">
      <t>シュウゼン</t>
    </rPh>
    <rPh sb="18" eb="20">
      <t>コショウ</t>
    </rPh>
    <rPh sb="22" eb="24">
      <t>ジョウタイ</t>
    </rPh>
    <rPh sb="27" eb="29">
      <t>ゲンジョウ</t>
    </rPh>
    <rPh sb="29" eb="31">
      <t>カイフク</t>
    </rPh>
    <rPh sb="31" eb="32">
      <t>トウ</t>
    </rPh>
    <phoneticPr fontId="1"/>
  </si>
  <si>
    <t>・取替えの場合、既設設備と同一性能（排気能力等）のものへの通常の取替えを行う際の金額が補助対象であること。</t>
    <rPh sb="1" eb="3">
      <t>トリカ</t>
    </rPh>
    <rPh sb="5" eb="7">
      <t>バアイ</t>
    </rPh>
    <rPh sb="8" eb="10">
      <t>キセツ</t>
    </rPh>
    <rPh sb="10" eb="12">
      <t>セツビ</t>
    </rPh>
    <rPh sb="13" eb="15">
      <t>ドウイツ</t>
    </rPh>
    <rPh sb="15" eb="17">
      <t>セイノウ</t>
    </rPh>
    <rPh sb="18" eb="20">
      <t>ハイキ</t>
    </rPh>
    <rPh sb="20" eb="22">
      <t>ノウリョク</t>
    </rPh>
    <rPh sb="22" eb="23">
      <t>トウ</t>
    </rPh>
    <rPh sb="29" eb="31">
      <t>ツウジョウ</t>
    </rPh>
    <rPh sb="32" eb="34">
      <t>トリカ</t>
    </rPh>
    <rPh sb="36" eb="37">
      <t>オコナ</t>
    </rPh>
    <rPh sb="38" eb="39">
      <t>サイ</t>
    </rPh>
    <rPh sb="40" eb="42">
      <t>キンガク</t>
    </rPh>
    <rPh sb="43" eb="45">
      <t>ホジョ</t>
    </rPh>
    <rPh sb="45" eb="47">
      <t>タイショウ</t>
    </rPh>
    <phoneticPr fontId="1"/>
  </si>
  <si>
    <t>（性能を上回るものに取替えを行った際、通常の取替えを行う場合の経費を把握する必要があるため、当該見積書の提出が必要であること。）</t>
    <rPh sb="1" eb="3">
      <t>セイノウ</t>
    </rPh>
    <rPh sb="4" eb="6">
      <t>ウワマワ</t>
    </rPh>
    <rPh sb="10" eb="12">
      <t>トリカ</t>
    </rPh>
    <rPh sb="14" eb="15">
      <t>オコナ</t>
    </rPh>
    <rPh sb="17" eb="18">
      <t>サイ</t>
    </rPh>
    <rPh sb="19" eb="21">
      <t>ツウジョウ</t>
    </rPh>
    <rPh sb="22" eb="24">
      <t>トリカ</t>
    </rPh>
    <rPh sb="26" eb="27">
      <t>オコナ</t>
    </rPh>
    <rPh sb="28" eb="30">
      <t>バアイ</t>
    </rPh>
    <rPh sb="31" eb="33">
      <t>ケイヒ</t>
    </rPh>
    <rPh sb="34" eb="36">
      <t>ハアク</t>
    </rPh>
    <rPh sb="38" eb="40">
      <t>ヒツヨウ</t>
    </rPh>
    <rPh sb="46" eb="48">
      <t>トウガイ</t>
    </rPh>
    <rPh sb="48" eb="51">
      <t>ミツモリショ</t>
    </rPh>
    <rPh sb="52" eb="54">
      <t>テイシュツ</t>
    </rPh>
    <rPh sb="55" eb="57">
      <t>ヒツヨウ</t>
    </rPh>
    <phoneticPr fontId="1"/>
  </si>
  <si>
    <t>・費用の総額（取替えの場合は設備本体、及び取り付け設置費あるいは修理費の総額）が20万円未満であること。</t>
    <rPh sb="1" eb="3">
      <t>ヒヨウ</t>
    </rPh>
    <rPh sb="4" eb="6">
      <t>ソウガク</t>
    </rPh>
    <rPh sb="7" eb="9">
      <t>トリカ</t>
    </rPh>
    <rPh sb="11" eb="13">
      <t>バアイ</t>
    </rPh>
    <rPh sb="14" eb="16">
      <t>セツビ</t>
    </rPh>
    <rPh sb="16" eb="18">
      <t>ホンタイ</t>
    </rPh>
    <rPh sb="19" eb="20">
      <t>オヨ</t>
    </rPh>
    <rPh sb="21" eb="22">
      <t>ト</t>
    </rPh>
    <rPh sb="23" eb="24">
      <t>ツ</t>
    </rPh>
    <rPh sb="25" eb="27">
      <t>セッチ</t>
    </rPh>
    <rPh sb="27" eb="28">
      <t>ヒ</t>
    </rPh>
    <rPh sb="32" eb="35">
      <t>シュウリヒ</t>
    </rPh>
    <rPh sb="36" eb="38">
      <t>ソウガク</t>
    </rPh>
    <rPh sb="42" eb="44">
      <t>マンエン</t>
    </rPh>
    <rPh sb="44" eb="46">
      <t>ミマン</t>
    </rPh>
    <phoneticPr fontId="1"/>
  </si>
  <si>
    <t>（費用総額が20万円を下回ることが前提であり、発生経費が20万円を上回る場合、修繕費と見なすことができないため補助対象外となること。）</t>
    <rPh sb="1" eb="3">
      <t>ヒヨウ</t>
    </rPh>
    <rPh sb="3" eb="5">
      <t>ソウガク</t>
    </rPh>
    <rPh sb="8" eb="10">
      <t>マンエン</t>
    </rPh>
    <rPh sb="11" eb="13">
      <t>シタマワ</t>
    </rPh>
    <rPh sb="17" eb="19">
      <t>ゼンテイ</t>
    </rPh>
    <rPh sb="23" eb="25">
      <t>ハッセイ</t>
    </rPh>
    <rPh sb="25" eb="27">
      <t>ケイヒ</t>
    </rPh>
    <rPh sb="30" eb="32">
      <t>マンエン</t>
    </rPh>
    <rPh sb="33" eb="35">
      <t>ウワマワ</t>
    </rPh>
    <rPh sb="36" eb="38">
      <t>バアイ</t>
    </rPh>
    <rPh sb="39" eb="42">
      <t>シュウゼンヒ</t>
    </rPh>
    <rPh sb="43" eb="44">
      <t>ミ</t>
    </rPh>
    <rPh sb="55" eb="57">
      <t>ホジョ</t>
    </rPh>
    <rPh sb="57" eb="59">
      <t>タイショウ</t>
    </rPh>
    <rPh sb="59" eb="60">
      <t>ガイ</t>
    </rPh>
    <phoneticPr fontId="1"/>
  </si>
  <si>
    <t>【経費内訳】（細目毎の経費を記載の見積書または請求書を納入業者から徴取し、当該記載に準じて記入すること。）</t>
    <rPh sb="1" eb="3">
      <t>ケイヒ</t>
    </rPh>
    <rPh sb="3" eb="5">
      <t>ウチワケ</t>
    </rPh>
    <rPh sb="7" eb="9">
      <t>サイモク</t>
    </rPh>
    <rPh sb="9" eb="10">
      <t>ゴト</t>
    </rPh>
    <rPh sb="11" eb="13">
      <t>ケイヒ</t>
    </rPh>
    <rPh sb="14" eb="16">
      <t>キサイ</t>
    </rPh>
    <rPh sb="17" eb="20">
      <t>ミツモリショ</t>
    </rPh>
    <rPh sb="23" eb="26">
      <t>セイキュウショ</t>
    </rPh>
    <rPh sb="27" eb="29">
      <t>ノウニュウ</t>
    </rPh>
    <rPh sb="29" eb="31">
      <t>ギョウシャ</t>
    </rPh>
    <rPh sb="33" eb="35">
      <t>チョウシュ</t>
    </rPh>
    <rPh sb="37" eb="39">
      <t>トウガイ</t>
    </rPh>
    <rPh sb="39" eb="41">
      <t>キサイ</t>
    </rPh>
    <rPh sb="42" eb="43">
      <t>ジュン</t>
    </rPh>
    <rPh sb="45" eb="47">
      <t>キニュウ</t>
    </rPh>
    <phoneticPr fontId="1"/>
  </si>
  <si>
    <t>内訳</t>
    <rPh sb="0" eb="2">
      <t>ウチワケ</t>
    </rPh>
    <phoneticPr fontId="1"/>
  </si>
  <si>
    <t>☆郵送による提出書類</t>
    <rPh sb="1" eb="3">
      <t>ユウソウ</t>
    </rPh>
    <rPh sb="6" eb="8">
      <t>テイシュツ</t>
    </rPh>
    <rPh sb="8" eb="10">
      <t>ショルイ</t>
    </rPh>
    <phoneticPr fontId="1"/>
  </si>
  <si>
    <t>　□　カタログ</t>
    <phoneticPr fontId="1"/>
  </si>
  <si>
    <t>　□　納品書または請求書（品目、数量、単価、金額（税込税別明記）が記載されているもの。）</t>
    <rPh sb="3" eb="6">
      <t>ノウヒンショ</t>
    </rPh>
    <rPh sb="9" eb="12">
      <t>セイキュウショ</t>
    </rPh>
    <rPh sb="13" eb="15">
      <t>ヒンモク</t>
    </rPh>
    <rPh sb="16" eb="18">
      <t>スウリョウ</t>
    </rPh>
    <rPh sb="19" eb="21">
      <t>タンカ</t>
    </rPh>
    <rPh sb="22" eb="24">
      <t>キンガク</t>
    </rPh>
    <rPh sb="25" eb="27">
      <t>ゼイコミ</t>
    </rPh>
    <rPh sb="27" eb="29">
      <t>ゼイベツ</t>
    </rPh>
    <rPh sb="29" eb="31">
      <t>メイキ</t>
    </rPh>
    <rPh sb="33" eb="35">
      <t>キサイ</t>
    </rPh>
    <phoneticPr fontId="1"/>
  </si>
  <si>
    <t>　□　カタログ（取替えの場合。既設のものも含む。）</t>
    <rPh sb="8" eb="10">
      <t>トリカ</t>
    </rPh>
    <rPh sb="12" eb="14">
      <t>バアイ</t>
    </rPh>
    <rPh sb="15" eb="17">
      <t>キセツ</t>
    </rPh>
    <rPh sb="21" eb="22">
      <t>フク</t>
    </rPh>
    <phoneticPr fontId="1"/>
  </si>
  <si>
    <t>←総合判定</t>
    <rPh sb="1" eb="3">
      <t>ソウゴウ</t>
    </rPh>
    <rPh sb="3" eb="5">
      <t>ハンテイ</t>
    </rPh>
    <phoneticPr fontId="1"/>
  </si>
  <si>
    <t>税抜金額</t>
    <rPh sb="2" eb="4">
      <t>キンガク</t>
    </rPh>
    <phoneticPr fontId="1"/>
  </si>
  <si>
    <t>税込金額</t>
    <rPh sb="0" eb="2">
      <t>ゼイコミ</t>
    </rPh>
    <rPh sb="2" eb="4">
      <t>キンガク</t>
    </rPh>
    <phoneticPr fontId="1"/>
  </si>
  <si>
    <t>換気設備設置のための軽微な改修等の修繕費</t>
    <rPh sb="0" eb="2">
      <t>カンキ</t>
    </rPh>
    <rPh sb="2" eb="4">
      <t>セツビ</t>
    </rPh>
    <rPh sb="4" eb="6">
      <t>セッチ</t>
    </rPh>
    <rPh sb="10" eb="12">
      <t>ケイビ</t>
    </rPh>
    <rPh sb="13" eb="16">
      <t>カイシュウナド</t>
    </rPh>
    <rPh sb="17" eb="20">
      <t>シュウゼンヒ</t>
    </rPh>
    <phoneticPr fontId="1"/>
  </si>
  <si>
    <t>非接触サーモグラフィーカメラ
（検温・消毒機能付き）</t>
    <rPh sb="0" eb="1">
      <t>ヒ</t>
    </rPh>
    <rPh sb="1" eb="3">
      <t>セッショク</t>
    </rPh>
    <rPh sb="16" eb="18">
      <t>ケンオン</t>
    </rPh>
    <rPh sb="19" eb="21">
      <t>ショウドク</t>
    </rPh>
    <rPh sb="21" eb="23">
      <t>キノウ</t>
    </rPh>
    <rPh sb="23" eb="24">
      <t>ツ</t>
    </rPh>
    <phoneticPr fontId="1"/>
  </si>
  <si>
    <t>医療機器
（パルスオキシメーター等）</t>
    <rPh sb="0" eb="2">
      <t>イリョウ</t>
    </rPh>
    <rPh sb="2" eb="4">
      <t>キキ</t>
    </rPh>
    <rPh sb="16" eb="17">
      <t>ナド</t>
    </rPh>
    <phoneticPr fontId="1"/>
  </si>
  <si>
    <t>患者案内のための看板の設置料</t>
    <rPh sb="0" eb="2">
      <t>カンジャ</t>
    </rPh>
    <rPh sb="2" eb="4">
      <t>アンナイ</t>
    </rPh>
    <rPh sb="8" eb="10">
      <t>カンバン</t>
    </rPh>
    <rPh sb="11" eb="14">
      <t>セッチリョウ</t>
    </rPh>
    <phoneticPr fontId="1"/>
  </si>
  <si>
    <t xml:space="preserve"> ホームページ上に外来対応医療機関である
ことを明記するための改修費</t>
    <rPh sb="7" eb="8">
      <t>ジョウ</t>
    </rPh>
    <rPh sb="9" eb="11">
      <t>ガイライ</t>
    </rPh>
    <rPh sb="11" eb="13">
      <t>タイオウ</t>
    </rPh>
    <rPh sb="13" eb="15">
      <t>イリョウ</t>
    </rPh>
    <rPh sb="15" eb="17">
      <t>キカン</t>
    </rPh>
    <rPh sb="24" eb="26">
      <t>メイキ</t>
    </rPh>
    <rPh sb="31" eb="34">
      <t>カイシュウヒ</t>
    </rPh>
    <phoneticPr fontId="1"/>
  </si>
  <si>
    <t>月</t>
    <rPh sb="0" eb="1">
      <t>ガツ</t>
    </rPh>
    <phoneticPr fontId="1"/>
  </si>
  <si>
    <t xml:space="preserve">
ことを明記するための改修費</t>
    <rPh sb="4" eb="6">
      <t>メイキ</t>
    </rPh>
    <rPh sb="11" eb="14">
      <t>カイシュウヒ</t>
    </rPh>
    <phoneticPr fontId="1"/>
  </si>
  <si>
    <t>非接触サーモグラフィーカメラ</t>
    <rPh sb="0" eb="1">
      <t>ヒ</t>
    </rPh>
    <rPh sb="1" eb="3">
      <t>セッショク</t>
    </rPh>
    <phoneticPr fontId="1"/>
  </si>
  <si>
    <t xml:space="preserve"> ホームページ</t>
    <phoneticPr fontId="1"/>
  </si>
  <si>
    <t>換気設備修繕費</t>
    <rPh sb="0" eb="2">
      <t>カンキ</t>
    </rPh>
    <rPh sb="2" eb="4">
      <t>セツビ</t>
    </rPh>
    <rPh sb="4" eb="7">
      <t>シュウゼンヒ</t>
    </rPh>
    <phoneticPr fontId="1"/>
  </si>
  <si>
    <t>医療機器</t>
    <rPh sb="0" eb="2">
      <t>イリョウ</t>
    </rPh>
    <rPh sb="2" eb="4">
      <t>キキ</t>
    </rPh>
    <phoneticPr fontId="1"/>
  </si>
  <si>
    <t>最終納品日</t>
    <rPh sb="0" eb="2">
      <t>サイシュウ</t>
    </rPh>
    <rPh sb="2" eb="5">
      <t>ノウヒンビ</t>
    </rPh>
    <phoneticPr fontId="1"/>
  </si>
  <si>
    <t>個別</t>
    <rPh sb="0" eb="2">
      <t>コベツ</t>
    </rPh>
    <phoneticPr fontId="1"/>
  </si>
  <si>
    <t>総合</t>
    <rPh sb="0" eb="2">
      <t>ソウゴウ</t>
    </rPh>
    <phoneticPr fontId="1"/>
  </si>
  <si>
    <t>新型コロナウイルス発熱外来対応を行う時間帯の設定について選択してください。</t>
    <rPh sb="16" eb="17">
      <t>オコナ</t>
    </rPh>
    <rPh sb="18" eb="21">
      <t>ジカンタイ</t>
    </rPh>
    <rPh sb="22" eb="24">
      <t>セッテイ</t>
    </rPh>
    <rPh sb="28" eb="30">
      <t>センタク</t>
    </rPh>
    <phoneticPr fontId="1"/>
  </si>
  <si>
    <t>一般外来対応の時間帯と別枠の時間帯を設けて実施</t>
    <rPh sb="0" eb="2">
      <t>イッパン</t>
    </rPh>
    <rPh sb="2" eb="4">
      <t>ガイライ</t>
    </rPh>
    <rPh sb="4" eb="6">
      <t>タイオウ</t>
    </rPh>
    <rPh sb="7" eb="10">
      <t>ジカンタイ</t>
    </rPh>
    <rPh sb="11" eb="13">
      <t>ベツワク</t>
    </rPh>
    <rPh sb="14" eb="17">
      <t>ジカンタイ</t>
    </rPh>
    <rPh sb="18" eb="19">
      <t>モウ</t>
    </rPh>
    <rPh sb="21" eb="23">
      <t>ジッシ</t>
    </rPh>
    <phoneticPr fontId="1"/>
  </si>
  <si>
    <t>一般外来対応時間帯の中で、随時応需</t>
    <rPh sb="0" eb="2">
      <t>イッパン</t>
    </rPh>
    <rPh sb="2" eb="4">
      <t>ガイライ</t>
    </rPh>
    <rPh sb="4" eb="6">
      <t>タイオウ</t>
    </rPh>
    <rPh sb="6" eb="9">
      <t>ジカンタイ</t>
    </rPh>
    <rPh sb="10" eb="11">
      <t>ナカ</t>
    </rPh>
    <rPh sb="13" eb="15">
      <t>ズイジ</t>
    </rPh>
    <rPh sb="15" eb="17">
      <t>オウジュ</t>
    </rPh>
    <phoneticPr fontId="1"/>
  </si>
  <si>
    <t>新型コロナウイルス発熱外来対応を行う医師及び看護師の１日あたりの平均配置人数を入力してください。</t>
    <rPh sb="16" eb="17">
      <t>オコナ</t>
    </rPh>
    <rPh sb="18" eb="20">
      <t>イシ</t>
    </rPh>
    <rPh sb="20" eb="21">
      <t>オヨ</t>
    </rPh>
    <rPh sb="22" eb="25">
      <t>カンゴシ</t>
    </rPh>
    <rPh sb="27" eb="28">
      <t>ニチ</t>
    </rPh>
    <rPh sb="32" eb="34">
      <t>ヘイキン</t>
    </rPh>
    <rPh sb="34" eb="36">
      <t>ハイチ</t>
    </rPh>
    <rPh sb="36" eb="38">
      <t>ニンズウ</t>
    </rPh>
    <rPh sb="39" eb="41">
      <t>ニュウリョク</t>
    </rPh>
    <phoneticPr fontId="1"/>
  </si>
  <si>
    <t>医師</t>
    <rPh sb="0" eb="2">
      <t>イシ</t>
    </rPh>
    <phoneticPr fontId="1"/>
  </si>
  <si>
    <t>看護師</t>
    <rPh sb="0" eb="3">
      <t>カンゴシ</t>
    </rPh>
    <phoneticPr fontId="1"/>
  </si>
  <si>
    <t>新型コロナウイルス発熱外来対応を行う診療スペースの個所数及び形態について選択してください。</t>
    <rPh sb="18" eb="20">
      <t>シンリョウ</t>
    </rPh>
    <rPh sb="25" eb="27">
      <t>カショ</t>
    </rPh>
    <rPh sb="27" eb="28">
      <t>スウ</t>
    </rPh>
    <rPh sb="28" eb="29">
      <t>オヨ</t>
    </rPh>
    <rPh sb="30" eb="32">
      <t>ケイタイ</t>
    </rPh>
    <rPh sb="36" eb="38">
      <t>センタク</t>
    </rPh>
    <phoneticPr fontId="1"/>
  </si>
  <si>
    <t>ア　個所数</t>
    <rPh sb="2" eb="4">
      <t>カショ</t>
    </rPh>
    <rPh sb="4" eb="5">
      <t>スウ</t>
    </rPh>
    <phoneticPr fontId="1"/>
  </si>
  <si>
    <t>イ　診療スペースの形態</t>
    <rPh sb="2" eb="4">
      <t>シンリョウ</t>
    </rPh>
    <rPh sb="9" eb="11">
      <t>ケイタイ</t>
    </rPh>
    <phoneticPr fontId="1"/>
  </si>
  <si>
    <t>屋外に簡易診療スペースを設けて実施</t>
    <rPh sb="0" eb="2">
      <t>オクガイ</t>
    </rPh>
    <rPh sb="3" eb="5">
      <t>カンイ</t>
    </rPh>
    <rPh sb="5" eb="7">
      <t>シンリョウ</t>
    </rPh>
    <rPh sb="12" eb="13">
      <t>モウ</t>
    </rPh>
    <rPh sb="15" eb="17">
      <t>ジッシ</t>
    </rPh>
    <phoneticPr fontId="1"/>
  </si>
  <si>
    <t>院内診察室で実施</t>
    <rPh sb="0" eb="2">
      <t>インナイ</t>
    </rPh>
    <rPh sb="2" eb="4">
      <t>シンサツ</t>
    </rPh>
    <rPh sb="4" eb="5">
      <t>シツ</t>
    </rPh>
    <rPh sb="6" eb="8">
      <t>ジッシ</t>
    </rPh>
    <phoneticPr fontId="1"/>
  </si>
  <si>
    <t>（備考）複数個所毎に形態が異なるあるいは「その他」を選択した際、詳細を記入してください。</t>
    <rPh sb="1" eb="3">
      <t>ビコウ</t>
    </rPh>
    <rPh sb="4" eb="6">
      <t>フクスウ</t>
    </rPh>
    <rPh sb="6" eb="8">
      <t>カショ</t>
    </rPh>
    <rPh sb="8" eb="9">
      <t>ゴト</t>
    </rPh>
    <rPh sb="10" eb="12">
      <t>ケイタイ</t>
    </rPh>
    <rPh sb="13" eb="14">
      <t>コト</t>
    </rPh>
    <rPh sb="23" eb="24">
      <t>タ</t>
    </rPh>
    <rPh sb="26" eb="28">
      <t>センタク</t>
    </rPh>
    <rPh sb="30" eb="31">
      <t>サイ</t>
    </rPh>
    <rPh sb="32" eb="34">
      <t>ショウサイ</t>
    </rPh>
    <rPh sb="35" eb="37">
      <t>キニュウ</t>
    </rPh>
    <phoneticPr fontId="1"/>
  </si>
  <si>
    <t>これまでの新型コロナウイルス感染症疑い患者の外来対応を行った実績（応需患者数）を入力してください。</t>
    <rPh sb="5" eb="7">
      <t>シンガタ</t>
    </rPh>
    <rPh sb="14" eb="17">
      <t>カンセンショウ</t>
    </rPh>
    <rPh sb="17" eb="18">
      <t>ウタガ</t>
    </rPh>
    <rPh sb="19" eb="21">
      <t>カンジャ</t>
    </rPh>
    <rPh sb="22" eb="24">
      <t>ガイライ</t>
    </rPh>
    <rPh sb="24" eb="26">
      <t>タイオウ</t>
    </rPh>
    <rPh sb="27" eb="28">
      <t>オコナ</t>
    </rPh>
    <rPh sb="30" eb="32">
      <t>ジッセキ</t>
    </rPh>
    <rPh sb="33" eb="35">
      <t>オウジュ</t>
    </rPh>
    <rPh sb="35" eb="38">
      <t>カンジャスウ</t>
    </rPh>
    <rPh sb="40" eb="42">
      <t>ニュウリョク</t>
    </rPh>
    <phoneticPr fontId="1"/>
  </si>
  <si>
    <t>２月</t>
  </si>
  <si>
    <t>３月</t>
  </si>
  <si>
    <t>４月</t>
  </si>
  <si>
    <t>５月</t>
  </si>
  <si>
    <t>６月</t>
  </si>
  <si>
    <t>７月</t>
  </si>
  <si>
    <t>８月</t>
  </si>
  <si>
    <t>９月</t>
  </si>
  <si>
    <t>月間において０人の場合は「０」と入力してください。</t>
    <rPh sb="0" eb="2">
      <t>ゲッカン</t>
    </rPh>
    <rPh sb="7" eb="8">
      <t>ニン</t>
    </rPh>
    <rPh sb="9" eb="11">
      <t>バアイ</t>
    </rPh>
    <rPh sb="16" eb="18">
      <t>ニュウリョク</t>
    </rPh>
    <phoneticPr fontId="1"/>
  </si>
  <si>
    <t>なお、記載の実績数について確認する必要があると判断した際には診療報酬明細書の写しの提出を求めることがあります。</t>
    <rPh sb="3" eb="5">
      <t>キサイ</t>
    </rPh>
    <rPh sb="6" eb="8">
      <t>ジッセキ</t>
    </rPh>
    <rPh sb="8" eb="9">
      <t>スウ</t>
    </rPh>
    <rPh sb="13" eb="15">
      <t>カクニン</t>
    </rPh>
    <rPh sb="17" eb="19">
      <t>ヒツヨウ</t>
    </rPh>
    <rPh sb="23" eb="25">
      <t>ハンダン</t>
    </rPh>
    <rPh sb="27" eb="28">
      <t>サイ</t>
    </rPh>
    <rPh sb="30" eb="32">
      <t>シンリョウ</t>
    </rPh>
    <rPh sb="32" eb="34">
      <t>ホウシュウ</t>
    </rPh>
    <rPh sb="34" eb="37">
      <t>メイサイショ</t>
    </rPh>
    <rPh sb="38" eb="39">
      <t>ウツ</t>
    </rPh>
    <rPh sb="41" eb="43">
      <t>テイシュツ</t>
    </rPh>
    <rPh sb="44" eb="45">
      <t>モト</t>
    </rPh>
    <phoneticPr fontId="1"/>
  </si>
  <si>
    <t>外来患者が来院してから外来対応を行う際の手順の流れについて記入してください。</t>
    <rPh sb="0" eb="2">
      <t>ガイライ</t>
    </rPh>
    <rPh sb="2" eb="4">
      <t>カンジャ</t>
    </rPh>
    <rPh sb="5" eb="7">
      <t>ライイン</t>
    </rPh>
    <rPh sb="11" eb="13">
      <t>ガイライ</t>
    </rPh>
    <rPh sb="13" eb="15">
      <t>タイオウ</t>
    </rPh>
    <rPh sb="16" eb="17">
      <t>オコナ</t>
    </rPh>
    <rPh sb="18" eb="19">
      <t>サイ</t>
    </rPh>
    <rPh sb="20" eb="22">
      <t>テジュン</t>
    </rPh>
    <rPh sb="23" eb="24">
      <t>ナガ</t>
    </rPh>
    <rPh sb="29" eb="31">
      <t>キニュウ</t>
    </rPh>
    <phoneticPr fontId="1"/>
  </si>
  <si>
    <t>受付</t>
    <rPh sb="0" eb="2">
      <t>ウケツケ</t>
    </rPh>
    <phoneticPr fontId="1"/>
  </si>
  <si>
    <t>手順</t>
    <rPh sb="0" eb="2">
      <t>テジュン</t>
    </rPh>
    <phoneticPr fontId="1"/>
  </si>
  <si>
    <t>診察</t>
    <rPh sb="0" eb="2">
      <t>シンサツ</t>
    </rPh>
    <phoneticPr fontId="1"/>
  </si>
  <si>
    <t>検査</t>
    <rPh sb="0" eb="2">
      <t>ケンサ</t>
    </rPh>
    <phoneticPr fontId="1"/>
  </si>
  <si>
    <t>場所</t>
    <rPh sb="0" eb="2">
      <t>バショ</t>
    </rPh>
    <phoneticPr fontId="1"/>
  </si>
  <si>
    <t>屋外受付スペース</t>
    <rPh sb="0" eb="2">
      <t>オクガイ</t>
    </rPh>
    <rPh sb="2" eb="4">
      <t>ウケツケ</t>
    </rPh>
    <phoneticPr fontId="1"/>
  </si>
  <si>
    <t>院内受付</t>
    <rPh sb="0" eb="2">
      <t>インナイ</t>
    </rPh>
    <rPh sb="2" eb="4">
      <t>ウケツケ</t>
    </rPh>
    <phoneticPr fontId="1"/>
  </si>
  <si>
    <t>屋外の簡易診療スペース</t>
    <rPh sb="0" eb="2">
      <t>オクガイ</t>
    </rPh>
    <rPh sb="3" eb="5">
      <t>カンイ</t>
    </rPh>
    <rPh sb="5" eb="7">
      <t>シンリョウ</t>
    </rPh>
    <phoneticPr fontId="1"/>
  </si>
  <si>
    <t>屋外の検査スペース</t>
    <rPh sb="0" eb="2">
      <t>オクガイ</t>
    </rPh>
    <rPh sb="3" eb="5">
      <t>ケンサ</t>
    </rPh>
    <phoneticPr fontId="1"/>
  </si>
  <si>
    <t>屋内の検査室</t>
    <rPh sb="0" eb="2">
      <t>オクナイ</t>
    </rPh>
    <rPh sb="3" eb="6">
      <t>ケンサシツ</t>
    </rPh>
    <phoneticPr fontId="1"/>
  </si>
  <si>
    <t>屋内の診察室</t>
    <rPh sb="0" eb="2">
      <t>オクナイ</t>
    </rPh>
    <rPh sb="3" eb="5">
      <t>シンサツ</t>
    </rPh>
    <rPh sb="5" eb="6">
      <t>シツ</t>
    </rPh>
    <phoneticPr fontId="1"/>
  </si>
  <si>
    <t>対応者</t>
    <rPh sb="0" eb="2">
      <t>タイオウ</t>
    </rPh>
    <rPh sb="2" eb="3">
      <t>シャ</t>
    </rPh>
    <phoneticPr fontId="1"/>
  </si>
  <si>
    <t>事務員</t>
    <rPh sb="0" eb="3">
      <t>ジムイン</t>
    </rPh>
    <phoneticPr fontId="1"/>
  </si>
  <si>
    <t>実施内容</t>
    <rPh sb="0" eb="2">
      <t>ジッシ</t>
    </rPh>
    <rPh sb="2" eb="4">
      <t>ナイヨウ</t>
    </rPh>
    <phoneticPr fontId="1"/>
  </si>
  <si>
    <t>診療については、問診、聴診等の実施事項を列記し、実施方法（電話での問診等）も記入すること。</t>
    <rPh sb="0" eb="2">
      <t>シンリョウ</t>
    </rPh>
    <rPh sb="8" eb="10">
      <t>モンシン</t>
    </rPh>
    <rPh sb="11" eb="13">
      <t>チョウシン</t>
    </rPh>
    <rPh sb="13" eb="14">
      <t>トウ</t>
    </rPh>
    <rPh sb="15" eb="17">
      <t>ジッシ</t>
    </rPh>
    <rPh sb="17" eb="19">
      <t>ジコウ</t>
    </rPh>
    <rPh sb="20" eb="22">
      <t>レッキ</t>
    </rPh>
    <rPh sb="24" eb="26">
      <t>ジッシ</t>
    </rPh>
    <rPh sb="26" eb="28">
      <t>ホウホウ</t>
    </rPh>
    <rPh sb="29" eb="31">
      <t>デンワ</t>
    </rPh>
    <rPh sb="33" eb="35">
      <t>モンシン</t>
    </rPh>
    <rPh sb="35" eb="36">
      <t>トウ</t>
    </rPh>
    <rPh sb="38" eb="40">
      <t>キニュウ</t>
    </rPh>
    <phoneticPr fontId="1"/>
  </si>
  <si>
    <t>検査については、検体採取の方法（容器の手渡し、ぬぐい液の採取等）を検査種別（抗原検査、PCR検査）毎に記入すること。</t>
    <rPh sb="0" eb="2">
      <t>ケンサ</t>
    </rPh>
    <rPh sb="8" eb="10">
      <t>ケンタイ</t>
    </rPh>
    <rPh sb="10" eb="12">
      <t>サイシュ</t>
    </rPh>
    <rPh sb="13" eb="15">
      <t>ホウホウ</t>
    </rPh>
    <rPh sb="16" eb="18">
      <t>ヨウキ</t>
    </rPh>
    <rPh sb="19" eb="21">
      <t>テワタ</t>
    </rPh>
    <rPh sb="26" eb="27">
      <t>エキ</t>
    </rPh>
    <rPh sb="28" eb="30">
      <t>サイシュ</t>
    </rPh>
    <rPh sb="30" eb="31">
      <t>トウ</t>
    </rPh>
    <rPh sb="33" eb="35">
      <t>ケンサ</t>
    </rPh>
    <rPh sb="35" eb="37">
      <t>シュベツ</t>
    </rPh>
    <rPh sb="38" eb="40">
      <t>コウゲン</t>
    </rPh>
    <rPh sb="40" eb="42">
      <t>ケンサ</t>
    </rPh>
    <rPh sb="46" eb="48">
      <t>ケンサ</t>
    </rPh>
    <rPh sb="49" eb="50">
      <t>ゴト</t>
    </rPh>
    <rPh sb="51" eb="53">
      <t>キニュウ</t>
    </rPh>
    <phoneticPr fontId="1"/>
  </si>
  <si>
    <t>×</t>
    <phoneticPr fontId="1"/>
  </si>
  <si>
    <t>適切に入力がされました。</t>
    <rPh sb="0" eb="2">
      <t>テキセツ</t>
    </rPh>
    <rPh sb="3" eb="5">
      <t>ニュウリョク</t>
    </rPh>
    <phoneticPr fontId="1"/>
  </si>
  <si>
    <t>【要修正】未入力または入力不十分の箇所があります。</t>
    <rPh sb="1" eb="2">
      <t>ヨウ</t>
    </rPh>
    <rPh sb="2" eb="4">
      <t>シュウセイ</t>
    </rPh>
    <rPh sb="5" eb="8">
      <t>ミニュウリョク</t>
    </rPh>
    <rPh sb="11" eb="16">
      <t>ニュウリョクフジュウブン</t>
    </rPh>
    <rPh sb="17" eb="19">
      <t>カショ</t>
    </rPh>
    <phoneticPr fontId="1"/>
  </si>
  <si>
    <t>基本情報</t>
    <rPh sb="0" eb="2">
      <t>キホン</t>
    </rPh>
    <rPh sb="2" eb="4">
      <t>ジョウホウ</t>
    </rPh>
    <phoneticPr fontId="1"/>
  </si>
  <si>
    <t>　申請者は、以下いずれの事項にも該当するものであることを申し立てます。
□　補助を受ける経費について他の補助金等の交付を受けていないこと。
□　外来対応医療機関として指定を受けてから少なくとも令和５年度中は指定継続の上、外来対応を行うこと。
□　令和５年度中に外来対応医療機関の指定が解除された際、本補助金の交付申請を取り下げること。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170" eb="171">
      <t>ホン</t>
    </rPh>
    <rPh sb="171" eb="174">
      <t>ホジョキン</t>
    </rPh>
    <rPh sb="177" eb="179">
      <t>セイビ</t>
    </rPh>
    <rPh sb="184" eb="186">
      <t>シンガタ</t>
    </rPh>
    <rPh sb="193" eb="196">
      <t>カンセンショウ</t>
    </rPh>
    <rPh sb="196" eb="198">
      <t>タイサク</t>
    </rPh>
    <rPh sb="199" eb="201">
      <t>モクテキ</t>
    </rPh>
    <rPh sb="202" eb="203">
      <t>ガイ</t>
    </rPh>
    <rPh sb="204" eb="206">
      <t>シヨウ</t>
    </rPh>
    <rPh sb="215" eb="216">
      <t>ホン</t>
    </rPh>
    <rPh sb="256" eb="257">
      <t>マタ</t>
    </rPh>
    <phoneticPr fontId="1"/>
  </si>
  <si>
    <r>
      <t xml:space="preserve">　申請者は、以下いずれの事項にも該当するものであることを申し立てます。
</t>
    </r>
    <r>
      <rPr>
        <b/>
        <sz val="11"/>
        <color theme="1"/>
        <rFont val="Segoe UI Symbol"/>
        <family val="2"/>
      </rPr>
      <t>☑</t>
    </r>
    <r>
      <rPr>
        <b/>
        <sz val="11"/>
        <color theme="1"/>
        <rFont val="游ゴシック"/>
        <family val="3"/>
        <charset val="128"/>
        <scheme val="minor"/>
      </rPr>
      <t xml:space="preserve">　補助を受ける経費について他の補助金等の交付を受けていないこと。
</t>
    </r>
    <r>
      <rPr>
        <b/>
        <sz val="11"/>
        <color theme="1"/>
        <rFont val="Segoe UI Symbol"/>
        <family val="3"/>
      </rPr>
      <t>☑</t>
    </r>
    <r>
      <rPr>
        <b/>
        <sz val="11"/>
        <color theme="1"/>
        <rFont val="游ゴシック"/>
        <family val="3"/>
        <charset val="128"/>
        <scheme val="minor"/>
      </rPr>
      <t xml:space="preserve">　外来対応医療機関として指定を受けてから少なくとも令和５年度中は指定継続の上、外来対応を行うこと。
</t>
    </r>
    <r>
      <rPr>
        <b/>
        <sz val="11"/>
        <color theme="1"/>
        <rFont val="Segoe UI Symbol"/>
        <family val="3"/>
      </rPr>
      <t>☑</t>
    </r>
    <r>
      <rPr>
        <b/>
        <sz val="11"/>
        <color theme="1"/>
        <rFont val="游ゴシック"/>
        <family val="3"/>
        <charset val="128"/>
        <scheme val="minor"/>
      </rPr>
      <t xml:space="preserve">　令和５年度中に外来対応医療機関の指定が解除された際、本補助金の交付申請を取り下げること。
</t>
    </r>
    <r>
      <rPr>
        <b/>
        <sz val="11"/>
        <color theme="1"/>
        <rFont val="Segoe UI Symbol"/>
        <family val="2"/>
      </rPr>
      <t>☑</t>
    </r>
    <r>
      <rPr>
        <b/>
        <sz val="11"/>
        <color theme="1"/>
        <rFont val="游ゴシック"/>
        <family val="3"/>
        <charset val="128"/>
        <scheme val="minor"/>
      </rPr>
      <t xml:space="preserve">　本補助金により整備の物品は新型コロナウイルス感染症対策の目的以外に使用しないこと。
</t>
    </r>
    <r>
      <rPr>
        <b/>
        <sz val="11"/>
        <color theme="1"/>
        <rFont val="Segoe UI Symbol"/>
        <family val="2"/>
      </rPr>
      <t>☑</t>
    </r>
    <r>
      <rPr>
        <b/>
        <sz val="11"/>
        <color theme="1"/>
        <rFont val="游ゴシック"/>
        <family val="3"/>
        <charset val="128"/>
        <scheme val="minor"/>
      </rPr>
      <t xml:space="preserve">　本補助金の収入、支出等に係る証拠書類を５年間適切に整備保管すること。
</t>
    </r>
    <r>
      <rPr>
        <b/>
        <sz val="11"/>
        <color theme="1"/>
        <rFont val="Segoe UI Symbol"/>
        <family val="2"/>
      </rPr>
      <t>☑</t>
    </r>
    <r>
      <rPr>
        <b/>
        <sz val="11"/>
        <color theme="1"/>
        <rFont val="游ゴシック"/>
        <family val="3"/>
        <charset val="128"/>
        <scheme val="minor"/>
      </rPr>
      <t>　暴力団員又は暴力団関係者と実質的を含めいかなる関係も有していないこと。</t>
    </r>
    <rPh sb="1" eb="3">
      <t>シンセイ</t>
    </rPh>
    <rPh sb="6" eb="8">
      <t>イカ</t>
    </rPh>
    <rPh sb="12" eb="14">
      <t>ジコウ</t>
    </rPh>
    <rPh sb="16" eb="18">
      <t>ガイトウ</t>
    </rPh>
    <rPh sb="28" eb="29">
      <t>モウ</t>
    </rPh>
    <rPh sb="30" eb="31">
      <t>タ</t>
    </rPh>
    <rPh sb="170" eb="171">
      <t>ホン</t>
    </rPh>
    <rPh sb="171" eb="174">
      <t>ホジョキン</t>
    </rPh>
    <rPh sb="200" eb="202">
      <t>イガイ</t>
    </rPh>
    <rPh sb="214" eb="215">
      <t>ホン</t>
    </rPh>
    <rPh sb="255" eb="256">
      <t>マタ</t>
    </rPh>
    <phoneticPr fontId="1"/>
  </si>
  <si>
    <t>（取替えを行う場合は既設及び新設設備の製品仕様を確認できるカタログ等の提出が必要であること。）</t>
    <rPh sb="1" eb="3">
      <t>トリカ</t>
    </rPh>
    <rPh sb="5" eb="6">
      <t>オコナ</t>
    </rPh>
    <rPh sb="7" eb="9">
      <t>バアイ</t>
    </rPh>
    <rPh sb="10" eb="12">
      <t>キセツ</t>
    </rPh>
    <rPh sb="12" eb="13">
      <t>オヨ</t>
    </rPh>
    <rPh sb="14" eb="16">
      <t>シンセツ</t>
    </rPh>
    <rPh sb="16" eb="18">
      <t>セツビ</t>
    </rPh>
    <rPh sb="19" eb="21">
      <t>セイヒン</t>
    </rPh>
    <rPh sb="21" eb="23">
      <t>シヨウ</t>
    </rPh>
    <rPh sb="24" eb="26">
      <t>カクニン</t>
    </rPh>
    <rPh sb="33" eb="34">
      <t>トウ</t>
    </rPh>
    <rPh sb="35" eb="37">
      <t>テイシュツ</t>
    </rPh>
    <rPh sb="38" eb="40">
      <t>ヒツヨウ</t>
    </rPh>
    <phoneticPr fontId="1"/>
  </si>
  <si>
    <t>縦(cm)</t>
    <rPh sb="0" eb="1">
      <t>タテ</t>
    </rPh>
    <phoneticPr fontId="1"/>
  </si>
  <si>
    <t>税抜単価</t>
    <rPh sb="0" eb="2">
      <t>ゼイヌキ</t>
    </rPh>
    <rPh sb="2" eb="4">
      <t>タンカ</t>
    </rPh>
    <phoneticPr fontId="1"/>
  </si>
  <si>
    <t>　□　設置個所図面及び設置状況が判る写真（他の整備品目がある場合、一括で作成して構わない。)</t>
    <rPh sb="3" eb="5">
      <t>セッチ</t>
    </rPh>
    <rPh sb="5" eb="7">
      <t>カショ</t>
    </rPh>
    <rPh sb="7" eb="9">
      <t>ズメン</t>
    </rPh>
    <rPh sb="9" eb="10">
      <t>オヨ</t>
    </rPh>
    <rPh sb="11" eb="13">
      <t>セッチ</t>
    </rPh>
    <rPh sb="13" eb="15">
      <t>ジョウキョウ</t>
    </rPh>
    <rPh sb="16" eb="17">
      <t>ワカ</t>
    </rPh>
    <rPh sb="18" eb="20">
      <t>シャシン</t>
    </rPh>
    <rPh sb="21" eb="22">
      <t>タ</t>
    </rPh>
    <rPh sb="23" eb="25">
      <t>セイビ</t>
    </rPh>
    <rPh sb="25" eb="27">
      <t>ヒンモク</t>
    </rPh>
    <rPh sb="30" eb="32">
      <t>バアイ</t>
    </rPh>
    <rPh sb="33" eb="35">
      <t>イッカツ</t>
    </rPh>
    <rPh sb="36" eb="38">
      <t>サクセイ</t>
    </rPh>
    <rPh sb="40" eb="41">
      <t>カマ</t>
    </rPh>
    <phoneticPr fontId="1"/>
  </si>
  <si>
    <t>面積（㎠）</t>
    <rPh sb="0" eb="2">
      <t>メンセキ</t>
    </rPh>
    <phoneticPr fontId="1"/>
  </si>
  <si>
    <t>１.普通２.当座</t>
    <rPh sb="2" eb="4">
      <t>フツウ</t>
    </rPh>
    <rPh sb="6" eb="8">
      <t>トウザ</t>
    </rPh>
    <phoneticPr fontId="1"/>
  </si>
  <si>
    <t>　□　設置個所図面及び設置状況が判る写真（他の整備品目がある場合、一括で作成して構わない。）</t>
    <rPh sb="3" eb="5">
      <t>セッチ</t>
    </rPh>
    <rPh sb="5" eb="7">
      <t>カショ</t>
    </rPh>
    <rPh sb="7" eb="9">
      <t>ズメン</t>
    </rPh>
    <rPh sb="9" eb="10">
      <t>オヨ</t>
    </rPh>
    <rPh sb="11" eb="13">
      <t>セッチ</t>
    </rPh>
    <rPh sb="13" eb="15">
      <t>ジョウキョウ</t>
    </rPh>
    <rPh sb="16" eb="17">
      <t>ワカ</t>
    </rPh>
    <rPh sb="18" eb="20">
      <t>シャシン</t>
    </rPh>
    <rPh sb="21" eb="22">
      <t>タ</t>
    </rPh>
    <rPh sb="23" eb="25">
      <t>セイビ</t>
    </rPh>
    <rPh sb="25" eb="27">
      <t>ヒンモク</t>
    </rPh>
    <rPh sb="30" eb="32">
      <t>バアイ</t>
    </rPh>
    <rPh sb="33" eb="35">
      <t>イッカツ</t>
    </rPh>
    <rPh sb="36" eb="38">
      <t>サクセイ</t>
    </rPh>
    <rPh sb="40" eb="41">
      <t>カマ</t>
    </rPh>
    <phoneticPr fontId="1"/>
  </si>
  <si>
    <t>医療機器・サーモグラフィーカメラ・換気設備の助成申請を行う場合のみ</t>
    <rPh sb="0" eb="4">
      <t>イリョウキキ</t>
    </rPh>
    <rPh sb="17" eb="21">
      <t>カンキセツビ</t>
    </rPh>
    <rPh sb="22" eb="26">
      <t>ジョセイシンセイ</t>
    </rPh>
    <rPh sb="27" eb="28">
      <t>オコナ</t>
    </rPh>
    <rPh sb="29" eb="31">
      <t>バアイ</t>
    </rPh>
    <phoneticPr fontId="1"/>
  </si>
  <si>
    <t>医療機器・サーモグラフィーカメラ・換気設備</t>
    <rPh sb="0" eb="4">
      <t>イリョウキキ</t>
    </rPh>
    <rPh sb="17" eb="21">
      <t>カンキセツビ</t>
    </rPh>
    <phoneticPr fontId="1"/>
  </si>
  <si>
    <t>敷地内看板</t>
    <rPh sb="0" eb="5">
      <t>シキチナイカンバン</t>
    </rPh>
    <phoneticPr fontId="1"/>
  </si>
  <si>
    <t>３種類目</t>
    <rPh sb="1" eb="3">
      <t>シュルイ</t>
    </rPh>
    <rPh sb="3" eb="4">
      <t>メ</t>
    </rPh>
    <phoneticPr fontId="1"/>
  </si>
  <si>
    <t>４種類目</t>
    <rPh sb="1" eb="3">
      <t>シュルイ</t>
    </rPh>
    <rPh sb="3" eb="4">
      <t>メ</t>
    </rPh>
    <phoneticPr fontId="1"/>
  </si>
  <si>
    <t>番号</t>
    <rPh sb="0" eb="2">
      <t>バンゴウ</t>
    </rPh>
    <phoneticPr fontId="12"/>
  </si>
  <si>
    <t>確認の点</t>
    <rPh sb="0" eb="2">
      <t>カクニン</t>
    </rPh>
    <rPh sb="3" eb="4">
      <t>テン</t>
    </rPh>
    <phoneticPr fontId="12"/>
  </si>
  <si>
    <t>再確認の点</t>
    <rPh sb="0" eb="1">
      <t>サイ</t>
    </rPh>
    <rPh sb="1" eb="3">
      <t>カクニン</t>
    </rPh>
    <rPh sb="4" eb="5">
      <t>テン</t>
    </rPh>
    <phoneticPr fontId="12"/>
  </si>
  <si>
    <t>再回答</t>
    <rPh sb="0" eb="1">
      <t>サイ</t>
    </rPh>
    <rPh sb="1" eb="3">
      <t>カイトウ</t>
    </rPh>
    <phoneticPr fontId="12"/>
  </si>
  <si>
    <t>（１）最上段に例示と同様の記載を設けること。背景は黄色、橙等の警戒色、文字は黒、緑等の暗色とし総幅員のうちバナーを除いた部分を専有し総面積の15％以上とすること。
（２）以下の内容を記載し、これらの記載が占める面積はホームページ総面積の60％以上とすること。
・案内文（少なくともイメージ図の記載の要素を含めること。）
・病院情報（位置案内を含む。）
・電話番号
・位置図
・その他必要情報
（３）バナー部分を除いた総幅員を占有させて疑い患者発熱外来対応時間を記載すること。
　なお、専有割合は総面積の15％以上とすること。
（発熱外来応需以外の診療時間と混同しないこと。）
（４）A４用紙に倍率100パーセントで印刷した際に１枚に上記全ての情報が記載されること。</t>
    <rPh sb="57" eb="58">
      <t>ノゾ</t>
    </rPh>
    <rPh sb="60" eb="62">
      <t>ブブン</t>
    </rPh>
    <rPh sb="63" eb="65">
      <t>センユウ</t>
    </rPh>
    <rPh sb="86" eb="88">
      <t>イカ</t>
    </rPh>
    <rPh sb="89" eb="91">
      <t>ナイヨウ</t>
    </rPh>
    <rPh sb="100" eb="102">
      <t>キサイ</t>
    </rPh>
    <rPh sb="103" eb="104">
      <t>シ</t>
    </rPh>
    <rPh sb="106" eb="108">
      <t>メンセキ</t>
    </rPh>
    <rPh sb="132" eb="135">
      <t>アンナイブン</t>
    </rPh>
    <rPh sb="136" eb="137">
      <t>スク</t>
    </rPh>
    <rPh sb="145" eb="146">
      <t>ズ</t>
    </rPh>
    <rPh sb="147" eb="149">
      <t>キサイ</t>
    </rPh>
    <rPh sb="150" eb="152">
      <t>ヨウソ</t>
    </rPh>
    <rPh sb="153" eb="154">
      <t>フク</t>
    </rPh>
    <rPh sb="162" eb="166">
      <t>ビョウインジョウホウ</t>
    </rPh>
    <rPh sb="167" eb="171">
      <t>イチアンナイ</t>
    </rPh>
    <rPh sb="172" eb="173">
      <t>フク</t>
    </rPh>
    <rPh sb="191" eb="192">
      <t>タ</t>
    </rPh>
    <rPh sb="192" eb="196">
      <t>ヒツヨウジョウホウ</t>
    </rPh>
    <rPh sb="244" eb="248">
      <t>センユウワリアイ</t>
    </rPh>
    <rPh sb="296" eb="298">
      <t>ヨウシ</t>
    </rPh>
    <rPh sb="299" eb="301">
      <t>バイリツ</t>
    </rPh>
    <rPh sb="314" eb="315">
      <t>サイ</t>
    </rPh>
    <rPh sb="317" eb="318">
      <t>マイ</t>
    </rPh>
    <rPh sb="319" eb="321">
      <t>ジョウキ</t>
    </rPh>
    <rPh sb="321" eb="322">
      <t>スベ</t>
    </rPh>
    <rPh sb="324" eb="326">
      <t>ジョウホウ</t>
    </rPh>
    <rPh sb="327" eb="329">
      <t>キサイ</t>
    </rPh>
    <phoneticPr fontId="1"/>
  </si>
  <si>
    <t>（１）ア①</t>
    <phoneticPr fontId="1"/>
  </si>
  <si>
    <t>（１）ア②</t>
    <phoneticPr fontId="1"/>
  </si>
  <si>
    <t>基本情報シートに必要情報を入力してください。</t>
    <rPh sb="0" eb="2">
      <t>キホン</t>
    </rPh>
    <rPh sb="2" eb="4">
      <t>ジョウホウ</t>
    </rPh>
    <rPh sb="8" eb="10">
      <t>ヒツヨウ</t>
    </rPh>
    <rPh sb="10" eb="12">
      <t>ジョウホウ</t>
    </rPh>
    <rPh sb="13" eb="15">
      <t>ニュウリョク</t>
    </rPh>
    <phoneticPr fontId="1"/>
  </si>
  <si>
    <t>１．道路看板の場合
（１）最上段にイメージ図と同様の記載を設けること。背景は黄色、橙等の警戒色、文字は黒、緑等の暗色とし総幅員を専有し総面積の10%以上とすること。
（２）以下の点について記載し、これらの記載が占める面積は看板総面積の25%以上とすること。
・県指定「外来対応医療機関」   ・法人、医療機関名   ・電話番号   ・予約、診療体制に係る特記事項
（３）位置図(縮尺度)は、現在地を明示、設置個所に応じて1/500～1/1000とし、
　「直進○㎞、○○交差点を右折」等の文言を添え、総面積の20%以上とすること。
（４）最下段には看板総幅員を専有させ疑い患者発熱外来対応時間を記載、総面積の20%以上とすること。
　（発熱外来応需以外の診療時間と混同しないこと。）
２．敷地内看板の場合
（１）車両及び歩行者が公道の往来の際に明瞭に視認できる高さで製作・配置すること。
（２）最上段に例示と同様の記載を設けること。背景は黄色、橙等の警戒色、文字は黒、緑等の暗色とし総幅員を専有し総面積の15％以上とすること。
（３）以下の点について記載し、これらの記載が占める面積は看板総面積の30％以上とすること。
・県指定「外来対応医療機関」   ・法人、医療機関名   ・電話番号   ・予約、診療体制に係る特記事項
（４）最下段には看板総幅員を専有させ疑い患者発熱外来対応時間を記載、総面積の30％以上とすること。
　（発熱外来応需以外の診療時間と混同しないこと。）</t>
    <rPh sb="2" eb="6">
      <t>ドウロカンバン</t>
    </rPh>
    <rPh sb="7" eb="9">
      <t>バアイ</t>
    </rPh>
    <rPh sb="21" eb="22">
      <t>ズ</t>
    </rPh>
    <rPh sb="64" eb="66">
      <t>センユウ</t>
    </rPh>
    <rPh sb="86" eb="88">
      <t>イカ</t>
    </rPh>
    <rPh sb="89" eb="90">
      <t>テン</t>
    </rPh>
    <rPh sb="102" eb="104">
      <t>キサイ</t>
    </rPh>
    <rPh sb="105" eb="106">
      <t>シ</t>
    </rPh>
    <rPh sb="108" eb="110">
      <t>メンセキ</t>
    </rPh>
    <rPh sb="111" eb="113">
      <t>カンバン</t>
    </rPh>
    <rPh sb="147" eb="149">
      <t>ホウジン</t>
    </rPh>
    <rPh sb="280" eb="282">
      <t>センユウ</t>
    </rPh>
    <rPh sb="336" eb="341">
      <t>シキチナイカンバン</t>
    </rPh>
    <rPh sb="345" eb="348">
      <t>シャリョウオヨ</t>
    </rPh>
    <rPh sb="349" eb="352">
      <t>ホコウシャ</t>
    </rPh>
    <rPh sb="358" eb="360">
      <t>オウライ</t>
    </rPh>
    <rPh sb="361" eb="362">
      <t>サイ</t>
    </rPh>
    <rPh sb="363" eb="365">
      <t>メイリョウ</t>
    </rPh>
    <rPh sb="366" eb="368">
      <t>シニン</t>
    </rPh>
    <rPh sb="371" eb="372">
      <t>タカ</t>
    </rPh>
    <rPh sb="374" eb="376">
      <t>セイサク</t>
    </rPh>
    <rPh sb="377" eb="379">
      <t>ハイチ</t>
    </rPh>
    <rPh sb="445" eb="447">
      <t>センユウ</t>
    </rPh>
    <rPh sb="470" eb="471">
      <t>テン</t>
    </rPh>
    <rPh sb="528" eb="530">
      <t>ホウジン</t>
    </rPh>
    <rPh sb="577" eb="579">
      <t>センユウ</t>
    </rPh>
    <phoneticPr fontId="1"/>
  </si>
  <si>
    <t>医療機関名</t>
    <rPh sb="0" eb="2">
      <t>イリョウ</t>
    </rPh>
    <rPh sb="2" eb="4">
      <t>キカン</t>
    </rPh>
    <rPh sb="4" eb="5">
      <t>メイ</t>
    </rPh>
    <phoneticPr fontId="1"/>
  </si>
  <si>
    <t>位置情報・電話番号</t>
    <rPh sb="0" eb="4">
      <t>イチジョウホウ</t>
    </rPh>
    <rPh sb="5" eb="7">
      <t>デンワ</t>
    </rPh>
    <rPh sb="7" eb="9">
      <t>バンゴウ</t>
    </rPh>
    <phoneticPr fontId="1"/>
  </si>
  <si>
    <t>○標準仕様（詳細はHP掲載の標準仕様書を参照。仕様外のものは原則補助対象外となります。）</t>
    <rPh sb="1" eb="3">
      <t>ヒョウジュン</t>
    </rPh>
    <rPh sb="3" eb="5">
      <t>シヨウ</t>
    </rPh>
    <rPh sb="6" eb="8">
      <t>ショウサイ</t>
    </rPh>
    <rPh sb="11" eb="13">
      <t>ケイサイ</t>
    </rPh>
    <rPh sb="14" eb="19">
      <t>ヒョウジュンシヨウショ</t>
    </rPh>
    <rPh sb="20" eb="22">
      <t>サンショウ</t>
    </rPh>
    <rPh sb="23" eb="26">
      <t>シヨウガイ</t>
    </rPh>
    <rPh sb="30" eb="32">
      <t>ゲンソク</t>
    </rPh>
    <rPh sb="32" eb="37">
      <t>ホジョタイショウガイ</t>
    </rPh>
    <phoneticPr fontId="1"/>
  </si>
  <si>
    <t>金額</t>
    <rPh sb="0" eb="2">
      <t>キンガク</t>
    </rPh>
    <phoneticPr fontId="1"/>
  </si>
  <si>
    <t>令和５年度　新型コロナウイルス感染症外来対応医療機関確保事業費補助金　事前協議書</t>
    <rPh sb="0" eb="2">
      <t>レイワ</t>
    </rPh>
    <rPh sb="3" eb="5">
      <t>ネンド</t>
    </rPh>
    <rPh sb="6" eb="8">
      <t>シンガタ</t>
    </rPh>
    <rPh sb="15" eb="18">
      <t>カンセンショウ</t>
    </rPh>
    <rPh sb="18" eb="22">
      <t>ガイライタイオウ</t>
    </rPh>
    <rPh sb="22" eb="26">
      <t>イリョウキカン</t>
    </rPh>
    <rPh sb="26" eb="28">
      <t>カクホ</t>
    </rPh>
    <rPh sb="28" eb="31">
      <t>ジギョウヒ</t>
    </rPh>
    <rPh sb="31" eb="34">
      <t>ホジョキン</t>
    </rPh>
    <rPh sb="35" eb="40">
      <t>ジゼンキョウギショ</t>
    </rPh>
    <phoneticPr fontId="12"/>
  </si>
  <si>
    <t>１０月</t>
  </si>
  <si>
    <t>１１月</t>
  </si>
  <si>
    <t>１２月</t>
  </si>
  <si>
    <t>補助金額(税込)</t>
    <rPh sb="0" eb="2">
      <t>ホジョ</t>
    </rPh>
    <rPh sb="2" eb="4">
      <t>キンガク</t>
    </rPh>
    <rPh sb="5" eb="7">
      <t>ゼイコ</t>
    </rPh>
    <phoneticPr fontId="1"/>
  </si>
  <si>
    <t>番号</t>
    <rPh sb="0" eb="2">
      <t>バンゴウ</t>
    </rPh>
    <phoneticPr fontId="1"/>
  </si>
  <si>
    <t>提出日</t>
    <rPh sb="0" eb="3">
      <t>テイシュツビ</t>
    </rPh>
    <phoneticPr fontId="1"/>
  </si>
  <si>
    <t>法人名</t>
    <rPh sb="0" eb="3">
      <t>ホウジンメイ</t>
    </rPh>
    <phoneticPr fontId="1"/>
  </si>
  <si>
    <t>法人所在地</t>
    <rPh sb="0" eb="5">
      <t>ホウジンショザイチ</t>
    </rPh>
    <phoneticPr fontId="1"/>
  </si>
  <si>
    <t>施設名称</t>
    <rPh sb="0" eb="4">
      <t>シセツメイショウ</t>
    </rPh>
    <phoneticPr fontId="1"/>
  </si>
  <si>
    <t>代表者職名</t>
    <rPh sb="0" eb="5">
      <t>ダイヒョウシャショクメイ</t>
    </rPh>
    <phoneticPr fontId="1"/>
  </si>
  <si>
    <t>代表者氏名</t>
    <rPh sb="0" eb="5">
      <t>ダイヒョウシャシメイ</t>
    </rPh>
    <phoneticPr fontId="1"/>
  </si>
  <si>
    <t>担当部署</t>
    <rPh sb="0" eb="4">
      <t>タントウブショ</t>
    </rPh>
    <phoneticPr fontId="1"/>
  </si>
  <si>
    <t>担当者名</t>
    <rPh sb="0" eb="4">
      <t>タントウシャメイ</t>
    </rPh>
    <phoneticPr fontId="1"/>
  </si>
  <si>
    <t>電話番号</t>
    <rPh sb="0" eb="4">
      <t>デンワバンゴウ</t>
    </rPh>
    <phoneticPr fontId="1"/>
  </si>
  <si>
    <t>申請金額計</t>
    <rPh sb="0" eb="4">
      <t>シンセイキンガク</t>
    </rPh>
    <rPh sb="4" eb="5">
      <t>ケイ</t>
    </rPh>
    <phoneticPr fontId="1"/>
  </si>
  <si>
    <t>HP</t>
    <phoneticPr fontId="1"/>
  </si>
  <si>
    <t>サーモ</t>
    <phoneticPr fontId="1"/>
  </si>
  <si>
    <t>換気</t>
    <rPh sb="0" eb="2">
      <t>カンキ</t>
    </rPh>
    <phoneticPr fontId="1"/>
  </si>
  <si>
    <t>アドレス</t>
    <phoneticPr fontId="1"/>
  </si>
  <si>
    <t>銀行名</t>
    <rPh sb="0" eb="3">
      <t>ギンコウメイ</t>
    </rPh>
    <phoneticPr fontId="1"/>
  </si>
  <si>
    <t>支店名</t>
    <rPh sb="0" eb="3">
      <t>シテンメイ</t>
    </rPh>
    <phoneticPr fontId="1"/>
  </si>
  <si>
    <t>口座種別</t>
    <rPh sb="0" eb="4">
      <t>コウザシュベツ</t>
    </rPh>
    <phoneticPr fontId="1"/>
  </si>
  <si>
    <t>口座番号</t>
    <rPh sb="0" eb="4">
      <t>コウザバンゴウ</t>
    </rPh>
    <phoneticPr fontId="1"/>
  </si>
  <si>
    <t>外来対応医療機関指定日</t>
    <rPh sb="0" eb="8">
      <t>ガイライタイオウイリョウキカン</t>
    </rPh>
    <rPh sb="8" eb="11">
      <t>シテイビ</t>
    </rPh>
    <phoneticPr fontId="1"/>
  </si>
  <si>
    <t>年</t>
    <rPh sb="0" eb="1">
      <t>ネン</t>
    </rPh>
    <phoneticPr fontId="1"/>
  </si>
  <si>
    <t>令和</t>
    <phoneticPr fontId="1"/>
  </si>
  <si>
    <t>事前協議</t>
    <rPh sb="0" eb="4">
      <t>ジゼンキョウギ</t>
    </rPh>
    <phoneticPr fontId="1"/>
  </si>
  <si>
    <t>事前協議
令和5年度上半期において任意の事前協議を行ったか否かを選択してください。</t>
    <rPh sb="0" eb="4">
      <t>ジゼンキョウギ</t>
    </rPh>
    <rPh sb="5" eb="7">
      <t>レイワ</t>
    </rPh>
    <rPh sb="8" eb="13">
      <t>ネンドカミハンキ</t>
    </rPh>
    <rPh sb="17" eb="19">
      <t>ニンイ</t>
    </rPh>
    <rPh sb="20" eb="24">
      <t>ジゼンキョウギ</t>
    </rPh>
    <rPh sb="25" eb="26">
      <t>オコナ</t>
    </rPh>
    <rPh sb="29" eb="30">
      <t>イナ</t>
    </rPh>
    <rPh sb="32" eb="34">
      <t>センタク</t>
    </rPh>
    <phoneticPr fontId="1"/>
  </si>
  <si>
    <t>事前協議なし</t>
    <rPh sb="0" eb="4">
      <t>ジゼンキョウギ</t>
    </rPh>
    <phoneticPr fontId="1"/>
  </si>
  <si>
    <t>事前協議あり</t>
    <rPh sb="0" eb="4">
      <t>ジゼンキョウギ</t>
    </rPh>
    <phoneticPr fontId="1"/>
  </si>
  <si>
    <t>外来指定始期</t>
    <rPh sb="0" eb="4">
      <t>ガイライシテイ</t>
    </rPh>
    <rPh sb="4" eb="6">
      <t>シキ</t>
    </rPh>
    <phoneticPr fontId="1"/>
  </si>
  <si>
    <t>外来指定終期</t>
    <rPh sb="0" eb="4">
      <t>ガイライシテイ</t>
    </rPh>
    <rPh sb="4" eb="6">
      <t>シュウキ</t>
    </rPh>
    <phoneticPr fontId="1"/>
  </si>
  <si>
    <t>外来指定日</t>
    <rPh sb="0" eb="5">
      <t>ガイライシテイビ</t>
    </rPh>
    <phoneticPr fontId="1"/>
  </si>
  <si>
    <t>月</t>
    <rPh sb="0" eb="1">
      <t>ツキ</t>
    </rPh>
    <phoneticPr fontId="1"/>
  </si>
  <si>
    <t>応需件数</t>
    <rPh sb="0" eb="4">
      <t>オウジュケンスウ</t>
    </rPh>
    <phoneticPr fontId="1"/>
  </si>
  <si>
    <t>平均患者数/日</t>
    <rPh sb="0" eb="2">
      <t>ヘイキン</t>
    </rPh>
    <rPh sb="2" eb="5">
      <t>カンジャスウ</t>
    </rPh>
    <rPh sb="6" eb="7">
      <t>ニチ</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</si>
  <si>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</si>
  <si>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</si>
  <si>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</si>
  <si>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</si>
  <si>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</si>
  <si>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</si>
  <si>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</si>
  <si>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曜日</t>
    <rPh sb="0" eb="2">
      <t>ヨウビ</t>
    </rPh>
    <phoneticPr fontId="1"/>
  </si>
  <si>
    <t>診療日or休診日</t>
    <rPh sb="0" eb="3">
      <t>シンリョウビ</t>
    </rPh>
    <rPh sb="5" eb="8">
      <t>キュウシンビ</t>
    </rPh>
    <phoneticPr fontId="1"/>
  </si>
  <si>
    <t>診療日</t>
    <rPh sb="0" eb="3">
      <t>シンリョウビ</t>
    </rPh>
    <phoneticPr fontId="1"/>
  </si>
  <si>
    <t>休診日</t>
    <rPh sb="0" eb="3">
      <t>キュウシンビ</t>
    </rPh>
    <phoneticPr fontId="1"/>
  </si>
  <si>
    <t>令和</t>
    <rPh sb="0" eb="2">
      <t>レイワ</t>
    </rPh>
    <phoneticPr fontId="1"/>
  </si>
  <si>
    <t>年</t>
    <rPh sb="0" eb="1">
      <t>ネン</t>
    </rPh>
    <phoneticPr fontId="1"/>
  </si>
  <si>
    <t>月</t>
    <rPh sb="0" eb="1">
      <t>ガツ</t>
    </rPh>
    <phoneticPr fontId="1"/>
  </si>
  <si>
    <t>日</t>
    <rPh sb="0" eb="1">
      <t>ニチ</t>
    </rPh>
    <phoneticPr fontId="1"/>
  </si>
  <si>
    <t>納品日</t>
    <rPh sb="0" eb="3">
      <t>ノウヒンビ</t>
    </rPh>
    <phoneticPr fontId="1"/>
  </si>
  <si>
    <t>月</t>
    <rPh sb="0" eb="1">
      <t>ゲツ</t>
    </rPh>
    <phoneticPr fontId="1"/>
  </si>
  <si>
    <t>年</t>
    <rPh sb="0" eb="1">
      <t>ネン</t>
    </rPh>
    <phoneticPr fontId="1"/>
  </si>
  <si>
    <t>月</t>
    <rPh sb="0" eb="1">
      <t>ガツ</t>
    </rPh>
    <phoneticPr fontId="1"/>
  </si>
  <si>
    <t>日</t>
    <rPh sb="0" eb="1">
      <t>ニチ</t>
    </rPh>
    <phoneticPr fontId="1"/>
  </si>
  <si>
    <t>パルスオキシメーター</t>
    <phoneticPr fontId="1"/>
  </si>
  <si>
    <t>体温計</t>
    <rPh sb="0" eb="3">
      <t>タイオンケイ</t>
    </rPh>
    <phoneticPr fontId="1"/>
  </si>
  <si>
    <t>診療日数</t>
    <rPh sb="0" eb="4">
      <t>シンリョウニッスウ</t>
    </rPh>
    <phoneticPr fontId="1"/>
  </si>
  <si>
    <t>新型コロナウイルス発熱外来対応の実施曜日（診療日か休診日か）を入力してください。（祝日等は考慮しなくて構いません。）</t>
    <rPh sb="0" eb="2">
      <t>シンガタ</t>
    </rPh>
    <rPh sb="9" eb="11">
      <t>ハツネツ</t>
    </rPh>
    <rPh sb="11" eb="13">
      <t>ガイライ</t>
    </rPh>
    <rPh sb="13" eb="15">
      <t>タイオウ</t>
    </rPh>
    <rPh sb="16" eb="18">
      <t>ジッシ</t>
    </rPh>
    <rPh sb="18" eb="20">
      <t>ヨウビ</t>
    </rPh>
    <rPh sb="21" eb="24">
      <t>シンリョウビ</t>
    </rPh>
    <rPh sb="31" eb="33">
      <t>ニュウリョク</t>
    </rPh>
    <rPh sb="41" eb="44">
      <t>シュクジツトウ</t>
    </rPh>
    <rPh sb="45" eb="47">
      <t>コウリョ</t>
    </rPh>
    <rPh sb="51" eb="52">
      <t>カマ</t>
    </rPh>
    <phoneticPr fontId="1"/>
  </si>
  <si>
    <t>令和</t>
    <rPh sb="0" eb="2">
      <t>レイワ</t>
    </rPh>
    <phoneticPr fontId="1"/>
  </si>
  <si>
    <t>年</t>
    <rPh sb="0" eb="1">
      <t>ネン</t>
    </rPh>
    <phoneticPr fontId="1"/>
  </si>
  <si>
    <t>月</t>
    <rPh sb="0" eb="1">
      <t>ガツ</t>
    </rPh>
    <phoneticPr fontId="1"/>
  </si>
  <si>
    <t>日</t>
    <rPh sb="0" eb="1">
      <t>ニチ</t>
    </rPh>
    <phoneticPr fontId="1"/>
  </si>
  <si>
    <t>納品日</t>
    <rPh sb="0" eb="3">
      <t>ノウヒンビ</t>
    </rPh>
    <phoneticPr fontId="1"/>
  </si>
  <si>
    <t>納品日</t>
    <rPh sb="0" eb="3">
      <t>ノウヒンビ</t>
    </rPh>
    <phoneticPr fontId="1"/>
  </si>
  <si>
    <t>最終納品日</t>
    <rPh sb="0" eb="5">
      <t>サイシュウノウヒンビ</t>
    </rPh>
    <phoneticPr fontId="1"/>
  </si>
  <si>
    <t>医療機器　納品日</t>
    <rPh sb="0" eb="4">
      <t>イリョウキキ</t>
    </rPh>
    <rPh sb="5" eb="8">
      <t>ノウヒンビ</t>
    </rPh>
    <phoneticPr fontId="1"/>
  </si>
  <si>
    <t>サーモ　（最終）納品日</t>
    <rPh sb="5" eb="7">
      <t>サイシュウ</t>
    </rPh>
    <rPh sb="8" eb="11">
      <t>ノウヒンビ</t>
    </rPh>
    <phoneticPr fontId="1"/>
  </si>
  <si>
    <t>換気設備　納品日</t>
    <rPh sb="0" eb="4">
      <t>カンキセツビ</t>
    </rPh>
    <rPh sb="5" eb="8">
      <t>ノウヒンビ</t>
    </rPh>
    <phoneticPr fontId="1"/>
  </si>
  <si>
    <t>判定</t>
    <rPh sb="0" eb="2">
      <t>ハンテイ</t>
    </rPh>
    <phoneticPr fontId="1"/>
  </si>
  <si>
    <t>(1)ア</t>
    <phoneticPr fontId="1"/>
  </si>
  <si>
    <t>始期</t>
    <rPh sb="0" eb="2">
      <t>シキ</t>
    </rPh>
    <phoneticPr fontId="1"/>
  </si>
  <si>
    <t>終期</t>
    <rPh sb="0" eb="2">
      <t>シュウキ</t>
    </rPh>
    <phoneticPr fontId="1"/>
  </si>
  <si>
    <t>年</t>
    <rPh sb="0" eb="1">
      <t>ネン</t>
    </rPh>
    <phoneticPr fontId="1"/>
  </si>
  <si>
    <t>月</t>
    <rPh sb="0" eb="1">
      <t>ゲツ</t>
    </rPh>
    <phoneticPr fontId="1"/>
  </si>
  <si>
    <t>日</t>
    <rPh sb="0" eb="1">
      <t>ヒ</t>
    </rPh>
    <phoneticPr fontId="1"/>
  </si>
  <si>
    <t>日</t>
    <rPh sb="0" eb="1">
      <t>ニチ</t>
    </rPh>
    <phoneticPr fontId="1"/>
  </si>
  <si>
    <t>HP、看板以外</t>
    <rPh sb="3" eb="7">
      <t>カンバンイガイ</t>
    </rPh>
    <phoneticPr fontId="1"/>
  </si>
  <si>
    <t>HP、看板</t>
    <rPh sb="3" eb="5">
      <t>カンバン</t>
    </rPh>
    <phoneticPr fontId="1"/>
  </si>
  <si>
    <t>7/12に仕様書を公表</t>
    <rPh sb="5" eb="8">
      <t>シヨウショ</t>
    </rPh>
    <rPh sb="9" eb="11">
      <t>コウヒョウ</t>
    </rPh>
    <phoneticPr fontId="1"/>
  </si>
  <si>
    <t>指定日にかかわらず、面積要件、記載要件に適合していれば、</t>
    <rPh sb="0" eb="3">
      <t>シテイビ</t>
    </rPh>
    <rPh sb="10" eb="12">
      <t>メンセキ</t>
    </rPh>
    <rPh sb="12" eb="14">
      <t>ヨウケン</t>
    </rPh>
    <rPh sb="15" eb="17">
      <t>キサイ</t>
    </rPh>
    <rPh sb="17" eb="19">
      <t>ヨウケン</t>
    </rPh>
    <rPh sb="20" eb="22">
      <t>テキゴウ</t>
    </rPh>
    <phoneticPr fontId="1"/>
  </si>
  <si>
    <t>整備の終期は、指定日が7/12以前の場合、7/12+90、それ以降の場合は指定日+90</t>
    <rPh sb="0" eb="2">
      <t>セイビ</t>
    </rPh>
    <rPh sb="3" eb="5">
      <t>シュウキ</t>
    </rPh>
    <rPh sb="7" eb="9">
      <t>シテイ</t>
    </rPh>
    <rPh sb="9" eb="10">
      <t>ビ</t>
    </rPh>
    <rPh sb="15" eb="17">
      <t>イゼン</t>
    </rPh>
    <rPh sb="18" eb="20">
      <t>バアイ</t>
    </rPh>
    <rPh sb="31" eb="33">
      <t>イコウ</t>
    </rPh>
    <rPh sb="34" eb="36">
      <t>バアイ</t>
    </rPh>
    <rPh sb="37" eb="40">
      <t>シテイビ</t>
    </rPh>
    <phoneticPr fontId="1"/>
  </si>
  <si>
    <t>外来指定日</t>
  </si>
  <si>
    <t>納品日</t>
    <rPh sb="0" eb="3">
      <t>ノウヒンビ</t>
    </rPh>
    <phoneticPr fontId="1"/>
  </si>
  <si>
    <t>最終納品日</t>
    <rPh sb="0" eb="5">
      <t>サイシュウノウヒンビ</t>
    </rPh>
    <phoneticPr fontId="1"/>
  </si>
  <si>
    <t>年</t>
    <rPh sb="0" eb="1">
      <t>ネン</t>
    </rPh>
    <phoneticPr fontId="1"/>
  </si>
  <si>
    <t>月</t>
    <rPh sb="0" eb="1">
      <t>ツキ</t>
    </rPh>
    <phoneticPr fontId="1"/>
  </si>
  <si>
    <t>日</t>
    <rPh sb="0" eb="1">
      <t>ヒ</t>
    </rPh>
    <phoneticPr fontId="1"/>
  </si>
  <si>
    <t>最終納品日算出用</t>
    <rPh sb="0" eb="5">
      <t>サイシュウノウヒンビ</t>
    </rPh>
    <rPh sb="5" eb="7">
      <t>サンシュツ</t>
    </rPh>
    <rPh sb="7" eb="8">
      <t>ヨウ</t>
    </rPh>
    <phoneticPr fontId="1"/>
  </si>
  <si>
    <t>最終納品日算出用</t>
    <rPh sb="0" eb="5">
      <t>サイシュウノウヒンビ</t>
    </rPh>
    <rPh sb="5" eb="8">
      <t>サンシュツヨウ</t>
    </rPh>
    <phoneticPr fontId="1"/>
  </si>
  <si>
    <t>年</t>
    <rPh sb="0" eb="1">
      <t>ネン</t>
    </rPh>
    <phoneticPr fontId="1"/>
  </si>
  <si>
    <t>月</t>
    <rPh sb="0" eb="1">
      <t>ゲツ</t>
    </rPh>
    <phoneticPr fontId="1"/>
  </si>
  <si>
    <t>日</t>
    <rPh sb="0" eb="1">
      <t>ヒ</t>
    </rPh>
    <phoneticPr fontId="1"/>
  </si>
  <si>
    <t>最終納品日算出用</t>
    <rPh sb="0" eb="7">
      <t>サイシュウノウヒンビサンシュツ</t>
    </rPh>
    <rPh sb="7" eb="8">
      <t>ヨウ</t>
    </rPh>
    <phoneticPr fontId="1"/>
  </si>
  <si>
    <t>納品日</t>
    <rPh sb="0" eb="3">
      <t>ノウヒンビ</t>
    </rPh>
    <phoneticPr fontId="1"/>
  </si>
  <si>
    <t>最終納品日</t>
    <rPh sb="0" eb="5">
      <t>サイシュウノウヒンビ</t>
    </rPh>
    <phoneticPr fontId="1"/>
  </si>
  <si>
    <t>年</t>
    <rPh sb="0" eb="1">
      <t>ネン</t>
    </rPh>
    <phoneticPr fontId="1"/>
  </si>
  <si>
    <t>月</t>
    <rPh sb="0" eb="1">
      <t>ゲツ</t>
    </rPh>
    <phoneticPr fontId="1"/>
  </si>
  <si>
    <t>日</t>
    <rPh sb="0" eb="1">
      <t>ヒ</t>
    </rPh>
    <phoneticPr fontId="1"/>
  </si>
  <si>
    <t>転記用</t>
    <rPh sb="0" eb="3">
      <t>テンキヨウ</t>
    </rPh>
    <phoneticPr fontId="1"/>
  </si>
  <si>
    <t>最終納品日算出用</t>
    <rPh sb="0" eb="5">
      <t>サイシュウノウヒンビ</t>
    </rPh>
    <rPh sb="5" eb="8">
      <t>サンシュツヨウ</t>
    </rPh>
    <phoneticPr fontId="1"/>
  </si>
  <si>
    <t>２　補助金精算額</t>
    <phoneticPr fontId="1"/>
  </si>
  <si>
    <t>【申請にあたっての申立事項】</t>
    <phoneticPr fontId="1"/>
  </si>
  <si>
    <t>様式１</t>
    <rPh sb="0" eb="2">
      <t>ヨウシキ</t>
    </rPh>
    <phoneticPr fontId="1"/>
  </si>
  <si>
    <t>(R5)１月</t>
    <rPh sb="5" eb="6">
      <t>ガツ</t>
    </rPh>
    <phoneticPr fontId="1"/>
  </si>
  <si>
    <t>(R6)１月</t>
    <phoneticPr fontId="1"/>
  </si>
  <si>
    <t>（参考）指定日</t>
    <rPh sb="1" eb="3">
      <t>サンコウ</t>
    </rPh>
    <rPh sb="4" eb="7">
      <t>シテイビ</t>
    </rPh>
    <phoneticPr fontId="1"/>
  </si>
  <si>
    <t>外来対応医療機関の指定日</t>
    <rPh sb="0" eb="8">
      <t>ガイライタイオウイリョウキカン</t>
    </rPh>
    <rPh sb="9" eb="12">
      <t>シテイビ</t>
    </rPh>
    <phoneticPr fontId="1"/>
  </si>
  <si>
    <t>年</t>
    <rPh sb="0" eb="1">
      <t>ネン</t>
    </rPh>
    <phoneticPr fontId="1"/>
  </si>
  <si>
    <t>月</t>
    <rPh sb="0" eb="1">
      <t>ツキ</t>
    </rPh>
    <phoneticPr fontId="1"/>
  </si>
  <si>
    <t>日</t>
    <rPh sb="0" eb="1">
      <t>ヒ</t>
    </rPh>
    <phoneticPr fontId="1"/>
  </si>
  <si>
    <t>提出日</t>
    <rPh sb="0" eb="3">
      <t>テイシュツビ</t>
    </rPh>
    <phoneticPr fontId="1"/>
  </si>
  <si>
    <t>　このことについて、下記により申請、実績報告のうえ、請求します。
　なお、支払いは下記の口座に振り込んでください。</t>
    <rPh sb="18" eb="22">
      <t>ジッセキホウコク</t>
    </rPh>
    <rPh sb="26" eb="28">
      <t>セイキュウ</t>
    </rPh>
    <rPh sb="37" eb="39">
      <t>シハラ</t>
    </rPh>
    <rPh sb="41" eb="43">
      <t>カキ</t>
    </rPh>
    <rPh sb="44" eb="46">
      <t>コウザ</t>
    </rPh>
    <rPh sb="47" eb="48">
      <t>フ</t>
    </rPh>
    <rPh sb="49" eb="50">
      <t>コ</t>
    </rPh>
    <phoneticPr fontId="1"/>
  </si>
  <si>
    <t>道路看板（１）</t>
    <rPh sb="0" eb="2">
      <t>ドウロ</t>
    </rPh>
    <rPh sb="2" eb="4">
      <t>カンバン</t>
    </rPh>
    <phoneticPr fontId="1"/>
  </si>
  <si>
    <t>道路看板（２）</t>
    <rPh sb="0" eb="4">
      <t>ドウロカンバン</t>
    </rPh>
    <phoneticPr fontId="1"/>
  </si>
  <si>
    <t>電柱広告</t>
    <rPh sb="0" eb="4">
      <t>デンチュウコウコク</t>
    </rPh>
    <phoneticPr fontId="1"/>
  </si>
  <si>
    <t>敷地内看板</t>
    <rPh sb="0" eb="5">
      <t>シキチナイカンバン</t>
    </rPh>
    <phoneticPr fontId="1"/>
  </si>
  <si>
    <t>納品日</t>
    <rPh sb="0" eb="3">
      <t>ノウヒンビ</t>
    </rPh>
    <phoneticPr fontId="1"/>
  </si>
  <si>
    <t>整備の始期は、補助対象期間の始期である3/10、看板は、目的外の整備がたまたま補助対象になることがないので、3/10を一律始期とする</t>
    <rPh sb="0" eb="2">
      <t>セイビ</t>
    </rPh>
    <rPh sb="3" eb="5">
      <t>シキ</t>
    </rPh>
    <rPh sb="7" eb="13">
      <t>ホジョタイショウキカン</t>
    </rPh>
    <rPh sb="14" eb="16">
      <t>シキ</t>
    </rPh>
    <rPh sb="24" eb="26">
      <t>カンバン</t>
    </rPh>
    <rPh sb="28" eb="31">
      <t>モクテキガイ</t>
    </rPh>
    <rPh sb="32" eb="34">
      <t>セイビ</t>
    </rPh>
    <rPh sb="39" eb="43">
      <t>ホジョタイショウ</t>
    </rPh>
    <rPh sb="59" eb="61">
      <t>イチリツ</t>
    </rPh>
    <rPh sb="61" eb="63">
      <t>シキ</t>
    </rPh>
    <phoneticPr fontId="1"/>
  </si>
  <si>
    <t>その他（整備理由欄に具体品目記入）</t>
    <rPh sb="2" eb="3">
      <t>タ</t>
    </rPh>
    <rPh sb="4" eb="9">
      <t>セイビリユウラン</t>
    </rPh>
    <rPh sb="10" eb="12">
      <t>グタイ</t>
    </rPh>
    <rPh sb="12" eb="14">
      <t>ヒンモク</t>
    </rPh>
    <rPh sb="14" eb="16">
      <t>キニュウ</t>
    </rPh>
    <phoneticPr fontId="1"/>
  </si>
  <si>
    <t>③</t>
    <phoneticPr fontId="1"/>
  </si>
  <si>
    <t>なお、整備台数は原則１台とし、補助上限額は３万円とするものの、上段「１．医療機器」で体温計を整備の場合は、２万円とする。</t>
    <rPh sb="3" eb="5">
      <t>セイビ</t>
    </rPh>
    <rPh sb="5" eb="7">
      <t>ダイスウ</t>
    </rPh>
    <rPh sb="8" eb="10">
      <t>ゲンソク</t>
    </rPh>
    <rPh sb="11" eb="12">
      <t>ダイ</t>
    </rPh>
    <rPh sb="15" eb="20">
      <t>ホジョジョウゲンガク</t>
    </rPh>
    <rPh sb="22" eb="24">
      <t>マンエン</t>
    </rPh>
    <rPh sb="31" eb="33">
      <t>ジョウダン</t>
    </rPh>
    <rPh sb="36" eb="40">
      <t>イリョウキキ</t>
    </rPh>
    <rPh sb="42" eb="45">
      <t>タイオンケイ</t>
    </rPh>
    <rPh sb="46" eb="48">
      <t>セイビ</t>
    </rPh>
    <rPh sb="49" eb="51">
      <t>バアイ</t>
    </rPh>
    <rPh sb="54" eb="56">
      <t>マンエン</t>
    </rPh>
    <phoneticPr fontId="1"/>
  </si>
  <si>
    <t>パルスオキシメーターの１台あたりの補助上限額は税込３万円、体温計については税込１万円とする。</t>
    <rPh sb="12" eb="13">
      <t>ダイ</t>
    </rPh>
    <rPh sb="17" eb="19">
      <t>ホジョ</t>
    </rPh>
    <rPh sb="19" eb="22">
      <t>ジョウゲンガク</t>
    </rPh>
    <rPh sb="23" eb="25">
      <t>ゼイコミ</t>
    </rPh>
    <rPh sb="26" eb="27">
      <t>マン</t>
    </rPh>
    <rPh sb="27" eb="28">
      <t>エン</t>
    </rPh>
    <rPh sb="29" eb="32">
      <t>タイオンケイ</t>
    </rPh>
    <rPh sb="37" eb="39">
      <t>ゼイコミ</t>
    </rPh>
    <rPh sb="40" eb="41">
      <t>マン</t>
    </rPh>
    <rPh sb="41" eb="42">
      <t>エン</t>
    </rPh>
    <phoneticPr fontId="1"/>
  </si>
  <si>
    <t>外来対応の実施に供するため整備するものであるため、診療スペース内における1箇所分の整備であること。</t>
    <rPh sb="0" eb="2">
      <t>ガイライ</t>
    </rPh>
    <rPh sb="2" eb="4">
      <t>タイオウ</t>
    </rPh>
    <rPh sb="5" eb="7">
      <t>ジッシ</t>
    </rPh>
    <rPh sb="8" eb="9">
      <t>キョウ</t>
    </rPh>
    <rPh sb="13" eb="15">
      <t>セイビ</t>
    </rPh>
    <rPh sb="25" eb="27">
      <t>シンリョウ</t>
    </rPh>
    <rPh sb="31" eb="32">
      <t>ナイ</t>
    </rPh>
    <rPh sb="37" eb="39">
      <t>カショ</t>
    </rPh>
    <rPh sb="39" eb="40">
      <t>ブン</t>
    </rPh>
    <rPh sb="41" eb="43">
      <t>セイビ</t>
    </rPh>
    <phoneticPr fontId="1"/>
  </si>
  <si>
    <t>指定日</t>
    <rPh sb="0" eb="3">
      <t>シテイビ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</si>
</sst>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_);[Red]\(#,##0\)"/>
    <numFmt numFmtId="177" formatCode="[$-411]ggge&quot;年&quot;m&quot;月&quot;d&quot;日&quot;;@"/>
    <numFmt numFmtId="178" formatCode="#,##0&quot;円&quot;;[Red]\(#,##0\)&quot;円&quot;"/>
    <numFmt numFmtId="179" formatCode="#,##0&quot;円&quot;"/>
    <numFmt numFmtId="180" formatCode="#,##0&quot;台&quot;"/>
    <numFmt numFmtId="181" formatCode="&quot;金&quot;#,##0&quot;円&quot;"/>
    <numFmt numFmtId="182" formatCode="&quot;金&quot;#,##0&quot;円&quot;\ "/>
    <numFmt numFmtId="183" formatCode="#,##0&quot;円&quot;\ "/>
    <numFmt numFmtId="184" formatCode="&quot;金&quot;#,##0&quot;円&quot;;&quot;△ &quot;&quot;金&quot;#,##0&quot;円&quot;"/>
    <numFmt numFmtId="185" formatCode="&quot;診&quot;&quot;検&quot;&quot;第&quot;0&quot;号&quot;\ "/>
    <numFmt numFmtId="186" formatCode="\(#,##0&quot;円&quot;\)"/>
    <numFmt numFmtId="187" formatCode="&quot;診&quot;&quot;検&quot;&quot;第&quot;0&quot;号&quot;"/>
    <numFmt numFmtId="188" formatCode="0_ "/>
    <numFmt numFmtId="189" formatCode="#,##0&quot;mm&quot;"/>
    <numFmt numFmtId="190" formatCode="0.00&quot;㎡&quot;"/>
    <numFmt numFmtId="191" formatCode="0.0%"/>
    <numFmt numFmtId="192" formatCode="#,##0&quot;か&quot;&quot;所&quot;"/>
    <numFmt numFmtId="193" formatCode="#,##0&quot;個&quot;"/>
    <numFmt numFmtId="194" formatCode="#,##0&quot;式&quot;"/>
    <numFmt numFmtId="195" formatCode="#,##0&quot;名&quot;"/>
    <numFmt numFmtId="196" formatCode="#,##0&quot;人&quot;"/>
    <numFmt numFmtId="197" formatCode="0.00&quot;㎠&quot;"/>
    <numFmt numFmtId="198" formatCode="#,##0.0&quot;cm&quot;"/>
    <numFmt numFmtId="199" formatCode="0_);[Red]\(0\)"/>
    <numFmt numFmtId="200" formatCode="#,##0&quot;日&quot;"/>
    <numFmt numFmtId="201" formatCode="[$]ggge&quot;年&quot;m&quot;月&quot;d&quot;日&quot;;@" x16r2:formatCode16="[$-ja-JP-x-gannen]ggge&quot;年&quot;m&quot;月&quot;d&quot;日&quot;;@"/>
    <numFmt numFmtId="202" formatCode="#,##0.00&quot;人/日&quot;"/>
    <numFmt numFmtId="203" formatCode="yyyy/m/d;@"/>
    <numFmt numFmtId="204" formatCode="0&quot;個&quot;"/>
  </numFmts>
  <fonts count="5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14"/>
      <name val="游ゴシック"/>
      <family val="3"/>
      <charset val="128"/>
      <scheme val="minor"/>
    </font>
    <font>
      <b/>
      <sz val="10.5"/>
      <name val="游ゴシック"/>
      <family val="3"/>
      <charset val="128"/>
      <scheme val="minor"/>
    </font>
    <font>
      <sz val="9"/>
      <color rgb="FFFF0000"/>
      <name val="游ゴシック"/>
      <family val="3"/>
      <charset val="128"/>
      <scheme val="minor"/>
    </font>
    <font>
      <b/>
      <u/>
      <sz val="11"/>
      <color theme="10"/>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Segoe UI Symbol"/>
      <family val="3"/>
    </font>
    <font>
      <b/>
      <sz val="11"/>
      <color theme="1"/>
      <name val="Segoe UI Symbol"/>
      <family val="2"/>
    </font>
    <font>
      <sz val="12"/>
      <color theme="1"/>
      <name val="游ゴシック"/>
      <family val="3"/>
      <charset val="128"/>
      <scheme val="minor"/>
    </font>
    <font>
      <sz val="16"/>
      <color theme="1"/>
      <name val="游ゴシック"/>
      <family val="3"/>
      <charset val="128"/>
      <scheme val="minor"/>
    </font>
    <font>
      <sz val="11"/>
      <color theme="1"/>
      <name val="游ゴシック"/>
      <family val="2"/>
      <scheme val="minor"/>
    </font>
    <font>
      <b/>
      <sz val="9"/>
      <name val="游ゴシック"/>
      <family val="3"/>
      <charset val="128"/>
      <scheme val="minor"/>
    </font>
    <font>
      <sz val="11"/>
      <name val="游ゴシック"/>
      <family val="3"/>
      <charset val="128"/>
      <scheme val="minor"/>
    </font>
    <font>
      <sz val="18"/>
      <color theme="1"/>
      <name val="游ゴシック"/>
      <family val="3"/>
      <charset val="128"/>
      <scheme val="minor"/>
    </font>
    <font>
      <sz val="11"/>
      <color rgb="FFFF0000"/>
      <name val="游ゴシック"/>
      <family val="3"/>
      <charset val="128"/>
      <scheme val="minor"/>
    </font>
    <font>
      <b/>
      <u/>
      <sz val="10"/>
      <color rgb="FFFF0000"/>
      <name val="游ゴシック"/>
      <family val="3"/>
      <charset val="128"/>
      <scheme val="minor"/>
    </font>
    <font>
      <sz val="10"/>
      <color theme="1"/>
      <name val="游ゴシック"/>
      <family val="2"/>
      <charset val="128"/>
      <scheme val="minor"/>
    </font>
    <font>
      <u/>
      <sz val="11"/>
      <color theme="10"/>
      <name val="游ゴシック"/>
      <family val="2"/>
      <scheme val="minor"/>
    </font>
    <font>
      <sz val="11"/>
      <color theme="1"/>
      <name val="ＭＳ Ｐゴシック"/>
      <family val="2"/>
      <charset val="128"/>
    </font>
    <font>
      <sz val="11"/>
      <name val="ＭＳ Ｐゴシック"/>
      <family val="3"/>
    </font>
    <font>
      <b/>
      <sz val="8"/>
      <color theme="1"/>
      <name val="游ゴシック"/>
      <family val="3"/>
      <charset val="128"/>
      <scheme val="minor"/>
    </font>
    <font>
      <b/>
      <sz val="12"/>
      <color theme="0"/>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b/>
      <sz val="22"/>
      <color theme="1"/>
      <name val="游ゴシック"/>
      <family val="3"/>
      <charset val="128"/>
      <scheme val="minor"/>
    </font>
    <font>
      <b/>
      <sz val="11"/>
      <color theme="1"/>
      <name val="Segoe UI Symbol"/>
      <family val="3"/>
    </font>
    <font>
      <b/>
      <sz val="12"/>
      <color theme="1"/>
      <name val="游ゴシック"/>
      <family val="3"/>
      <charset val="128"/>
    </font>
    <font>
      <b/>
      <sz val="6"/>
      <color rgb="FFFF0000"/>
      <name val="游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38" fontId="5" fillId="0" borderId="0" applyFont="0" applyFill="0" applyBorder="0" applyAlignment="0" applyProtection="0">
      <alignment vertical="center"/>
    </xf>
    <xf numFmtId="0" fontId="37" fillId="0" borderId="0"/>
    <xf numFmtId="38" fontId="37" fillId="0" borderId="0" applyFont="0" applyFill="0" applyBorder="0" applyAlignment="0" applyProtection="0">
      <alignment vertical="center"/>
    </xf>
    <xf numFmtId="0" fontId="44" fillId="0" borderId="0" applyNumberFormat="0" applyFill="0" applyBorder="0" applyAlignment="0" applyProtection="0"/>
    <xf numFmtId="0" fontId="5" fillId="0" borderId="0">
      <alignment vertical="center"/>
    </xf>
    <xf numFmtId="0" fontId="37" fillId="0" borderId="0"/>
    <xf numFmtId="0" fontId="5" fillId="0" borderId="0">
      <alignment vertical="center"/>
    </xf>
    <xf numFmtId="0" fontId="45" fillId="0" borderId="0">
      <alignment vertical="center"/>
    </xf>
    <xf numFmtId="0" fontId="3" fillId="0" borderId="0">
      <alignment vertical="center"/>
    </xf>
    <xf numFmtId="0" fontId="45" fillId="0" borderId="0">
      <alignment vertical="center"/>
    </xf>
    <xf numFmtId="0" fontId="46" fillId="0" borderId="0">
      <alignment vertical="center"/>
    </xf>
    <xf numFmtId="0" fontId="45" fillId="0" borderId="0">
      <alignment vertical="center"/>
    </xf>
    <xf numFmtId="0" fontId="2" fillId="0" borderId="0" applyNumberFormat="0" applyFill="0" applyBorder="0" applyAlignment="0" applyProtection="0">
      <alignment vertical="center"/>
    </xf>
    <xf numFmtId="0" fontId="5" fillId="0" borderId="0">
      <alignment vertical="center"/>
    </xf>
  </cellStyleXfs>
  <cellXfs count="1081">
    <xf numFmtId="0" fontId="0" fillId="0" borderId="0" xfId="0">
      <alignment vertical="center"/>
    </xf>
    <xf numFmtId="0" fontId="16" fillId="0" borderId="0" xfId="0" applyFo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vertical="center" shrinkToFit="1"/>
    </xf>
    <xf numFmtId="0" fontId="16" fillId="0" borderId="0" xfId="0" applyFont="1" applyAlignment="1" applyProtection="1">
      <alignment horizontal="left" vertical="center"/>
    </xf>
    <xf numFmtId="3" fontId="16" fillId="0" borderId="0" xfId="0" applyNumberFormat="1" applyFont="1" applyBorder="1" applyProtection="1">
      <alignment vertical="center"/>
    </xf>
    <xf numFmtId="0" fontId="16" fillId="0" borderId="0" xfId="0" applyFont="1" applyBorder="1" applyProtection="1">
      <alignment vertical="center"/>
    </xf>
    <xf numFmtId="3" fontId="16" fillId="0" borderId="0" xfId="0" applyNumberFormat="1" applyFont="1" applyProtection="1">
      <alignment vertical="center"/>
    </xf>
    <xf numFmtId="14" fontId="16" fillId="0" borderId="0" xfId="0" applyNumberFormat="1" applyFont="1" applyBorder="1" applyProtection="1">
      <alignment vertical="center"/>
    </xf>
    <xf numFmtId="0" fontId="16" fillId="0" borderId="0" xfId="0" applyFont="1" applyFill="1" applyBorder="1" applyAlignment="1" applyProtection="1">
      <alignment horizontal="center" vertical="center"/>
    </xf>
    <xf numFmtId="179" fontId="16" fillId="0" borderId="19" xfId="0" applyNumberFormat="1" applyFont="1" applyBorder="1" applyAlignment="1" applyProtection="1">
      <alignment horizontal="center" vertical="center" shrinkToFit="1"/>
    </xf>
    <xf numFmtId="179" fontId="16" fillId="0" borderId="20" xfId="0" applyNumberFormat="1" applyFont="1" applyBorder="1" applyAlignment="1" applyProtection="1">
      <alignment horizontal="center" vertical="center" shrinkToFit="1"/>
    </xf>
    <xf numFmtId="179" fontId="16" fillId="0" borderId="21" xfId="0" applyNumberFormat="1" applyFont="1" applyBorder="1" applyAlignment="1" applyProtection="1">
      <alignment horizontal="center" vertical="center" shrinkToFit="1"/>
    </xf>
    <xf numFmtId="0" fontId="16" fillId="0" borderId="32" xfId="0" applyFont="1" applyFill="1" applyBorder="1" applyAlignment="1" applyProtection="1">
      <alignment horizontal="center" vertical="center"/>
    </xf>
    <xf numFmtId="3" fontId="16" fillId="0" borderId="33" xfId="0" applyNumberFormat="1" applyFont="1" applyFill="1" applyBorder="1" applyProtection="1">
      <alignment vertical="center"/>
    </xf>
    <xf numFmtId="0" fontId="16" fillId="0" borderId="33" xfId="0" applyFont="1" applyFill="1" applyBorder="1" applyProtection="1">
      <alignment vertical="center"/>
    </xf>
    <xf numFmtId="179" fontId="16" fillId="0" borderId="34" xfId="0" applyNumberFormat="1" applyFont="1" applyFill="1" applyBorder="1" applyAlignment="1" applyProtection="1">
      <alignment vertical="center" shrinkToFit="1"/>
    </xf>
    <xf numFmtId="179" fontId="16" fillId="0" borderId="13" xfId="0" applyNumberFormat="1" applyFont="1" applyBorder="1" applyAlignment="1" applyProtection="1">
      <alignment vertical="center" shrinkToFit="1"/>
    </xf>
    <xf numFmtId="14" fontId="16" fillId="0" borderId="0" xfId="0" applyNumberFormat="1" applyFont="1" applyAlignment="1" applyProtection="1">
      <alignment horizontal="center" vertical="center" shrinkToFit="1"/>
    </xf>
    <xf numFmtId="0" fontId="7" fillId="0" borderId="0" xfId="0" applyFont="1" applyBorder="1" applyAlignment="1" applyProtection="1"/>
    <xf numFmtId="0" fontId="16" fillId="0" borderId="0"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16" fillId="0" borderId="0" xfId="0" applyFont="1" applyAlignment="1" applyProtection="1"/>
    <xf numFmtId="0" fontId="18" fillId="0" borderId="0" xfId="0" applyFont="1" applyAlignment="1">
      <alignment horizontal="left" vertical="center"/>
    </xf>
    <xf numFmtId="14" fontId="18" fillId="0" borderId="0" xfId="0" applyNumberFormat="1" applyFont="1" applyAlignment="1">
      <alignment horizontal="left" vertical="center"/>
    </xf>
    <xf numFmtId="14" fontId="18" fillId="2" borderId="1" xfId="0" applyNumberFormat="1" applyFont="1" applyFill="1" applyBorder="1" applyAlignment="1">
      <alignment horizontal="center" vertical="center"/>
    </xf>
    <xf numFmtId="0" fontId="28" fillId="0" borderId="0" xfId="0" applyFont="1" applyBorder="1" applyAlignment="1" applyProtection="1">
      <alignment vertical="center"/>
    </xf>
    <xf numFmtId="0" fontId="28" fillId="0" borderId="0" xfId="0" applyFont="1" applyProtection="1">
      <alignment vertical="center"/>
    </xf>
    <xf numFmtId="0" fontId="8" fillId="0" borderId="0" xfId="0" applyFont="1" applyProtection="1">
      <alignment vertical="center"/>
    </xf>
    <xf numFmtId="0" fontId="28" fillId="0" borderId="1" xfId="0" applyFont="1" applyBorder="1" applyAlignment="1" applyProtection="1">
      <alignment horizontal="center" vertical="center"/>
    </xf>
    <xf numFmtId="0" fontId="28" fillId="0" borderId="0" xfId="0" applyFont="1" applyBorder="1" applyAlignment="1" applyProtection="1">
      <alignment horizontal="left" vertical="center" shrinkToFit="1"/>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28" fillId="0" borderId="0" xfId="0" applyFont="1" applyBorder="1" applyAlignment="1" applyProtection="1">
      <alignment horizontal="left" vertical="center"/>
    </xf>
    <xf numFmtId="0" fontId="8" fillId="0" borderId="0" xfId="0" applyFont="1" applyBorder="1" applyAlignment="1" applyProtection="1">
      <alignment vertical="center" shrinkToFit="1"/>
    </xf>
    <xf numFmtId="0" fontId="28" fillId="0" borderId="0" xfId="0" applyFont="1" applyBorder="1" applyAlignment="1" applyProtection="1">
      <alignment vertical="center" shrinkToFit="1"/>
    </xf>
    <xf numFmtId="0" fontId="8" fillId="0" borderId="0" xfId="0" applyFont="1" applyBorder="1" applyProtection="1">
      <alignment vertical="center"/>
    </xf>
    <xf numFmtId="0" fontId="33" fillId="0" borderId="0" xfId="0" applyFont="1" applyAlignment="1" applyProtection="1">
      <alignment horizontal="center" vertical="center"/>
    </xf>
    <xf numFmtId="0" fontId="8" fillId="0" borderId="28" xfId="0" applyFont="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Alignment="1" applyProtection="1">
      <alignment horizontal="center" vertical="center"/>
    </xf>
    <xf numFmtId="0" fontId="8" fillId="0" borderId="0" xfId="0" applyFont="1" applyBorder="1" applyAlignment="1" applyProtection="1">
      <alignment vertical="center" wrapText="1" shrinkToFit="1"/>
    </xf>
    <xf numFmtId="0" fontId="8" fillId="0" borderId="0" xfId="0" applyFont="1" applyFill="1" applyBorder="1" applyAlignment="1" applyProtection="1">
      <alignment vertical="top" wrapText="1" shrinkToFit="1"/>
    </xf>
    <xf numFmtId="0" fontId="28" fillId="0" borderId="0" xfId="0" applyFont="1" applyAlignment="1" applyProtection="1">
      <alignment vertical="top"/>
    </xf>
    <xf numFmtId="0" fontId="8" fillId="0" borderId="1" xfId="0" applyFont="1" applyBorder="1" applyAlignment="1" applyProtection="1">
      <alignment horizontal="center" vertical="center"/>
    </xf>
    <xf numFmtId="0" fontId="7" fillId="0" borderId="0" xfId="0" applyFont="1" applyProtection="1">
      <alignment vertical="center"/>
    </xf>
    <xf numFmtId="0" fontId="14" fillId="0" borderId="0" xfId="0" applyFont="1" applyAlignment="1" applyProtection="1"/>
    <xf numFmtId="3" fontId="7" fillId="0" borderId="0" xfId="0" applyNumberFormat="1"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3" fontId="7" fillId="0" borderId="0" xfId="0" applyNumberFormat="1" applyFont="1" applyBorder="1" applyProtection="1">
      <alignment vertical="center"/>
    </xf>
    <xf numFmtId="178" fontId="7" fillId="0" borderId="2" xfId="0" applyNumberFormat="1" applyFont="1" applyBorder="1" applyAlignment="1" applyProtection="1">
      <alignment vertical="center" shrinkToFit="1"/>
    </xf>
    <xf numFmtId="186" fontId="7" fillId="0" borderId="4" xfId="0" applyNumberFormat="1" applyFont="1" applyBorder="1" applyAlignment="1" applyProtection="1">
      <alignment vertical="center" shrinkToFit="1"/>
    </xf>
    <xf numFmtId="0" fontId="28" fillId="0" borderId="0" xfId="0" applyFont="1" applyBorder="1" applyProtection="1">
      <alignment vertical="center"/>
    </xf>
    <xf numFmtId="0" fontId="18" fillId="0" borderId="0" xfId="0" applyFont="1" applyAlignment="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28" xfId="0" applyFont="1" applyFill="1" applyBorder="1" applyAlignment="1" applyProtection="1">
      <alignment horizontal="center" vertical="center" shrinkToFit="1"/>
    </xf>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6" fillId="0" borderId="0" xfId="0" applyFont="1" applyBorder="1" applyAlignment="1" applyProtection="1">
      <alignment horizontal="center" vertical="center" shrinkToFit="1"/>
    </xf>
    <xf numFmtId="3" fontId="16" fillId="0" borderId="0" xfId="0" applyNumberFormat="1" applyFont="1" applyBorder="1" applyAlignment="1" applyProtection="1">
      <alignment horizontal="center" vertical="center"/>
    </xf>
    <xf numFmtId="3" fontId="16" fillId="0" borderId="0" xfId="0" applyNumberFormat="1" applyFont="1" applyBorder="1" applyAlignment="1" applyProtection="1">
      <alignment vertical="center"/>
    </xf>
    <xf numFmtId="14" fontId="16" fillId="0" borderId="0" xfId="0" applyNumberFormat="1" applyFont="1" applyBorder="1" applyAlignment="1" applyProtection="1">
      <alignment vertical="center"/>
    </xf>
    <xf numFmtId="0" fontId="16" fillId="0" borderId="0" xfId="0" applyFont="1" applyBorder="1" applyAlignment="1" applyProtection="1">
      <alignment horizontal="left" vertical="center"/>
    </xf>
    <xf numFmtId="0" fontId="13" fillId="0" borderId="0" xfId="0" applyFont="1" applyBorder="1" applyAlignment="1" applyProtection="1">
      <alignment horizontal="center" vertical="center" shrinkToFit="1"/>
    </xf>
    <xf numFmtId="14" fontId="16" fillId="0" borderId="0" xfId="0" applyNumberFormat="1" applyFont="1" applyBorder="1" applyAlignment="1" applyProtection="1">
      <alignment horizontal="center" vertical="center" shrinkToFit="1"/>
    </xf>
    <xf numFmtId="0" fontId="16" fillId="0" borderId="0" xfId="0" applyFont="1" applyAlignment="1" applyProtection="1">
      <alignment vertical="center" wrapText="1"/>
    </xf>
    <xf numFmtId="0" fontId="28" fillId="0" borderId="0" xfId="0" applyFont="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7" xfId="0" applyNumberFormat="1" applyFont="1" applyBorder="1" applyAlignment="1" applyProtection="1">
      <alignment vertical="center" wrapText="1"/>
    </xf>
    <xf numFmtId="179" fontId="9" fillId="0" borderId="1" xfId="0" applyNumberFormat="1" applyFont="1" applyBorder="1" applyProtection="1">
      <alignment vertical="center"/>
    </xf>
    <xf numFmtId="0" fontId="8" fillId="6" borderId="27" xfId="0" applyNumberFormat="1" applyFont="1" applyFill="1" applyBorder="1" applyAlignment="1" applyProtection="1">
      <alignment horizontal="center" vertical="center"/>
      <protection locked="0"/>
    </xf>
    <xf numFmtId="0" fontId="18" fillId="0" borderId="1" xfId="0" applyFont="1" applyBorder="1" applyAlignment="1" applyProtection="1">
      <alignment horizontal="left" vertical="center"/>
    </xf>
    <xf numFmtId="0" fontId="18"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14" fontId="18" fillId="0" borderId="1" xfId="0" applyNumberFormat="1" applyFont="1" applyBorder="1" applyAlignment="1" applyProtection="1">
      <alignment horizontal="left" vertical="center"/>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14" fontId="18" fillId="0" borderId="1" xfId="0" applyNumberFormat="1" applyFont="1" applyBorder="1" applyAlignment="1">
      <alignment horizontal="left" vertical="center"/>
    </xf>
    <xf numFmtId="38" fontId="28" fillId="0" borderId="1" xfId="5" applyFont="1" applyBorder="1" applyAlignment="1" applyProtection="1">
      <alignment horizontal="center" vertical="center"/>
    </xf>
    <xf numFmtId="0" fontId="28" fillId="0" borderId="1" xfId="0" applyFont="1" applyBorder="1" applyAlignment="1" applyProtection="1">
      <alignment horizontal="center" vertical="center"/>
      <protection locked="0"/>
    </xf>
    <xf numFmtId="38" fontId="8" fillId="0" borderId="1" xfId="5" applyFont="1" applyBorder="1" applyAlignment="1" applyProtection="1">
      <alignment horizontal="center" vertical="center"/>
    </xf>
    <xf numFmtId="0" fontId="8" fillId="0" borderId="1" xfId="0" applyFont="1" applyBorder="1" applyProtection="1">
      <alignment vertical="center"/>
    </xf>
    <xf numFmtId="0" fontId="8" fillId="0" borderId="1" xfId="0" applyFont="1" applyBorder="1" applyAlignment="1" applyProtection="1">
      <alignment horizontal="left" vertical="center"/>
    </xf>
    <xf numFmtId="0" fontId="18" fillId="0" borderId="1" xfId="0" applyFont="1" applyBorder="1" applyProtection="1">
      <alignment vertical="center"/>
    </xf>
    <xf numFmtId="0" fontId="8" fillId="6" borderId="26"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wrapText="1"/>
    </xf>
    <xf numFmtId="178" fontId="7" fillId="0" borderId="0" xfId="0" applyNumberFormat="1" applyFont="1" applyProtection="1">
      <alignment vertical="center"/>
    </xf>
    <xf numFmtId="179" fontId="47" fillId="0" borderId="0" xfId="0" applyNumberFormat="1" applyFont="1" applyBorder="1" applyAlignment="1" applyProtection="1">
      <alignment horizontal="center" vertical="center"/>
    </xf>
    <xf numFmtId="14" fontId="16" fillId="0" borderId="1" xfId="0" applyNumberFormat="1" applyFont="1" applyBorder="1" applyAlignment="1" applyProtection="1">
      <alignment horizontal="center" vertical="center"/>
    </xf>
    <xf numFmtId="188" fontId="16" fillId="0" borderId="1"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0" fontId="16" fillId="0" borderId="1" xfId="0" applyFont="1" applyBorder="1" applyAlignment="1" applyProtection="1">
      <alignment horizontal="center" vertical="center"/>
    </xf>
    <xf numFmtId="177" fontId="7" fillId="0" borderId="0" xfId="0" applyNumberFormat="1" applyFont="1" applyFill="1" applyBorder="1" applyAlignment="1" applyProtection="1">
      <alignment vertical="center"/>
    </xf>
    <xf numFmtId="0" fontId="9" fillId="0" borderId="2" xfId="0" applyFont="1" applyBorder="1" applyAlignment="1" applyProtection="1">
      <alignment horizontal="center" vertical="center"/>
    </xf>
    <xf numFmtId="0" fontId="35" fillId="0" borderId="3" xfId="0" applyFont="1" applyBorder="1" applyAlignment="1" applyProtection="1">
      <alignment vertical="center"/>
    </xf>
    <xf numFmtId="0" fontId="9" fillId="0" borderId="2" xfId="0" applyFont="1" applyBorder="1" applyAlignment="1" applyProtection="1">
      <alignment horizontal="center" vertical="center" wrapText="1"/>
    </xf>
    <xf numFmtId="0" fontId="35" fillId="0" borderId="3"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9" fontId="16" fillId="0" borderId="26" xfId="0" applyNumberFormat="1" applyFont="1" applyBorder="1" applyAlignment="1" applyProtection="1">
      <alignment horizontal="center" vertical="center" shrinkToFit="1"/>
    </xf>
    <xf numFmtId="179" fontId="16" fillId="0" borderId="27" xfId="0" applyNumberFormat="1" applyFont="1" applyBorder="1" applyAlignment="1" applyProtection="1">
      <alignment horizontal="center" vertical="center" shrinkToFit="1"/>
    </xf>
    <xf numFmtId="179" fontId="16" fillId="0" borderId="28" xfId="0" applyNumberFormat="1" applyFont="1" applyBorder="1" applyAlignment="1" applyProtection="1">
      <alignment horizontal="center" vertical="center" shrinkToFit="1"/>
    </xf>
    <xf numFmtId="0" fontId="49" fillId="0" borderId="0" xfId="6" applyFont="1" applyAlignment="1">
      <alignment horizontal="center" vertical="center"/>
    </xf>
    <xf numFmtId="0" fontId="49" fillId="0" borderId="0" xfId="6" applyFont="1" applyAlignment="1">
      <alignment horizontal="left" vertical="center" shrinkToFit="1"/>
    </xf>
    <xf numFmtId="0" fontId="49" fillId="0" borderId="0" xfId="6" applyFont="1" applyAlignment="1">
      <alignment horizontal="center" vertical="center" shrinkToFit="1"/>
    </xf>
    <xf numFmtId="0" fontId="49" fillId="0" borderId="1" xfId="6" applyFont="1" applyBorder="1" applyAlignment="1">
      <alignment horizontal="center" vertical="center"/>
    </xf>
    <xf numFmtId="0" fontId="49" fillId="0" borderId="0" xfId="6" applyFont="1" applyAlignment="1">
      <alignment horizontal="left" vertical="center"/>
    </xf>
    <xf numFmtId="0" fontId="50" fillId="0" borderId="0" xfId="6" applyFont="1" applyAlignment="1">
      <alignment horizontal="center" vertical="center"/>
    </xf>
    <xf numFmtId="0" fontId="50" fillId="0" borderId="0" xfId="6" applyFont="1" applyAlignment="1">
      <alignment horizontal="center" vertical="center" shrinkToFit="1"/>
    </xf>
    <xf numFmtId="0" fontId="37" fillId="0" borderId="0" xfId="6" applyAlignment="1">
      <alignment vertical="center"/>
    </xf>
    <xf numFmtId="0" fontId="50" fillId="0" borderId="0" xfId="6" applyFont="1" applyAlignment="1">
      <alignment vertical="center"/>
    </xf>
    <xf numFmtId="0" fontId="50" fillId="0" borderId="0" xfId="6" applyFont="1" applyAlignment="1">
      <alignment horizontal="distributed" vertical="center"/>
    </xf>
    <xf numFmtId="0" fontId="49" fillId="0" borderId="0" xfId="6" applyFont="1" applyAlignment="1">
      <alignment horizontal="distributed"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7" fillId="0" borderId="0" xfId="0" applyFont="1" applyAlignment="1" applyProtection="1"/>
    <xf numFmtId="0" fontId="16" fillId="0" borderId="8" xfId="0" applyFont="1" applyBorder="1" applyAlignment="1" applyProtection="1">
      <alignment vertical="center" shrinkToFit="1"/>
    </xf>
    <xf numFmtId="0" fontId="7" fillId="0" borderId="0" xfId="0" applyFont="1" applyAlignment="1" applyProtection="1">
      <alignment horizontal="center" vertical="center"/>
    </xf>
    <xf numFmtId="0" fontId="35" fillId="0" borderId="4" xfId="0" applyFont="1" applyBorder="1" applyAlignment="1" applyProtection="1">
      <alignment vertical="center"/>
    </xf>
    <xf numFmtId="0" fontId="9" fillId="0" borderId="1" xfId="0" applyFont="1" applyBorder="1" applyAlignment="1" applyProtection="1">
      <alignment horizontal="center" vertical="center"/>
    </xf>
    <xf numFmtId="0" fontId="16" fillId="0" borderId="2" xfId="0" applyFont="1" applyFill="1" applyBorder="1" applyAlignment="1" applyProtection="1">
      <alignment horizontal="center" vertical="center" wrapText="1"/>
    </xf>
    <xf numFmtId="179" fontId="16" fillId="0" borderId="1" xfId="0" applyNumberFormat="1" applyFont="1" applyBorder="1" applyAlignment="1" applyProtection="1">
      <alignment vertical="center" shrinkToFit="1"/>
    </xf>
    <xf numFmtId="179" fontId="16" fillId="0" borderId="1" xfId="0" applyNumberFormat="1" applyFont="1" applyFill="1" applyBorder="1" applyAlignment="1" applyProtection="1">
      <alignment horizontal="right" vertical="center" shrinkToFit="1"/>
    </xf>
    <xf numFmtId="179" fontId="16" fillId="0" borderId="54" xfId="0" applyNumberFormat="1" applyFont="1" applyFill="1" applyBorder="1" applyAlignment="1" applyProtection="1">
      <alignment horizontal="right" vertical="center" shrinkToFit="1"/>
    </xf>
    <xf numFmtId="179" fontId="16" fillId="0" borderId="54" xfId="0" applyNumberFormat="1" applyFont="1" applyBorder="1" applyAlignment="1" applyProtection="1">
      <alignment vertical="center" shrinkToFit="1"/>
    </xf>
    <xf numFmtId="194" fontId="16" fillId="0" borderId="3" xfId="0" applyNumberFormat="1" applyFont="1" applyFill="1" applyBorder="1" applyAlignment="1" applyProtection="1">
      <alignment horizontal="right" vertical="center" wrapText="1"/>
    </xf>
    <xf numFmtId="194" fontId="16" fillId="0" borderId="1" xfId="0" applyNumberFormat="1" applyFont="1" applyFill="1" applyBorder="1" applyAlignment="1" applyProtection="1">
      <alignment horizontal="right" vertical="center" wrapText="1"/>
    </xf>
    <xf numFmtId="194" fontId="16" fillId="0" borderId="14" xfId="0" applyNumberFormat="1" applyFont="1" applyFill="1" applyBorder="1" applyAlignment="1" applyProtection="1">
      <alignment horizontal="right" vertical="center" wrapText="1"/>
    </xf>
    <xf numFmtId="178" fontId="7" fillId="0" borderId="2" xfId="0" applyNumberFormat="1" applyFont="1" applyFill="1" applyBorder="1" applyAlignment="1" applyProtection="1">
      <alignment vertical="center" shrinkToFit="1"/>
    </xf>
    <xf numFmtId="186" fontId="7" fillId="0" borderId="4" xfId="0" applyNumberFormat="1" applyFont="1" applyFill="1" applyBorder="1" applyAlignment="1" applyProtection="1">
      <alignment vertical="center" shrinkToFit="1"/>
    </xf>
    <xf numFmtId="0" fontId="28" fillId="0" borderId="0" xfId="0" applyNumberFormat="1" applyFont="1" applyBorder="1" applyAlignment="1" applyProtection="1">
      <alignment horizontal="center" vertical="center"/>
    </xf>
    <xf numFmtId="0" fontId="50" fillId="0" borderId="0" xfId="6" applyFont="1" applyAlignment="1">
      <alignment horizontal="left" vertical="center"/>
    </xf>
    <xf numFmtId="0" fontId="50" fillId="0" borderId="0" xfId="6" applyFont="1" applyAlignment="1">
      <alignment horizontal="left" vertical="center" shrinkToFit="1"/>
    </xf>
    <xf numFmtId="0" fontId="28" fillId="0" borderId="13" xfId="0" applyFont="1" applyBorder="1" applyAlignment="1" applyProtection="1">
      <alignment horizontal="center" vertical="center"/>
    </xf>
    <xf numFmtId="183" fontId="8" fillId="0" borderId="26" xfId="0" applyNumberFormat="1" applyFont="1" applyFill="1" applyBorder="1" applyAlignment="1" applyProtection="1">
      <alignment horizontal="center" vertical="center"/>
    </xf>
    <xf numFmtId="183" fontId="8" fillId="0" borderId="27" xfId="0" applyNumberFormat="1" applyFont="1" applyFill="1" applyBorder="1" applyAlignment="1" applyProtection="1">
      <alignment horizontal="center" vertical="center"/>
    </xf>
    <xf numFmtId="183" fontId="8" fillId="0" borderId="28" xfId="0" applyNumberFormat="1" applyFont="1" applyFill="1" applyBorder="1" applyAlignment="1" applyProtection="1">
      <alignment horizontal="center" vertical="center"/>
    </xf>
    <xf numFmtId="183" fontId="8" fillId="0" borderId="19" xfId="0" applyNumberFormat="1" applyFont="1" applyFill="1" applyBorder="1" applyAlignment="1" applyProtection="1">
      <alignment horizontal="center" vertical="center"/>
    </xf>
    <xf numFmtId="183" fontId="8" fillId="0" borderId="20" xfId="0" applyNumberFormat="1" applyFont="1" applyFill="1" applyBorder="1" applyAlignment="1" applyProtection="1">
      <alignment horizontal="center" vertical="center"/>
    </xf>
    <xf numFmtId="183" fontId="8" fillId="0" borderId="21" xfId="0" applyNumberFormat="1"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8" fillId="0" borderId="0" xfId="0" applyFont="1" applyAlignment="1" applyProtection="1">
      <alignment vertical="center" wrapText="1"/>
    </xf>
    <xf numFmtId="3" fontId="16" fillId="0" borderId="27" xfId="0" applyNumberFormat="1" applyFont="1" applyFill="1" applyBorder="1" applyAlignment="1" applyProtection="1">
      <alignment horizontal="center" vertical="center" shrinkToFit="1"/>
    </xf>
    <xf numFmtId="3" fontId="16" fillId="0" borderId="20" xfId="0" applyNumberFormat="1" applyFont="1" applyFill="1" applyBorder="1" applyAlignment="1" applyProtection="1">
      <alignment horizontal="center" vertical="center" shrinkToFit="1"/>
    </xf>
    <xf numFmtId="0" fontId="28" fillId="0" borderId="6" xfId="0" applyFont="1" applyFill="1" applyBorder="1" applyAlignment="1" applyProtection="1">
      <alignment horizontal="left" vertical="center" shrinkToFit="1"/>
    </xf>
    <xf numFmtId="0" fontId="20" fillId="3" borderId="0" xfId="0" applyFont="1" applyFill="1" applyBorder="1" applyAlignment="1" applyProtection="1">
      <alignment vertical="center" shrinkToFit="1"/>
    </xf>
    <xf numFmtId="0" fontId="20" fillId="3" borderId="0" xfId="0" applyFont="1" applyFill="1" applyBorder="1" applyAlignment="1" applyProtection="1">
      <alignment horizontal="center" vertical="center" shrinkToFit="1"/>
    </xf>
    <xf numFmtId="0" fontId="20" fillId="3" borderId="0" xfId="0" applyFont="1" applyFill="1" applyBorder="1" applyAlignment="1" applyProtection="1">
      <alignment vertical="center" wrapText="1" shrinkToFit="1"/>
    </xf>
    <xf numFmtId="176" fontId="25"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7" fillId="0" borderId="0" xfId="0" applyFont="1" applyBorder="1" applyAlignment="1" applyProtection="1">
      <alignment vertical="center" wrapText="1"/>
    </xf>
    <xf numFmtId="0" fontId="26" fillId="3" borderId="0" xfId="0" applyFont="1" applyFill="1" applyBorder="1" applyAlignment="1" applyProtection="1">
      <alignment horizontal="center" vertical="center" wrapText="1" shrinkToFit="1"/>
    </xf>
    <xf numFmtId="176" fontId="26" fillId="3" borderId="0" xfId="0" applyNumberFormat="1" applyFont="1" applyFill="1" applyBorder="1" applyAlignment="1" applyProtection="1">
      <alignment horizontal="center" vertical="center" wrapText="1"/>
    </xf>
    <xf numFmtId="38" fontId="7" fillId="0" borderId="0" xfId="0" applyNumberFormat="1" applyFont="1" applyBorder="1" applyAlignment="1" applyProtection="1">
      <alignment vertical="center"/>
    </xf>
    <xf numFmtId="38" fontId="7" fillId="0" borderId="0" xfId="5" applyFont="1" applyBorder="1" applyAlignment="1" applyProtection="1">
      <alignment vertical="center"/>
    </xf>
    <xf numFmtId="0" fontId="27" fillId="0" borderId="0" xfId="0" applyFont="1" applyBorder="1" applyAlignment="1" applyProtection="1">
      <alignment vertical="center"/>
    </xf>
    <xf numFmtId="184" fontId="0" fillId="0" borderId="0" xfId="0" applyNumberFormat="1" applyAlignment="1" applyProtection="1">
      <alignment horizontal="left" vertical="top" wrapText="1"/>
    </xf>
    <xf numFmtId="0" fontId="20" fillId="0" borderId="0" xfId="0" applyFont="1" applyAlignment="1" applyProtection="1">
      <alignment vertical="center"/>
    </xf>
    <xf numFmtId="0" fontId="20" fillId="0" borderId="0" xfId="0" applyFont="1" applyProtection="1">
      <alignment vertical="center"/>
    </xf>
    <xf numFmtId="0" fontId="10" fillId="0" borderId="0" xfId="0" applyFont="1" applyProtection="1">
      <alignment vertical="center"/>
    </xf>
    <xf numFmtId="0" fontId="23" fillId="0" borderId="0" xfId="0" applyFont="1" applyAlignment="1" applyProtection="1">
      <alignment vertical="top" wrapText="1"/>
    </xf>
    <xf numFmtId="0" fontId="7" fillId="0" borderId="35" xfId="0" applyFont="1" applyBorder="1" applyProtection="1">
      <alignment vertical="center"/>
    </xf>
    <xf numFmtId="0" fontId="7" fillId="0" borderId="41" xfId="0" applyFont="1" applyBorder="1" applyProtection="1">
      <alignment vertical="center"/>
    </xf>
    <xf numFmtId="0" fontId="7" fillId="0" borderId="36" xfId="0" applyFont="1" applyBorder="1" applyProtection="1">
      <alignment vertical="center"/>
    </xf>
    <xf numFmtId="0" fontId="7" fillId="0" borderId="37" xfId="0" applyFont="1" applyBorder="1" applyProtection="1">
      <alignment vertical="center"/>
    </xf>
    <xf numFmtId="0" fontId="7" fillId="0" borderId="38" xfId="0" applyFont="1" applyBorder="1" applyProtection="1">
      <alignment vertical="center"/>
    </xf>
    <xf numFmtId="0" fontId="17" fillId="0" borderId="37" xfId="0" applyFont="1" applyBorder="1" applyAlignment="1" applyProtection="1">
      <alignment horizontal="center" vertical="center" shrinkToFit="1"/>
    </xf>
    <xf numFmtId="0" fontId="36" fillId="0" borderId="38" xfId="0" applyFont="1" applyBorder="1" applyAlignment="1" applyProtection="1">
      <alignment horizontal="center" vertical="center" shrinkToFit="1"/>
    </xf>
    <xf numFmtId="0" fontId="36" fillId="0" borderId="37"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36" fillId="0" borderId="0" xfId="0" applyFont="1" applyAlignment="1" applyProtection="1">
      <alignment horizontal="center" vertical="center" shrinkToFit="1"/>
    </xf>
    <xf numFmtId="0" fontId="35" fillId="0" borderId="37" xfId="0" applyFont="1" applyBorder="1" applyAlignment="1" applyProtection="1">
      <alignment horizontal="center" vertical="center"/>
    </xf>
    <xf numFmtId="0" fontId="35" fillId="0" borderId="0" xfId="0" applyFont="1" applyAlignment="1" applyProtection="1">
      <alignment horizontal="center" vertical="center"/>
    </xf>
    <xf numFmtId="0" fontId="35" fillId="0" borderId="38" xfId="0" applyFont="1" applyBorder="1" applyAlignment="1" applyProtection="1">
      <alignment horizontal="center" vertical="center"/>
    </xf>
    <xf numFmtId="0" fontId="7" fillId="0" borderId="39" xfId="0" applyFont="1" applyBorder="1" applyProtection="1">
      <alignment vertical="center"/>
    </xf>
    <xf numFmtId="0" fontId="7" fillId="0" borderId="42" xfId="0" applyFont="1" applyBorder="1" applyProtection="1">
      <alignment vertical="center"/>
    </xf>
    <xf numFmtId="0" fontId="7" fillId="0" borderId="40" xfId="0" applyFont="1" applyBorder="1" applyProtection="1">
      <alignment vertical="center"/>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16" fillId="0" borderId="0" xfId="0" applyFont="1" applyAlignment="1" applyProtection="1">
      <alignment vertical="center" shrinkToFit="1"/>
    </xf>
    <xf numFmtId="0" fontId="16" fillId="0" borderId="0" xfId="0" applyFont="1" applyBorder="1" applyAlignment="1" applyProtection="1">
      <alignment vertical="center" shrinkToFit="1"/>
    </xf>
    <xf numFmtId="0" fontId="16" fillId="0" borderId="46" xfId="0" applyFont="1" applyBorder="1" applyProtection="1">
      <alignment vertical="center"/>
    </xf>
    <xf numFmtId="0" fontId="16" fillId="0" borderId="52" xfId="0" applyFont="1" applyBorder="1" applyProtection="1">
      <alignment vertical="center"/>
    </xf>
    <xf numFmtId="0" fontId="16" fillId="0" borderId="49" xfId="0" applyFont="1" applyBorder="1" applyProtection="1">
      <alignment vertical="center"/>
    </xf>
    <xf numFmtId="0" fontId="16" fillId="0" borderId="13" xfId="0" applyFont="1" applyBorder="1" applyAlignment="1" applyProtection="1">
      <alignment vertical="center" shrinkToFit="1"/>
    </xf>
    <xf numFmtId="0" fontId="28" fillId="0" borderId="4" xfId="0" applyFont="1" applyBorder="1" applyAlignment="1" applyProtection="1">
      <alignment horizontal="center" vertical="center"/>
    </xf>
    <xf numFmtId="183" fontId="8" fillId="0" borderId="75" xfId="0" applyNumberFormat="1" applyFont="1" applyFill="1" applyBorder="1" applyAlignment="1" applyProtection="1">
      <alignment horizontal="center" vertical="center"/>
    </xf>
    <xf numFmtId="183" fontId="8" fillId="0" borderId="76" xfId="0" applyNumberFormat="1" applyFont="1" applyFill="1" applyBorder="1" applyAlignment="1" applyProtection="1">
      <alignment horizontal="center" vertical="center"/>
    </xf>
    <xf numFmtId="183" fontId="8" fillId="0" borderId="77" xfId="0" applyNumberFormat="1" applyFont="1" applyFill="1" applyBorder="1" applyAlignment="1" applyProtection="1">
      <alignment horizontal="center" vertical="center"/>
    </xf>
    <xf numFmtId="0" fontId="28" fillId="0" borderId="82" xfId="0" applyFont="1" applyBorder="1" applyAlignment="1" applyProtection="1">
      <alignment horizontal="center" vertical="center"/>
    </xf>
    <xf numFmtId="0" fontId="8" fillId="6" borderId="65" xfId="0" applyFont="1" applyFill="1" applyBorder="1" applyAlignment="1" applyProtection="1">
      <alignment horizontal="center" vertical="center"/>
      <protection locked="0"/>
    </xf>
    <xf numFmtId="0" fontId="8" fillId="6" borderId="66" xfId="0" applyFont="1" applyFill="1" applyBorder="1" applyAlignment="1" applyProtection="1">
      <alignment horizontal="center" vertical="center"/>
      <protection locked="0"/>
    </xf>
    <xf numFmtId="0" fontId="8" fillId="6" borderId="67"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xf>
    <xf numFmtId="0" fontId="8" fillId="0" borderId="2" xfId="0" applyFont="1" applyBorder="1" applyAlignment="1" applyProtection="1">
      <alignment horizontal="center" vertical="center" shrinkToFit="1"/>
    </xf>
    <xf numFmtId="0" fontId="8" fillId="5" borderId="78" xfId="0" applyFont="1" applyFill="1" applyBorder="1" applyAlignment="1" applyProtection="1">
      <alignment vertical="center" textRotation="255"/>
    </xf>
    <xf numFmtId="178" fontId="10" fillId="0" borderId="16" xfId="0" applyNumberFormat="1" applyFont="1" applyBorder="1" applyAlignment="1">
      <alignment horizontal="center" vertical="center"/>
    </xf>
    <xf numFmtId="0" fontId="28" fillId="0" borderId="82" xfId="0" applyFont="1" applyFill="1" applyBorder="1" applyAlignment="1" applyProtection="1">
      <alignment horizontal="center" vertical="center"/>
    </xf>
    <xf numFmtId="0" fontId="8" fillId="0" borderId="1" xfId="0" applyFont="1" applyBorder="1" applyAlignment="1" applyProtection="1">
      <alignment vertical="center" shrinkToFit="1"/>
    </xf>
    <xf numFmtId="0" fontId="16" fillId="0" borderId="1" xfId="0" applyFont="1" applyBorder="1" applyAlignment="1" applyProtection="1">
      <alignment vertical="center" shrinkToFit="1"/>
    </xf>
    <xf numFmtId="0" fontId="16" fillId="0" borderId="1" xfId="0" applyFont="1" applyBorder="1" applyAlignment="1" applyProtection="1">
      <alignment horizontal="center" vertical="center" shrinkToFit="1"/>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vertical="distributed" wrapText="1"/>
    </xf>
    <xf numFmtId="0" fontId="7" fillId="0" borderId="0" xfId="0" applyFont="1" applyProtection="1">
      <alignment vertical="center"/>
    </xf>
    <xf numFmtId="0" fontId="28" fillId="0" borderId="0" xfId="0" applyFont="1" applyAlignment="1" applyProtection="1">
      <alignment horizontal="left"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19" fillId="0" borderId="0" xfId="0" applyFont="1" applyAlignment="1" applyProtection="1">
      <alignment horizontal="center" vertical="center"/>
    </xf>
    <xf numFmtId="0" fontId="16" fillId="0" borderId="55" xfId="0" applyFont="1"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16" fillId="0" borderId="58" xfId="0" applyFont="1" applyBorder="1" applyAlignment="1" applyProtection="1">
      <alignment vertical="center"/>
    </xf>
    <xf numFmtId="0" fontId="0" fillId="0" borderId="59" xfId="0" applyBorder="1" applyAlignment="1" applyProtection="1">
      <alignment vertical="center"/>
    </xf>
    <xf numFmtId="0" fontId="16" fillId="0" borderId="60" xfId="0" applyFont="1" applyBorder="1" applyAlignment="1" applyProtection="1">
      <alignment vertical="center"/>
    </xf>
    <xf numFmtId="0" fontId="16" fillId="0" borderId="1"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13" xfId="0" applyFont="1" applyBorder="1" applyAlignment="1" applyProtection="1">
      <alignment horizontal="center" vertical="center"/>
    </xf>
    <xf numFmtId="0" fontId="9" fillId="0" borderId="0" xfId="0" applyFont="1" applyProtection="1">
      <alignment vertical="center"/>
    </xf>
    <xf numFmtId="0" fontId="9" fillId="0" borderId="0" xfId="0" applyFont="1" applyBorder="1" applyProtection="1">
      <alignment vertical="center"/>
    </xf>
    <xf numFmtId="0" fontId="9" fillId="0" borderId="0" xfId="0" applyFont="1" applyAlignment="1" applyProtection="1">
      <alignment horizontal="center" vertical="center"/>
    </xf>
    <xf numFmtId="0" fontId="6" fillId="0" borderId="0" xfId="0" applyFont="1" applyAlignment="1" applyProtection="1">
      <alignment vertical="center"/>
    </xf>
    <xf numFmtId="0" fontId="9" fillId="0" borderId="0" xfId="0" applyFont="1" applyAlignment="1" applyProtection="1">
      <alignment vertical="top" wrapText="1"/>
    </xf>
    <xf numFmtId="0" fontId="35" fillId="0" borderId="0" xfId="0" applyFont="1" applyAlignment="1" applyProtection="1">
      <alignment vertical="top"/>
    </xf>
    <xf numFmtId="190" fontId="35" fillId="0" borderId="0" xfId="0" applyNumberFormat="1" applyFont="1" applyBorder="1" applyAlignment="1" applyProtection="1">
      <alignment vertical="center"/>
    </xf>
    <xf numFmtId="191" fontId="9" fillId="0" borderId="0" xfId="0" applyNumberFormat="1" applyFont="1" applyBorder="1" applyAlignment="1" applyProtection="1">
      <alignment vertical="center"/>
    </xf>
    <xf numFmtId="191" fontId="35"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vertical="center"/>
    </xf>
    <xf numFmtId="0" fontId="9" fillId="0" borderId="0" xfId="0" applyFont="1" applyBorder="1" applyAlignment="1" applyProtection="1">
      <alignment vertical="center" shrinkToFit="1"/>
    </xf>
    <xf numFmtId="0" fontId="35" fillId="0" borderId="0" xfId="0" applyFont="1" applyBorder="1" applyAlignment="1" applyProtection="1">
      <alignment vertical="center" shrinkToFit="1"/>
    </xf>
    <xf numFmtId="189" fontId="9" fillId="0" borderId="0" xfId="0" applyNumberFormat="1" applyFont="1" applyBorder="1" applyAlignment="1" applyProtection="1">
      <alignment horizontal="center" vertical="center" shrinkToFit="1"/>
    </xf>
    <xf numFmtId="189" fontId="35" fillId="0" borderId="0" xfId="0" applyNumberFormat="1" applyFont="1" applyBorder="1" applyAlignment="1" applyProtection="1">
      <alignment horizontal="center" vertical="center" shrinkToFit="1"/>
    </xf>
    <xf numFmtId="0" fontId="35" fillId="0" borderId="0" xfId="0" applyFont="1" applyBorder="1" applyAlignment="1" applyProtection="1">
      <alignment horizontal="center" vertical="center" shrinkToFit="1"/>
    </xf>
    <xf numFmtId="190" fontId="9" fillId="0" borderId="0" xfId="0" applyNumberFormat="1" applyFont="1" applyBorder="1" applyAlignment="1" applyProtection="1">
      <alignment vertical="center" shrinkToFit="1"/>
    </xf>
    <xf numFmtId="190" fontId="35" fillId="0" borderId="0" xfId="0" applyNumberFormat="1" applyFont="1" applyBorder="1" applyAlignment="1" applyProtection="1">
      <alignment vertical="center" shrinkToFit="1"/>
    </xf>
    <xf numFmtId="191" fontId="9" fillId="0" borderId="0" xfId="0" applyNumberFormat="1" applyFont="1" applyBorder="1" applyAlignment="1" applyProtection="1">
      <alignment vertical="center" shrinkToFit="1"/>
    </xf>
    <xf numFmtId="191" fontId="35" fillId="0" borderId="0" xfId="0" applyNumberFormat="1" applyFont="1" applyBorder="1" applyAlignment="1" applyProtection="1">
      <alignment vertical="center" shrinkToFit="1"/>
    </xf>
    <xf numFmtId="0" fontId="9" fillId="0" borderId="0" xfId="0" applyFont="1" applyBorder="1" applyAlignment="1" applyProtection="1">
      <alignment horizontal="center" vertical="center" shrinkToFit="1"/>
    </xf>
    <xf numFmtId="0" fontId="9" fillId="0" borderId="0" xfId="0" applyFont="1" applyFill="1" applyAlignment="1" applyProtection="1">
      <alignment vertical="center"/>
    </xf>
    <xf numFmtId="0" fontId="35" fillId="0" borderId="0" xfId="0" applyFont="1" applyFill="1" applyAlignment="1" applyProtection="1">
      <alignment vertical="center"/>
    </xf>
    <xf numFmtId="0" fontId="48" fillId="0" borderId="0" xfId="0" applyFont="1" applyProtection="1">
      <alignment vertical="center"/>
    </xf>
    <xf numFmtId="179" fontId="9" fillId="0" borderId="0" xfId="0" applyNumberFormat="1" applyFont="1" applyBorder="1" applyAlignment="1" applyProtection="1">
      <alignment vertical="center" shrinkToFit="1"/>
    </xf>
    <xf numFmtId="0" fontId="13" fillId="0" borderId="0" xfId="0" applyFont="1" applyAlignment="1" applyProtection="1">
      <alignment vertical="center"/>
    </xf>
    <xf numFmtId="0" fontId="0" fillId="0" borderId="58" xfId="0" applyBorder="1" applyAlignment="1" applyProtection="1">
      <alignment vertical="center"/>
    </xf>
    <xf numFmtId="0" fontId="13" fillId="0" borderId="0" xfId="0" applyFont="1" applyBorder="1" applyAlignment="1" applyProtection="1">
      <alignment vertical="center"/>
    </xf>
    <xf numFmtId="0" fontId="13" fillId="0" borderId="59" xfId="0" applyFont="1" applyBorder="1" applyAlignment="1" applyProtection="1">
      <alignment vertical="center"/>
    </xf>
    <xf numFmtId="0" fontId="13" fillId="0" borderId="58" xfId="0"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0" fontId="13" fillId="0" borderId="60" xfId="0" applyFont="1" applyBorder="1" applyAlignment="1" applyProtection="1">
      <alignment vertical="center"/>
    </xf>
    <xf numFmtId="49" fontId="7" fillId="0" borderId="1" xfId="0" applyNumberFormat="1" applyFont="1" applyBorder="1" applyAlignment="1" applyProtection="1">
      <alignment horizontal="center" vertical="center"/>
    </xf>
    <xf numFmtId="0" fontId="35"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35" fillId="0" borderId="0" xfId="0" applyFont="1" applyBorder="1" applyAlignment="1" applyProtection="1">
      <alignment horizontal="left" vertical="center" shrinkToFit="1"/>
    </xf>
    <xf numFmtId="0" fontId="20" fillId="0" borderId="0" xfId="2" applyFont="1" applyAlignment="1" applyProtection="1">
      <alignment vertical="center"/>
    </xf>
    <xf numFmtId="0" fontId="20" fillId="0" borderId="1" xfId="2" applyFont="1" applyBorder="1" applyAlignment="1" applyProtection="1">
      <alignment horizontal="center" vertical="center"/>
    </xf>
    <xf numFmtId="0" fontId="20" fillId="0" borderId="0" xfId="2" applyFont="1" applyAlignment="1" applyProtection="1">
      <alignment vertical="center" shrinkToFit="1"/>
    </xf>
    <xf numFmtId="3" fontId="22" fillId="0" borderId="0" xfId="2" applyNumberFormat="1" applyFont="1" applyAlignment="1" applyProtection="1">
      <alignment horizontal="right" vertical="center"/>
    </xf>
    <xf numFmtId="0" fontId="20" fillId="0" borderId="1" xfId="2" applyFont="1" applyBorder="1" applyAlignment="1" applyProtection="1">
      <alignment horizontal="center" vertical="center" shrinkToFit="1"/>
    </xf>
    <xf numFmtId="0" fontId="20" fillId="0" borderId="8" xfId="2" applyFont="1" applyBorder="1" applyAlignment="1" applyProtection="1">
      <alignment horizontal="center" vertical="center" shrinkToFit="1"/>
    </xf>
    <xf numFmtId="0" fontId="22" fillId="0" borderId="0" xfId="2" applyFont="1" applyAlignment="1" applyProtection="1">
      <alignment horizontal="right" vertical="center"/>
    </xf>
    <xf numFmtId="3" fontId="22" fillId="0" borderId="0" xfId="2" applyNumberFormat="1" applyFont="1" applyAlignment="1" applyProtection="1">
      <alignment vertical="center"/>
    </xf>
    <xf numFmtId="177" fontId="20" fillId="0" borderId="0" xfId="2" applyNumberFormat="1" applyFont="1" applyAlignment="1" applyProtection="1">
      <alignment horizontal="distributed" vertical="center"/>
    </xf>
    <xf numFmtId="0" fontId="20" fillId="0" borderId="0" xfId="2" applyFont="1" applyAlignment="1" applyProtection="1">
      <alignment horizontal="distributed" vertical="center"/>
    </xf>
    <xf numFmtId="3" fontId="20" fillId="0" borderId="0" xfId="2" applyNumberFormat="1" applyFont="1" applyAlignment="1" applyProtection="1">
      <alignment vertical="center"/>
    </xf>
    <xf numFmtId="0" fontId="8"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horizontal="center"/>
    </xf>
    <xf numFmtId="0" fontId="8" fillId="0" borderId="0" xfId="0" applyFont="1" applyAlignment="1">
      <alignment horizontal="left" vertical="top" wrapText="1"/>
    </xf>
    <xf numFmtId="0" fontId="9" fillId="0" borderId="1" xfId="0" applyFont="1" applyBorder="1" applyAlignment="1">
      <alignment horizontal="center"/>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7" fillId="0" borderId="1" xfId="0" applyFont="1" applyBorder="1" applyAlignment="1" applyProtection="1">
      <alignment horizontal="center" vertical="center"/>
    </xf>
    <xf numFmtId="0" fontId="7" fillId="0" borderId="1" xfId="0" applyFont="1" applyBorder="1" applyAlignment="1" applyProtection="1">
      <alignment vertical="center" shrinkToFit="1"/>
    </xf>
    <xf numFmtId="49" fontId="7" fillId="0" borderId="1" xfId="0" applyNumberFormat="1" applyFont="1" applyBorder="1" applyAlignment="1" applyProtection="1">
      <alignment vertical="center" shrinkToFit="1"/>
    </xf>
    <xf numFmtId="0" fontId="0" fillId="0" borderId="0" xfId="0" applyBorder="1" applyAlignment="1" applyProtection="1">
      <alignment vertical="center"/>
    </xf>
    <xf numFmtId="0" fontId="35" fillId="0" borderId="0" xfId="0" applyFont="1" applyBorder="1" applyAlignment="1" applyProtection="1">
      <alignment vertical="center"/>
    </xf>
    <xf numFmtId="0" fontId="35" fillId="0" borderId="11" xfId="0" applyFont="1" applyBorder="1" applyAlignment="1" applyProtection="1">
      <alignment horizontal="center" vertical="center"/>
    </xf>
    <xf numFmtId="0" fontId="0" fillId="0" borderId="11" xfId="0" applyBorder="1" applyAlignment="1" applyProtection="1">
      <alignment vertical="center" wrapText="1"/>
    </xf>
    <xf numFmtId="0" fontId="0" fillId="0" borderId="0" xfId="0" applyBorder="1" applyAlignment="1" applyProtection="1">
      <alignment vertical="center" wrapText="1"/>
    </xf>
    <xf numFmtId="0" fontId="35" fillId="0" borderId="11" xfId="0" applyFont="1" applyBorder="1" applyAlignment="1" applyProtection="1">
      <alignment vertical="center"/>
    </xf>
    <xf numFmtId="0" fontId="0" fillId="0" borderId="11" xfId="0" applyBorder="1" applyAlignment="1" applyProtection="1">
      <alignment vertical="center"/>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protection locked="0"/>
    </xf>
    <xf numFmtId="0" fontId="9" fillId="0" borderId="1" xfId="0" applyFont="1" applyBorder="1" applyAlignment="1" applyProtection="1">
      <alignment horizontal="left" vertical="center"/>
      <protection locked="0"/>
    </xf>
    <xf numFmtId="0" fontId="0" fillId="0" borderId="0" xfId="0" applyNumberFormat="1">
      <alignment vertical="center"/>
    </xf>
    <xf numFmtId="0" fontId="8" fillId="0" borderId="1" xfId="0" applyFont="1" applyBorder="1" applyAlignment="1" applyProtection="1">
      <alignment vertical="center" shrinkToFit="1"/>
    </xf>
    <xf numFmtId="0" fontId="8" fillId="0" borderId="1" xfId="0" applyFont="1" applyBorder="1" applyAlignment="1" applyProtection="1">
      <alignment vertical="center" shrinkToFit="1"/>
    </xf>
    <xf numFmtId="0" fontId="9" fillId="0" borderId="0" xfId="0" applyFont="1" applyAlignment="1" applyProtection="1">
      <alignment vertical="center"/>
    </xf>
    <xf numFmtId="0" fontId="0" fillId="0" borderId="0" xfId="0" applyAlignment="1" applyProtection="1">
      <alignment vertical="center"/>
    </xf>
    <xf numFmtId="0" fontId="9" fillId="0" borderId="1" xfId="0" applyFont="1" applyBorder="1" applyProtection="1">
      <alignment vertical="center"/>
    </xf>
    <xf numFmtId="0" fontId="9" fillId="0" borderId="16" xfId="0" applyFont="1" applyBorder="1" applyProtection="1">
      <alignment vertical="center"/>
    </xf>
    <xf numFmtId="0" fontId="35" fillId="0" borderId="0" xfId="0" applyFont="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shrinkToFit="1"/>
      <protection locked="0"/>
    </xf>
    <xf numFmtId="0" fontId="54" fillId="0" borderId="0" xfId="0" applyFont="1" applyAlignment="1" applyProtection="1">
      <alignment vertical="center"/>
    </xf>
    <xf numFmtId="177" fontId="8" fillId="0" borderId="26" xfId="0" applyNumberFormat="1" applyFont="1" applyFill="1" applyBorder="1" applyAlignment="1" applyProtection="1">
      <alignment horizontal="center" vertical="center"/>
    </xf>
    <xf numFmtId="177" fontId="8" fillId="0" borderId="27" xfId="0" applyNumberFormat="1" applyFont="1" applyFill="1" applyBorder="1" applyAlignment="1" applyProtection="1">
      <alignment horizontal="center" vertical="center"/>
    </xf>
    <xf numFmtId="177" fontId="8" fillId="0" borderId="28" xfId="0" applyNumberFormat="1" applyFont="1" applyFill="1" applyBorder="1" applyAlignment="1" applyProtection="1">
      <alignment horizontal="center" vertical="center"/>
    </xf>
    <xf numFmtId="0" fontId="9" fillId="0" borderId="0" xfId="0" applyFont="1" applyAlignment="1" applyProtection="1">
      <alignment vertical="center"/>
    </xf>
    <xf numFmtId="0" fontId="0" fillId="0" borderId="0" xfId="0" applyAlignment="1" applyProtection="1">
      <alignment vertical="center"/>
    </xf>
    <xf numFmtId="179" fontId="9" fillId="0" borderId="7" xfId="0" applyNumberFormat="1" applyFont="1" applyBorder="1" applyAlignment="1" applyProtection="1">
      <alignment vertical="center" shrinkToFit="1"/>
    </xf>
    <xf numFmtId="0" fontId="9" fillId="0" borderId="1" xfId="0" applyFont="1" applyBorder="1" applyAlignment="1" applyProtection="1">
      <alignment vertical="center" shrinkToFit="1"/>
    </xf>
    <xf numFmtId="0" fontId="0" fillId="0" borderId="11" xfId="0" applyBorder="1" applyAlignment="1" applyProtection="1">
      <alignment vertical="center" shrinkToFit="1"/>
    </xf>
    <xf numFmtId="0" fontId="7" fillId="0" borderId="1" xfId="0" applyFont="1" applyBorder="1" applyProtection="1">
      <alignment vertical="center"/>
    </xf>
    <xf numFmtId="0" fontId="16" fillId="0" borderId="1" xfId="0" applyFont="1" applyBorder="1" applyAlignment="1" applyProtection="1">
      <alignment vertical="center" shrinkToFit="1"/>
    </xf>
    <xf numFmtId="0" fontId="16" fillId="0" borderId="0" xfId="0" applyFont="1" applyBorder="1" applyAlignment="1" applyProtection="1">
      <alignment vertical="center"/>
    </xf>
    <xf numFmtId="0" fontId="16" fillId="0" borderId="1" xfId="0" applyFont="1" applyBorder="1" applyAlignment="1" applyProtection="1">
      <alignment horizontal="center" vertical="center"/>
    </xf>
    <xf numFmtId="0" fontId="16" fillId="0" borderId="1" xfId="0" applyFont="1" applyBorder="1" applyAlignment="1" applyProtection="1">
      <alignment vertical="center" shrinkToFit="1"/>
    </xf>
    <xf numFmtId="0" fontId="7" fillId="0" borderId="0" xfId="0" applyFont="1" applyProtection="1">
      <alignment vertical="center"/>
    </xf>
    <xf numFmtId="31" fontId="9" fillId="0" borderId="0" xfId="0" applyNumberFormat="1" applyFont="1" applyProtection="1">
      <alignment vertical="center"/>
    </xf>
    <xf numFmtId="201" fontId="7" fillId="0" borderId="0" xfId="0" applyNumberFormat="1" applyFont="1" applyProtection="1">
      <alignment vertical="center"/>
    </xf>
    <xf numFmtId="0" fontId="16" fillId="0" borderId="5" xfId="0" applyFont="1" applyBorder="1" applyAlignment="1" applyProtection="1">
      <alignment horizontal="center" vertical="center"/>
    </xf>
    <xf numFmtId="177" fontId="7" fillId="0" borderId="1" xfId="0" applyNumberFormat="1" applyFont="1" applyBorder="1" applyProtection="1">
      <alignment vertical="center"/>
    </xf>
    <xf numFmtId="201" fontId="7" fillId="0" borderId="1" xfId="0" applyNumberFormat="1" applyFont="1" applyBorder="1" applyProtection="1">
      <alignment vertical="center"/>
    </xf>
    <xf numFmtId="0" fontId="16" fillId="0" borderId="1" xfId="0" applyFont="1" applyBorder="1" applyProtection="1">
      <alignment vertical="center"/>
    </xf>
    <xf numFmtId="201" fontId="16" fillId="0" borderId="1" xfId="0" applyNumberFormat="1" applyFont="1" applyBorder="1" applyProtection="1">
      <alignment vertical="center"/>
    </xf>
    <xf numFmtId="177" fontId="16" fillId="0" borderId="1" xfId="0" applyNumberFormat="1" applyFont="1" applyBorder="1" applyProtection="1">
      <alignment vertical="center"/>
    </xf>
    <xf numFmtId="58" fontId="18" fillId="0" borderId="0" xfId="0" applyNumberFormat="1" applyFont="1" applyAlignment="1">
      <alignment horizontal="left" vertical="center"/>
    </xf>
    <xf numFmtId="177" fontId="16" fillId="0" borderId="0" xfId="0" applyNumberFormat="1" applyFont="1" applyProtection="1">
      <alignment vertical="center"/>
    </xf>
    <xf numFmtId="0" fontId="7" fillId="0" borderId="0" xfId="0" applyFont="1" applyProtection="1">
      <alignment vertical="center"/>
    </xf>
    <xf numFmtId="0" fontId="14" fillId="0" borderId="0" xfId="0" applyFont="1" applyAlignment="1" applyProtection="1">
      <alignment vertical="center" shrinkToFit="1"/>
    </xf>
    <xf numFmtId="203" fontId="8" fillId="0" borderId="1" xfId="0" applyNumberFormat="1" applyFont="1" applyBorder="1" applyAlignment="1" applyProtection="1">
      <alignment horizontal="center" vertical="center"/>
    </xf>
    <xf numFmtId="0" fontId="18" fillId="0" borderId="7" xfId="0" applyFont="1" applyBorder="1" applyAlignment="1">
      <alignment horizontal="left" vertical="center"/>
    </xf>
    <xf numFmtId="201" fontId="18" fillId="0" borderId="7" xfId="0" applyNumberFormat="1" applyFont="1" applyBorder="1" applyAlignment="1">
      <alignment horizontal="left" vertical="center"/>
    </xf>
    <xf numFmtId="0" fontId="55" fillId="0" borderId="1" xfId="0" applyFont="1" applyBorder="1" applyAlignment="1">
      <alignment horizontal="center" vertical="center" wrapText="1" shrinkToFit="1"/>
    </xf>
    <xf numFmtId="0" fontId="55" fillId="0" borderId="1" xfId="0" applyFont="1" applyBorder="1" applyAlignment="1">
      <alignment horizontal="center" vertical="center" shrinkToFit="1"/>
    </xf>
    <xf numFmtId="14" fontId="7" fillId="0" borderId="0" xfId="0" applyNumberFormat="1" applyFont="1" applyProtection="1">
      <alignment vertical="center"/>
    </xf>
    <xf numFmtId="14" fontId="9" fillId="0" borderId="0" xfId="0" applyNumberFormat="1" applyFont="1" applyProtection="1">
      <alignment vertical="center"/>
    </xf>
    <xf numFmtId="14" fontId="16" fillId="0" borderId="0" xfId="0" applyNumberFormat="1" applyFont="1" applyProtection="1">
      <alignment vertical="center"/>
    </xf>
    <xf numFmtId="203" fontId="16" fillId="0" borderId="0" xfId="0" applyNumberFormat="1" applyFont="1" applyProtection="1">
      <alignment vertical="center"/>
    </xf>
    <xf numFmtId="14" fontId="7" fillId="0" borderId="1" xfId="0" applyNumberFormat="1" applyFont="1" applyBorder="1" applyProtection="1">
      <alignment vertical="center"/>
    </xf>
    <xf numFmtId="14" fontId="7" fillId="0" borderId="1" xfId="0" applyNumberFormat="1" applyFont="1" applyBorder="1" applyAlignment="1" applyProtection="1">
      <alignment horizontal="center" vertical="center"/>
    </xf>
    <xf numFmtId="14" fontId="10" fillId="0" borderId="1" xfId="0" applyNumberFormat="1" applyFont="1" applyBorder="1" applyProtection="1">
      <alignment vertical="center"/>
    </xf>
    <xf numFmtId="0" fontId="31" fillId="0" borderId="0" xfId="0" applyFont="1" applyProtection="1">
      <alignment vertical="center"/>
    </xf>
    <xf numFmtId="14" fontId="9" fillId="0" borderId="1" xfId="0" applyNumberFormat="1" applyFont="1" applyBorder="1" applyProtection="1">
      <alignment vertical="center"/>
    </xf>
    <xf numFmtId="14" fontId="16" fillId="0" borderId="1" xfId="0" applyNumberFormat="1" applyFont="1" applyBorder="1" applyProtection="1">
      <alignment vertical="center"/>
    </xf>
    <xf numFmtId="14" fontId="14" fillId="0" borderId="1" xfId="0" applyNumberFormat="1" applyFont="1" applyBorder="1" applyProtection="1">
      <alignment vertical="center"/>
    </xf>
    <xf numFmtId="201" fontId="0" fillId="0" borderId="0" xfId="0" applyNumberFormat="1">
      <alignment vertical="center"/>
    </xf>
    <xf numFmtId="0" fontId="9" fillId="0" borderId="1" xfId="0" applyFont="1" applyBorder="1" applyAlignment="1" applyProtection="1">
      <alignment horizontal="center" vertical="center"/>
    </xf>
    <xf numFmtId="0" fontId="16" fillId="0" borderId="1" xfId="0" applyFont="1" applyBorder="1" applyAlignment="1" applyProtection="1">
      <alignment vertical="center" shrinkToFit="1"/>
    </xf>
    <xf numFmtId="0" fontId="0" fillId="0" borderId="50" xfId="0" applyBorder="1" applyAlignment="1" applyProtection="1">
      <alignment vertical="center"/>
    </xf>
    <xf numFmtId="0" fontId="16" fillId="0" borderId="1" xfId="0" applyFont="1" applyBorder="1" applyAlignment="1" applyProtection="1">
      <alignment horizontal="center" vertical="center"/>
    </xf>
    <xf numFmtId="0" fontId="0" fillId="0" borderId="51" xfId="0" applyBorder="1" applyAlignment="1" applyProtection="1">
      <alignment vertical="center"/>
    </xf>
    <xf numFmtId="0" fontId="16" fillId="6" borderId="54" xfId="0" applyFont="1" applyFill="1" applyBorder="1" applyAlignment="1" applyProtection="1">
      <alignment horizontal="center" vertical="center"/>
      <protection locked="0"/>
    </xf>
    <xf numFmtId="0" fontId="16" fillId="6" borderId="1" xfId="0" applyFont="1" applyFill="1" applyBorder="1" applyAlignment="1" applyProtection="1">
      <alignment horizontal="center" vertical="center"/>
      <protection locked="0"/>
    </xf>
    <xf numFmtId="177" fontId="8" fillId="0" borderId="0" xfId="0" applyNumberFormat="1" applyFont="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7" xfId="0" applyFont="1" applyBorder="1" applyProtection="1">
      <alignment vertical="center"/>
    </xf>
    <xf numFmtId="0" fontId="7" fillId="0" borderId="6" xfId="0" applyFont="1" applyBorder="1" applyProtection="1">
      <alignment vertical="center"/>
    </xf>
    <xf numFmtId="0" fontId="7" fillId="0" borderId="8" xfId="0" applyFont="1" applyBorder="1" applyProtection="1">
      <alignment vertical="center"/>
    </xf>
    <xf numFmtId="0" fontId="9" fillId="0" borderId="7" xfId="0" applyFont="1" applyBorder="1" applyProtection="1">
      <alignment vertical="center"/>
    </xf>
    <xf numFmtId="201" fontId="18" fillId="0" borderId="6" xfId="0" applyNumberFormat="1" applyFont="1" applyBorder="1" applyAlignment="1">
      <alignment horizontal="distributed" vertical="center"/>
    </xf>
    <xf numFmtId="58" fontId="18" fillId="0" borderId="1" xfId="0" applyNumberFormat="1" applyFont="1" applyBorder="1" applyAlignment="1">
      <alignment horizontal="distributed" vertical="center"/>
    </xf>
    <xf numFmtId="177" fontId="18" fillId="0" borderId="1" xfId="0" applyNumberFormat="1" applyFont="1" applyBorder="1" applyAlignment="1">
      <alignment horizontal="distributed" vertical="center"/>
    </xf>
    <xf numFmtId="0" fontId="16" fillId="6" borderId="1" xfId="0" applyFont="1" applyFill="1" applyBorder="1" applyAlignment="1" applyProtection="1">
      <alignment horizontal="center" vertical="center" shrinkToFit="1"/>
      <protection locked="0"/>
    </xf>
    <xf numFmtId="0" fontId="16" fillId="6" borderId="54" xfId="0" applyFont="1" applyFill="1" applyBorder="1" applyAlignment="1" applyProtection="1">
      <alignment horizontal="center" vertical="center" shrinkToFit="1"/>
      <protection locked="0"/>
    </xf>
    <xf numFmtId="0" fontId="41" fillId="0" borderId="50" xfId="0" applyFont="1" applyBorder="1" applyAlignment="1" applyProtection="1">
      <alignment vertical="center"/>
    </xf>
    <xf numFmtId="0" fontId="18" fillId="0" borderId="1" xfId="0" applyFont="1" applyBorder="1" applyAlignment="1">
      <alignment horizontal="centerContinuous" vertical="center"/>
    </xf>
    <xf numFmtId="0" fontId="16" fillId="0" borderId="0" xfId="0" applyFont="1" applyAlignment="1" applyProtection="1">
      <alignment horizontal="center" vertical="center"/>
    </xf>
    <xf numFmtId="0" fontId="8" fillId="0" borderId="27" xfId="0" applyNumberFormat="1" applyFont="1" applyFill="1" applyBorder="1" applyAlignment="1" applyProtection="1">
      <alignment horizontal="center" vertical="center"/>
    </xf>
    <xf numFmtId="0" fontId="21" fillId="0" borderId="49" xfId="0" applyFont="1" applyBorder="1" applyProtection="1">
      <alignment vertical="center"/>
    </xf>
    <xf numFmtId="0" fontId="21" fillId="0" borderId="50" xfId="0" applyFont="1" applyBorder="1" applyAlignment="1" applyProtection="1">
      <alignment vertical="center"/>
    </xf>
    <xf numFmtId="0" fontId="9" fillId="0" borderId="1" xfId="0" applyFont="1" applyBorder="1" applyAlignment="1" applyProtection="1">
      <alignment horizontal="center" vertical="center"/>
    </xf>
    <xf numFmtId="0" fontId="9" fillId="6" borderId="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shrinkToFit="1"/>
    </xf>
    <xf numFmtId="0" fontId="28" fillId="0" borderId="1" xfId="0" applyFont="1" applyFill="1" applyBorder="1" applyAlignment="1" applyProtection="1">
      <alignment horizontal="center" vertical="center"/>
    </xf>
    <xf numFmtId="188" fontId="8" fillId="8" borderId="76" xfId="0" applyNumberFormat="1" applyFont="1" applyFill="1" applyBorder="1" applyAlignment="1" applyProtection="1">
      <alignment horizontal="center" vertical="center"/>
    </xf>
    <xf numFmtId="199" fontId="8" fillId="8" borderId="76" xfId="0" applyNumberFormat="1" applyFont="1" applyFill="1" applyBorder="1" applyAlignment="1" applyProtection="1">
      <alignment horizontal="center" vertical="center"/>
    </xf>
    <xf numFmtId="199" fontId="9" fillId="6" borderId="7" xfId="0" applyNumberFormat="1" applyFont="1" applyFill="1" applyBorder="1" applyAlignment="1" applyProtection="1">
      <alignment vertical="center" shrinkToFit="1"/>
      <protection locked="0"/>
    </xf>
    <xf numFmtId="0" fontId="16" fillId="0" borderId="54" xfId="0" applyFont="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54" xfId="0" applyFont="1" applyBorder="1" applyAlignment="1" applyProtection="1">
      <alignment horizontal="center" vertical="center"/>
    </xf>
    <xf numFmtId="188" fontId="8" fillId="7" borderId="74" xfId="0" applyNumberFormat="1" applyFont="1" applyFill="1" applyBorder="1" applyAlignment="1" applyProtection="1">
      <alignment vertical="center" textRotation="255"/>
    </xf>
    <xf numFmtId="188" fontId="0" fillId="7" borderId="69" xfId="0" applyNumberFormat="1" applyFill="1" applyBorder="1" applyAlignment="1" applyProtection="1">
      <alignment vertical="center" textRotation="255"/>
    </xf>
    <xf numFmtId="188" fontId="0" fillId="7" borderId="71" xfId="0" applyNumberFormat="1" applyFill="1" applyBorder="1" applyAlignment="1" applyProtection="1">
      <alignment vertical="center" textRotation="255"/>
    </xf>
    <xf numFmtId="0" fontId="8" fillId="7" borderId="18" xfId="0" applyFont="1"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10" xfId="0" applyFill="1" applyBorder="1" applyAlignment="1" applyProtection="1">
      <alignment horizontal="center" vertical="center"/>
    </xf>
    <xf numFmtId="0" fontId="8" fillId="0" borderId="18" xfId="0" applyFont="1" applyBorder="1" applyAlignment="1" applyProtection="1">
      <alignment vertical="center" shrinkToFit="1"/>
    </xf>
    <xf numFmtId="0" fontId="0" fillId="0" borderId="5" xfId="0" applyBorder="1" applyAlignment="1" applyProtection="1">
      <alignment vertical="center" shrinkToFit="1"/>
    </xf>
    <xf numFmtId="0" fontId="0" fillId="0" borderId="73" xfId="0" applyBorder="1" applyAlignment="1" applyProtection="1">
      <alignment vertical="center" shrinkToFit="1"/>
    </xf>
    <xf numFmtId="0" fontId="8" fillId="7" borderId="7" xfId="0" applyFont="1" applyFill="1" applyBorder="1" applyAlignment="1" applyProtection="1">
      <alignment horizontal="center" vertical="center"/>
    </xf>
    <xf numFmtId="0" fontId="0" fillId="7" borderId="8" xfId="0" applyFill="1" applyBorder="1" applyAlignment="1" applyProtection="1">
      <alignment horizontal="center" vertical="center"/>
    </xf>
    <xf numFmtId="0" fontId="0" fillId="7" borderId="6" xfId="0" applyFill="1" applyBorder="1" applyAlignment="1" applyProtection="1">
      <alignment horizontal="center" vertical="center"/>
    </xf>
    <xf numFmtId="0" fontId="8" fillId="0" borderId="7" xfId="0" applyFont="1" applyBorder="1" applyAlignment="1" applyProtection="1">
      <alignment vertical="center" shrinkToFit="1"/>
    </xf>
    <xf numFmtId="0" fontId="0" fillId="0" borderId="8" xfId="0" applyBorder="1" applyAlignment="1" applyProtection="1">
      <alignment vertical="center" shrinkToFit="1"/>
    </xf>
    <xf numFmtId="0" fontId="0" fillId="0" borderId="70" xfId="0" applyBorder="1" applyAlignment="1" applyProtection="1">
      <alignment vertical="center" shrinkToFit="1"/>
    </xf>
    <xf numFmtId="0" fontId="8" fillId="7" borderId="7" xfId="0" applyFont="1" applyFill="1" applyBorder="1" applyAlignment="1" applyProtection="1">
      <alignment horizontal="center" vertical="center" wrapText="1"/>
    </xf>
    <xf numFmtId="0" fontId="8" fillId="7" borderId="43" xfId="0" applyFont="1" applyFill="1" applyBorder="1" applyAlignment="1" applyProtection="1">
      <alignment horizontal="center" vertical="center" wrapText="1"/>
    </xf>
    <xf numFmtId="0" fontId="0" fillId="7" borderId="44" xfId="0" applyFill="1" applyBorder="1" applyAlignment="1" applyProtection="1">
      <alignment horizontal="center" vertical="center"/>
    </xf>
    <xf numFmtId="0" fontId="0" fillId="7" borderId="45" xfId="0" applyFill="1" applyBorder="1" applyAlignment="1" applyProtection="1">
      <alignment horizontal="center" vertical="center"/>
    </xf>
    <xf numFmtId="0" fontId="8" fillId="0" borderId="43" xfId="0" applyFont="1" applyFill="1" applyBorder="1" applyAlignment="1" applyProtection="1">
      <alignment vertical="center" shrinkToFit="1"/>
    </xf>
    <xf numFmtId="0" fontId="0" fillId="0" borderId="44" xfId="0" applyFill="1" applyBorder="1" applyAlignment="1" applyProtection="1">
      <alignment vertical="center" shrinkToFit="1"/>
    </xf>
    <xf numFmtId="0" fontId="0" fillId="0" borderId="72" xfId="0" applyFill="1" applyBorder="1" applyAlignment="1" applyProtection="1">
      <alignment vertical="center" shrinkToFit="1"/>
    </xf>
    <xf numFmtId="0" fontId="8"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43" fillId="0" borderId="33" xfId="0" applyFont="1" applyBorder="1" applyAlignment="1" applyProtection="1">
      <alignment horizontal="center" vertical="center"/>
    </xf>
    <xf numFmtId="0" fontId="43" fillId="0" borderId="34" xfId="0" applyFont="1" applyBorder="1" applyAlignment="1" applyProtection="1">
      <alignment horizontal="center" vertical="center"/>
    </xf>
    <xf numFmtId="0" fontId="43" fillId="0" borderId="8" xfId="0" applyFont="1" applyBorder="1" applyAlignment="1" applyProtection="1">
      <alignment horizontal="center" vertical="center"/>
    </xf>
    <xf numFmtId="0" fontId="43" fillId="0" borderId="6" xfId="0" applyFont="1" applyBorder="1" applyAlignment="1" applyProtection="1">
      <alignment horizontal="center" vertical="center"/>
    </xf>
    <xf numFmtId="0" fontId="8" fillId="6" borderId="7" xfId="0" applyFont="1" applyFill="1" applyBorder="1" applyAlignment="1" applyProtection="1">
      <alignment horizontal="left" vertical="center"/>
      <protection locked="0"/>
    </xf>
    <xf numFmtId="0" fontId="43" fillId="6" borderId="8" xfId="0" applyFont="1" applyFill="1" applyBorder="1" applyAlignment="1" applyProtection="1">
      <alignment horizontal="left" vertical="center"/>
      <protection locked="0"/>
    </xf>
    <xf numFmtId="0" fontId="43" fillId="6" borderId="6" xfId="0" applyFont="1" applyFill="1" applyBorder="1" applyAlignment="1" applyProtection="1">
      <alignment horizontal="left" vertical="center"/>
      <protection locked="0"/>
    </xf>
    <xf numFmtId="0" fontId="8" fillId="0" borderId="7" xfId="0" applyFont="1" applyBorder="1" applyAlignment="1" applyProtection="1">
      <alignment horizontal="left" vertical="center"/>
    </xf>
    <xf numFmtId="0" fontId="43" fillId="0" borderId="8" xfId="0" applyFont="1" applyBorder="1" applyAlignment="1" applyProtection="1">
      <alignment horizontal="left" vertical="center"/>
    </xf>
    <xf numFmtId="0" fontId="43" fillId="0" borderId="70" xfId="0" applyFont="1" applyBorder="1" applyAlignment="1" applyProtection="1">
      <alignment horizontal="left" vertical="center"/>
    </xf>
    <xf numFmtId="0" fontId="8" fillId="0" borderId="32" xfId="0" applyFont="1" applyBorder="1" applyAlignment="1" applyProtection="1">
      <alignment horizontal="left" vertical="center"/>
    </xf>
    <xf numFmtId="0" fontId="43" fillId="0" borderId="33" xfId="0" applyFont="1" applyBorder="1" applyAlignment="1" applyProtection="1">
      <alignment horizontal="left" vertical="center"/>
    </xf>
    <xf numFmtId="0" fontId="43" fillId="0" borderId="68" xfId="0" applyFont="1" applyBorder="1" applyAlignment="1" applyProtection="1">
      <alignment horizontal="left" vertical="center"/>
    </xf>
    <xf numFmtId="0" fontId="43" fillId="7" borderId="8" xfId="0" applyFont="1" applyFill="1" applyBorder="1" applyAlignment="1" applyProtection="1">
      <alignment horizontal="center" vertical="center"/>
    </xf>
    <xf numFmtId="0" fontId="43" fillId="7" borderId="6" xfId="0" applyFont="1" applyFill="1" applyBorder="1" applyAlignment="1" applyProtection="1">
      <alignment horizontal="center" vertical="center"/>
    </xf>
    <xf numFmtId="49" fontId="8" fillId="6" borderId="26" xfId="0" applyNumberFormat="1" applyFont="1" applyFill="1" applyBorder="1" applyAlignment="1" applyProtection="1">
      <alignment horizontal="center" vertical="center" shrinkToFit="1"/>
      <protection locked="0"/>
    </xf>
    <xf numFmtId="0" fontId="28" fillId="6" borderId="27" xfId="0" applyFont="1" applyFill="1" applyBorder="1" applyAlignment="1" applyProtection="1">
      <alignment vertical="center" shrinkToFit="1"/>
      <protection locked="0"/>
    </xf>
    <xf numFmtId="49" fontId="8" fillId="6" borderId="27" xfId="0" applyNumberFormat="1" applyFont="1" applyFill="1" applyBorder="1" applyAlignment="1" applyProtection="1">
      <alignment horizontal="center" vertical="center" shrinkToFit="1"/>
      <protection locked="0"/>
    </xf>
    <xf numFmtId="0" fontId="28" fillId="6" borderId="28" xfId="0" applyFont="1" applyFill="1" applyBorder="1" applyAlignment="1" applyProtection="1">
      <alignment vertical="center" shrinkToFit="1"/>
      <protection locked="0"/>
    </xf>
    <xf numFmtId="0" fontId="8" fillId="0" borderId="2" xfId="0" applyFont="1" applyBorder="1" applyAlignment="1" applyProtection="1">
      <alignment vertical="center" shrinkToFit="1"/>
    </xf>
    <xf numFmtId="0" fontId="43" fillId="0" borderId="3" xfId="0" applyFont="1" applyBorder="1" applyAlignment="1" applyProtection="1">
      <alignment vertical="center" shrinkToFit="1"/>
    </xf>
    <xf numFmtId="0" fontId="43" fillId="0" borderId="4" xfId="0" applyFont="1" applyBorder="1" applyAlignment="1" applyProtection="1">
      <alignment vertical="center" shrinkToFit="1"/>
    </xf>
    <xf numFmtId="0" fontId="8" fillId="5" borderId="4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28" fillId="5" borderId="45" xfId="0" applyFont="1" applyFill="1" applyBorder="1" applyAlignment="1" applyProtection="1">
      <alignment horizontal="center" vertical="center"/>
    </xf>
    <xf numFmtId="0" fontId="28" fillId="6" borderId="8" xfId="0" applyFont="1" applyFill="1" applyBorder="1" applyAlignment="1" applyProtection="1">
      <alignment horizontal="left" vertical="center"/>
      <protection locked="0"/>
    </xf>
    <xf numFmtId="0" fontId="28" fillId="6" borderId="6" xfId="0" applyFont="1" applyFill="1" applyBorder="1" applyAlignment="1" applyProtection="1">
      <alignment horizontal="left" vertical="center"/>
      <protection locked="0"/>
    </xf>
    <xf numFmtId="0" fontId="8" fillId="5" borderId="7" xfId="0" applyFont="1" applyFill="1" applyBorder="1" applyAlignment="1" applyProtection="1">
      <alignment horizontal="center" vertical="center"/>
    </xf>
    <xf numFmtId="0" fontId="28" fillId="5" borderId="8" xfId="0" applyFont="1" applyFill="1" applyBorder="1" applyAlignment="1" applyProtection="1">
      <alignment horizontal="center" vertical="center"/>
    </xf>
    <xf numFmtId="0" fontId="28" fillId="5" borderId="6" xfId="0" applyFont="1" applyFill="1" applyBorder="1" applyAlignment="1" applyProtection="1">
      <alignment horizontal="center" vertical="center"/>
    </xf>
    <xf numFmtId="0" fontId="8" fillId="6" borderId="86" xfId="0" applyFont="1" applyFill="1" applyBorder="1" applyAlignment="1" applyProtection="1">
      <alignment horizontal="left" vertical="center"/>
    </xf>
    <xf numFmtId="0" fontId="28" fillId="6" borderId="56" xfId="0" applyFont="1" applyFill="1" applyBorder="1" applyAlignment="1" applyProtection="1">
      <alignment horizontal="left" vertical="center"/>
    </xf>
    <xf numFmtId="0" fontId="28" fillId="6" borderId="87" xfId="0" applyFont="1" applyFill="1" applyBorder="1" applyAlignment="1" applyProtection="1">
      <alignment horizontal="left" vertical="center"/>
    </xf>
    <xf numFmtId="0" fontId="8" fillId="6" borderId="79" xfId="0" applyFont="1" applyFill="1" applyBorder="1" applyAlignment="1" applyProtection="1">
      <alignment horizontal="center" vertical="center"/>
      <protection locked="0"/>
    </xf>
    <xf numFmtId="0" fontId="28" fillId="6" borderId="80" xfId="0" applyFont="1" applyFill="1" applyBorder="1" applyAlignment="1" applyProtection="1">
      <alignment horizontal="center" vertical="center"/>
      <protection locked="0"/>
    </xf>
    <xf numFmtId="0" fontId="28" fillId="6" borderId="81" xfId="0" applyFont="1" applyFill="1" applyBorder="1" applyAlignment="1" applyProtection="1">
      <alignment horizontal="center" vertical="center"/>
      <protection locked="0"/>
    </xf>
    <xf numFmtId="0" fontId="8" fillId="0" borderId="82" xfId="0" applyFont="1" applyBorder="1" applyAlignment="1" applyProtection="1">
      <alignment vertical="center" wrapText="1" shrinkToFit="1"/>
    </xf>
    <xf numFmtId="0" fontId="28" fillId="0" borderId="82" xfId="0" applyFont="1" applyBorder="1" applyAlignment="1" applyProtection="1">
      <alignment vertical="center"/>
    </xf>
    <xf numFmtId="0" fontId="28" fillId="0" borderId="84" xfId="0" applyFont="1" applyBorder="1" applyAlignment="1" applyProtection="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6" xfId="0" applyFont="1" applyBorder="1" applyAlignment="1" applyProtection="1">
      <alignment vertical="center" wrapText="1"/>
    </xf>
    <xf numFmtId="0" fontId="8" fillId="0" borderId="43" xfId="0" applyFont="1" applyBorder="1" applyAlignment="1" applyProtection="1">
      <alignment vertical="center" shrinkToFit="1"/>
    </xf>
    <xf numFmtId="0" fontId="28" fillId="0" borderId="44" xfId="0" applyFont="1" applyBorder="1" applyAlignment="1" applyProtection="1">
      <alignment vertical="center"/>
    </xf>
    <xf numFmtId="0" fontId="28" fillId="0" borderId="72" xfId="0" applyFont="1" applyBorder="1" applyAlignment="1" applyProtection="1">
      <alignment vertical="center"/>
    </xf>
    <xf numFmtId="0" fontId="8" fillId="0" borderId="1" xfId="0" applyFont="1" applyBorder="1" applyAlignment="1" applyProtection="1">
      <alignment vertical="center" wrapText="1" shrinkToFit="1"/>
    </xf>
    <xf numFmtId="0" fontId="28" fillId="0" borderId="1" xfId="0" applyFont="1" applyBorder="1" applyAlignment="1" applyProtection="1">
      <alignment vertical="center"/>
    </xf>
    <xf numFmtId="0" fontId="8" fillId="0" borderId="1" xfId="0" applyFont="1" applyBorder="1" applyAlignment="1" applyProtection="1">
      <alignment vertical="center" shrinkToFit="1"/>
    </xf>
    <xf numFmtId="0" fontId="28" fillId="0" borderId="1" xfId="0" applyFont="1" applyBorder="1" applyAlignment="1" applyProtection="1">
      <alignment vertical="center" shrinkToFit="1"/>
    </xf>
    <xf numFmtId="0" fontId="28" fillId="0" borderId="8" xfId="0" applyFont="1" applyBorder="1" applyAlignment="1" applyProtection="1">
      <alignment vertical="center" wrapText="1"/>
    </xf>
    <xf numFmtId="0" fontId="28" fillId="0" borderId="6" xfId="0" applyFont="1" applyBorder="1" applyAlignment="1" applyProtection="1">
      <alignment vertical="center" wrapText="1"/>
    </xf>
    <xf numFmtId="0" fontId="8" fillId="0" borderId="7"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8" xfId="0" applyFont="1" applyBorder="1" applyAlignment="1" applyProtection="1">
      <alignment horizontal="center" vertical="center"/>
    </xf>
    <xf numFmtId="0" fontId="28" fillId="0" borderId="6" xfId="0" applyFont="1" applyBorder="1" applyAlignment="1" applyProtection="1">
      <alignment vertical="center"/>
    </xf>
    <xf numFmtId="0" fontId="31" fillId="0" borderId="7" xfId="0" applyFont="1" applyBorder="1" applyAlignment="1" applyProtection="1">
      <alignment horizontal="center" vertical="center"/>
    </xf>
    <xf numFmtId="0" fontId="31" fillId="0" borderId="8" xfId="0" applyFont="1" applyBorder="1" applyAlignment="1" applyProtection="1">
      <alignment horizontal="center" vertical="center"/>
    </xf>
    <xf numFmtId="0" fontId="32" fillId="0" borderId="6"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8" fillId="0" borderId="7" xfId="0" applyFont="1" applyBorder="1" applyAlignment="1" applyProtection="1">
      <alignment horizontal="center" vertical="center" wrapText="1" shrinkToFit="1"/>
    </xf>
    <xf numFmtId="0" fontId="8" fillId="0" borderId="8"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5" borderId="82" xfId="0" applyFont="1" applyFill="1" applyBorder="1" applyAlignment="1" applyProtection="1">
      <alignment horizontal="center" vertical="center" wrapText="1"/>
    </xf>
    <xf numFmtId="0" fontId="28" fillId="5" borderId="82" xfId="0" applyFont="1" applyFill="1" applyBorder="1" applyAlignment="1" applyProtection="1">
      <alignment vertical="center"/>
    </xf>
    <xf numFmtId="0" fontId="8" fillId="5" borderId="79" xfId="0" applyFont="1" applyFill="1" applyBorder="1" applyAlignment="1" applyProtection="1">
      <alignment horizontal="center" vertical="center"/>
    </xf>
    <xf numFmtId="0" fontId="0" fillId="5" borderId="80" xfId="0" applyFill="1" applyBorder="1" applyAlignment="1" applyProtection="1">
      <alignment horizontal="center" vertical="center"/>
    </xf>
    <xf numFmtId="0" fontId="0" fillId="5" borderId="81" xfId="0" applyFill="1" applyBorder="1" applyAlignment="1" applyProtection="1">
      <alignment horizontal="center" vertical="center"/>
    </xf>
    <xf numFmtId="183" fontId="8" fillId="0" borderId="79" xfId="0" applyNumberFormat="1" applyFont="1" applyFill="1" applyBorder="1" applyAlignment="1" applyProtection="1">
      <alignment horizontal="center" vertical="center"/>
    </xf>
    <xf numFmtId="0" fontId="0" fillId="0" borderId="80" xfId="0" applyFill="1" applyBorder="1" applyAlignment="1" applyProtection="1">
      <alignment horizontal="center" vertical="center"/>
    </xf>
    <xf numFmtId="0" fontId="0" fillId="0" borderId="81" xfId="0" applyFill="1" applyBorder="1" applyAlignment="1" applyProtection="1">
      <alignment horizontal="center" vertical="center"/>
    </xf>
    <xf numFmtId="0" fontId="8" fillId="0" borderId="79" xfId="0" applyFont="1" applyFill="1" applyBorder="1" applyAlignment="1" applyProtection="1">
      <alignment vertical="center" shrinkToFit="1"/>
    </xf>
    <xf numFmtId="0" fontId="0" fillId="0" borderId="80" xfId="0" applyFill="1" applyBorder="1" applyAlignment="1" applyProtection="1">
      <alignment vertical="center"/>
    </xf>
    <xf numFmtId="0" fontId="0" fillId="0" borderId="83" xfId="0" applyFill="1" applyBorder="1" applyAlignment="1" applyProtection="1">
      <alignment vertical="center"/>
    </xf>
    <xf numFmtId="0" fontId="8" fillId="0" borderId="79" xfId="0" applyFont="1" applyBorder="1" applyAlignment="1" applyProtection="1">
      <alignment horizontal="left" vertical="center" wrapText="1" shrinkToFit="1"/>
    </xf>
    <xf numFmtId="0" fontId="8" fillId="0" borderId="80" xfId="0" applyFont="1" applyBorder="1" applyAlignment="1" applyProtection="1">
      <alignment horizontal="left" vertical="center" wrapText="1" shrinkToFit="1"/>
    </xf>
    <xf numFmtId="0" fontId="8" fillId="0" borderId="83" xfId="0" applyFont="1" applyBorder="1" applyAlignment="1" applyProtection="1">
      <alignment horizontal="left" vertical="center" wrapText="1" shrinkToFit="1"/>
    </xf>
    <xf numFmtId="0" fontId="8" fillId="6" borderId="80" xfId="0" applyFont="1" applyFill="1" applyBorder="1" applyAlignment="1" applyProtection="1">
      <alignment horizontal="center" vertical="center"/>
      <protection locked="0"/>
    </xf>
    <xf numFmtId="0" fontId="8" fillId="6" borderId="81" xfId="0" applyFont="1" applyFill="1" applyBorder="1" applyAlignment="1" applyProtection="1">
      <alignment horizontal="center" vertical="center"/>
      <protection locked="0"/>
    </xf>
    <xf numFmtId="0" fontId="8" fillId="5" borderId="79" xfId="0" applyFont="1" applyFill="1" applyBorder="1" applyAlignment="1" applyProtection="1">
      <alignment horizontal="center" vertical="center" wrapText="1"/>
    </xf>
    <xf numFmtId="0" fontId="8" fillId="5" borderId="80" xfId="0" applyFont="1" applyFill="1" applyBorder="1" applyAlignment="1" applyProtection="1">
      <alignment horizontal="center" vertical="center" wrapText="1"/>
    </xf>
    <xf numFmtId="0" fontId="8" fillId="5" borderId="81"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vertical="center" wrapText="1" shrinkToFit="1"/>
    </xf>
    <xf numFmtId="0" fontId="28" fillId="0" borderId="0" xfId="0" applyFont="1" applyAlignment="1" applyProtection="1">
      <alignment vertical="center"/>
    </xf>
    <xf numFmtId="0" fontId="8" fillId="0" borderId="32" xfId="0" applyFont="1" applyBorder="1" applyAlignment="1" applyProtection="1">
      <alignment horizontal="left" vertical="center" shrinkToFit="1"/>
    </xf>
    <xf numFmtId="0" fontId="28" fillId="0" borderId="33" xfId="0" applyFont="1" applyBorder="1" applyAlignment="1" applyProtection="1">
      <alignment horizontal="left" vertical="center" shrinkToFit="1"/>
    </xf>
    <xf numFmtId="0" fontId="28" fillId="0" borderId="33" xfId="0" applyFont="1" applyBorder="1" applyAlignment="1" applyProtection="1">
      <alignment vertical="center"/>
    </xf>
    <xf numFmtId="0" fontId="28" fillId="0" borderId="68" xfId="0" applyFont="1" applyBorder="1" applyAlignment="1" applyProtection="1">
      <alignment vertical="center"/>
    </xf>
    <xf numFmtId="0" fontId="8" fillId="0" borderId="7" xfId="0" applyFont="1" applyBorder="1" applyAlignment="1" applyProtection="1">
      <alignment horizontal="left" vertical="center" shrinkToFit="1"/>
    </xf>
    <xf numFmtId="0" fontId="28" fillId="0" borderId="8" xfId="0" applyFont="1" applyBorder="1" applyAlignment="1" applyProtection="1">
      <alignment horizontal="left" vertical="center" shrinkToFit="1"/>
    </xf>
    <xf numFmtId="0" fontId="28" fillId="0" borderId="8" xfId="0" applyFont="1" applyBorder="1" applyAlignment="1" applyProtection="1">
      <alignment vertical="center"/>
    </xf>
    <xf numFmtId="0" fontId="28" fillId="0" borderId="70" xfId="0" applyFont="1" applyBorder="1" applyAlignment="1" applyProtection="1">
      <alignment vertical="center"/>
    </xf>
    <xf numFmtId="0" fontId="28" fillId="0" borderId="7" xfId="0" applyFont="1" applyBorder="1" applyAlignment="1" applyProtection="1">
      <alignment horizontal="left" vertical="center" shrinkToFit="1"/>
    </xf>
    <xf numFmtId="0" fontId="28" fillId="0" borderId="8" xfId="0" applyFont="1" applyBorder="1" applyAlignment="1" applyProtection="1">
      <alignment vertical="center" shrinkToFit="1"/>
    </xf>
    <xf numFmtId="0" fontId="28" fillId="0" borderId="44" xfId="0" applyFont="1" applyBorder="1" applyAlignment="1" applyProtection="1">
      <alignment vertical="center" shrinkToFit="1"/>
    </xf>
    <xf numFmtId="0" fontId="2" fillId="6" borderId="43" xfId="1" applyNumberFormat="1" applyFill="1" applyBorder="1" applyAlignment="1" applyProtection="1">
      <alignment horizontal="left" vertical="center"/>
      <protection locked="0"/>
    </xf>
    <xf numFmtId="0" fontId="8" fillId="6" borderId="44" xfId="0" applyFont="1" applyFill="1" applyBorder="1" applyAlignment="1" applyProtection="1">
      <alignment horizontal="left" vertical="center"/>
      <protection locked="0"/>
    </xf>
    <xf numFmtId="0" fontId="8" fillId="6" borderId="45" xfId="0" applyFont="1" applyFill="1" applyBorder="1" applyAlignment="1" applyProtection="1">
      <alignment horizontal="left" vertical="center"/>
      <protection locked="0"/>
    </xf>
    <xf numFmtId="0" fontId="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8" fillId="5" borderId="86" xfId="0" applyFont="1" applyFill="1" applyBorder="1" applyAlignment="1" applyProtection="1">
      <alignment horizontal="center" vertical="center"/>
    </xf>
    <xf numFmtId="0" fontId="28" fillId="5" borderId="56" xfId="0" applyFont="1" applyFill="1" applyBorder="1" applyAlignment="1" applyProtection="1">
      <alignment horizontal="center" vertical="center"/>
    </xf>
    <xf numFmtId="0" fontId="28" fillId="5" borderId="87"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9"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10" xfId="0" applyFont="1" applyFill="1" applyBorder="1" applyAlignment="1" applyProtection="1">
      <alignment horizontal="center" vertical="center"/>
    </xf>
    <xf numFmtId="0" fontId="8" fillId="7" borderId="43" xfId="0" applyFont="1" applyFill="1" applyBorder="1" applyAlignment="1" applyProtection="1">
      <alignment horizontal="center" vertical="center"/>
    </xf>
    <xf numFmtId="0" fontId="28" fillId="7" borderId="44" xfId="0" applyFont="1" applyFill="1" applyBorder="1" applyAlignment="1" applyProtection="1">
      <alignment horizontal="center" vertical="center"/>
    </xf>
    <xf numFmtId="0" fontId="28" fillId="7" borderId="45" xfId="0" applyFont="1" applyFill="1" applyBorder="1" applyAlignment="1" applyProtection="1">
      <alignment horizontal="center" vertical="center"/>
    </xf>
    <xf numFmtId="183" fontId="8" fillId="6" borderId="43" xfId="0" applyNumberFormat="1" applyFont="1" applyFill="1" applyBorder="1" applyAlignment="1" applyProtection="1">
      <alignment horizontal="left" vertical="center"/>
      <protection locked="0"/>
    </xf>
    <xf numFmtId="183" fontId="28" fillId="6" borderId="44" xfId="0" applyNumberFormat="1" applyFont="1" applyFill="1" applyBorder="1" applyAlignment="1" applyProtection="1">
      <alignment horizontal="left" vertical="center"/>
      <protection locked="0"/>
    </xf>
    <xf numFmtId="183" fontId="28" fillId="6" borderId="45" xfId="0" applyNumberFormat="1" applyFont="1" applyFill="1" applyBorder="1" applyAlignment="1" applyProtection="1">
      <alignment horizontal="left" vertical="center"/>
      <protection locked="0"/>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8" xfId="0" applyFont="1" applyBorder="1" applyAlignment="1" applyProtection="1">
      <alignment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7" xfId="0" applyFont="1" applyBorder="1" applyAlignment="1" applyProtection="1">
      <alignment horizontal="left" vertical="center" wrapText="1"/>
    </xf>
    <xf numFmtId="0" fontId="28" fillId="0" borderId="8"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1" xfId="0" applyFont="1" applyBorder="1" applyAlignment="1" applyProtection="1">
      <alignment vertical="center" wrapText="1" shrinkToFit="1"/>
    </xf>
    <xf numFmtId="0" fontId="0" fillId="0" borderId="6" xfId="0" applyBorder="1" applyAlignment="1" applyProtection="1">
      <alignment vertical="center" shrinkToFit="1"/>
    </xf>
    <xf numFmtId="0" fontId="8" fillId="0" borderId="7" xfId="0" applyFont="1" applyBorder="1" applyAlignment="1" applyProtection="1">
      <alignment vertical="center" wrapText="1" shrinkToFit="1"/>
    </xf>
    <xf numFmtId="0" fontId="0" fillId="0" borderId="8" xfId="0" applyBorder="1" applyAlignment="1" applyProtection="1">
      <alignment vertical="center" wrapText="1" shrinkToFit="1"/>
    </xf>
    <xf numFmtId="0" fontId="0" fillId="0" borderId="6" xfId="0" applyBorder="1" applyAlignment="1" applyProtection="1">
      <alignment vertical="center" wrapText="1" shrinkToFit="1"/>
    </xf>
    <xf numFmtId="0" fontId="0" fillId="0" borderId="8" xfId="0" applyBorder="1" applyAlignment="1" applyProtection="1">
      <alignment vertical="center"/>
    </xf>
    <xf numFmtId="0" fontId="0" fillId="0" borderId="6" xfId="0" applyBorder="1" applyAlignment="1" applyProtection="1">
      <alignment vertical="center"/>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6" xfId="0" applyFont="1" applyBorder="1" applyAlignment="1" applyProtection="1">
      <alignment horizontal="center" vertical="center"/>
    </xf>
    <xf numFmtId="0" fontId="31" fillId="0" borderId="6" xfId="0" applyFont="1" applyBorder="1" applyAlignment="1" applyProtection="1">
      <alignment horizontal="center" vertical="center"/>
    </xf>
    <xf numFmtId="0" fontId="8" fillId="5" borderId="85" xfId="0" applyFont="1" applyFill="1" applyBorder="1" applyAlignment="1" applyProtection="1">
      <alignment vertical="center" textRotation="255"/>
    </xf>
    <xf numFmtId="0" fontId="8" fillId="5" borderId="88" xfId="0" applyFont="1" applyFill="1" applyBorder="1" applyAlignment="1" applyProtection="1">
      <alignment vertical="center" textRotation="255"/>
    </xf>
    <xf numFmtId="0" fontId="8" fillId="5" borderId="89" xfId="0" applyFont="1" applyFill="1" applyBorder="1" applyAlignment="1" applyProtection="1">
      <alignment vertical="center" textRotation="255"/>
    </xf>
    <xf numFmtId="0" fontId="8" fillId="7" borderId="85" xfId="0" applyFont="1" applyFill="1" applyBorder="1" applyAlignment="1" applyProtection="1">
      <alignment vertical="center" textRotation="255"/>
    </xf>
    <xf numFmtId="0" fontId="8" fillId="7" borderId="88" xfId="0" applyFont="1" applyFill="1" applyBorder="1" applyAlignment="1" applyProtection="1">
      <alignment vertical="center" textRotation="255"/>
    </xf>
    <xf numFmtId="0" fontId="8" fillId="7" borderId="89" xfId="0" applyFont="1" applyFill="1" applyBorder="1" applyAlignment="1" applyProtection="1">
      <alignment vertical="center" textRotation="255"/>
    </xf>
    <xf numFmtId="0" fontId="8" fillId="0" borderId="6" xfId="0" applyFont="1" applyBorder="1" applyAlignment="1" applyProtection="1">
      <alignment horizontal="center" vertical="center"/>
    </xf>
    <xf numFmtId="0" fontId="8" fillId="0" borderId="15" xfId="0" applyFont="1" applyFill="1" applyBorder="1" applyAlignment="1" applyProtection="1">
      <alignment horizontal="center" vertical="center"/>
    </xf>
    <xf numFmtId="0" fontId="28" fillId="0" borderId="16" xfId="0" applyFont="1" applyBorder="1" applyAlignment="1" applyProtection="1">
      <alignment vertical="center"/>
    </xf>
    <xf numFmtId="0" fontId="28" fillId="0" borderId="17" xfId="0" applyFont="1" applyBorder="1" applyAlignment="1" applyProtection="1">
      <alignment vertical="center"/>
    </xf>
    <xf numFmtId="0" fontId="8" fillId="6" borderId="18" xfId="0" applyFont="1" applyFill="1" applyBorder="1" applyAlignment="1" applyProtection="1">
      <alignment horizontal="left" vertical="center"/>
    </xf>
    <xf numFmtId="0" fontId="28" fillId="6" borderId="5" xfId="0" applyFont="1" applyFill="1" applyBorder="1" applyAlignment="1" applyProtection="1">
      <alignment horizontal="left" vertical="center"/>
    </xf>
    <xf numFmtId="0" fontId="28" fillId="6" borderId="10" xfId="0" applyFont="1" applyFill="1" applyBorder="1" applyAlignment="1" applyProtection="1">
      <alignment horizontal="left" vertical="center"/>
    </xf>
    <xf numFmtId="0" fontId="8" fillId="6" borderId="11" xfId="0" applyFont="1" applyFill="1" applyBorder="1" applyAlignment="1" applyProtection="1">
      <alignment horizontal="left" vertical="center"/>
    </xf>
    <xf numFmtId="0" fontId="28" fillId="6" borderId="0" xfId="0" applyFont="1" applyFill="1" applyBorder="1" applyAlignment="1" applyProtection="1">
      <alignment horizontal="left" vertical="center"/>
    </xf>
    <xf numFmtId="0" fontId="28" fillId="6" borderId="9" xfId="0" applyFont="1" applyFill="1" applyBorder="1" applyAlignment="1" applyProtection="1">
      <alignment horizontal="left" vertical="center"/>
    </xf>
    <xf numFmtId="0" fontId="8" fillId="0" borderId="1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8" fillId="0" borderId="70" xfId="0" applyFont="1" applyBorder="1" applyAlignment="1" applyProtection="1">
      <alignment horizontal="left" vertical="center" shrinkToFit="1"/>
    </xf>
    <xf numFmtId="0" fontId="30" fillId="0" borderId="7" xfId="0" applyFont="1" applyBorder="1" applyAlignment="1" applyProtection="1">
      <alignment horizontal="left" vertical="center" wrapText="1" shrinkToFit="1"/>
    </xf>
    <xf numFmtId="0" fontId="28" fillId="0" borderId="8" xfId="0" applyFont="1" applyBorder="1" applyAlignment="1" applyProtection="1">
      <alignment horizontal="left" vertical="center" wrapText="1" shrinkToFit="1"/>
    </xf>
    <xf numFmtId="0" fontId="28" fillId="0" borderId="70" xfId="0" applyFont="1" applyBorder="1" applyAlignment="1" applyProtection="1">
      <alignment horizontal="left" vertical="center" wrapText="1" shrinkToFit="1"/>
    </xf>
    <xf numFmtId="0" fontId="8" fillId="7" borderId="32" xfId="0" applyFont="1" applyFill="1" applyBorder="1" applyAlignment="1" applyProtection="1">
      <alignment horizontal="center" vertical="center"/>
    </xf>
    <xf numFmtId="0" fontId="43" fillId="7" borderId="33" xfId="0" applyFont="1" applyFill="1" applyBorder="1" applyAlignment="1" applyProtection="1">
      <alignment horizontal="center" vertical="center"/>
    </xf>
    <xf numFmtId="0" fontId="43" fillId="7" borderId="34"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30" fillId="0" borderId="7" xfId="0" applyFont="1" applyFill="1" applyBorder="1" applyAlignment="1" applyProtection="1">
      <alignment horizontal="left" vertical="center" wrapText="1" shrinkToFit="1"/>
    </xf>
    <xf numFmtId="0" fontId="28" fillId="0" borderId="8" xfId="0" applyFont="1" applyFill="1" applyBorder="1" applyAlignment="1" applyProtection="1">
      <alignment horizontal="left" vertical="center" wrapText="1" shrinkToFit="1"/>
    </xf>
    <xf numFmtId="0" fontId="28" fillId="0" borderId="70" xfId="0" applyFont="1" applyFill="1" applyBorder="1" applyAlignment="1" applyProtection="1">
      <alignment horizontal="left" vertical="center" wrapText="1" shrinkToFit="1"/>
    </xf>
    <xf numFmtId="201" fontId="9" fillId="9" borderId="8" xfId="0" applyNumberFormat="1" applyFont="1" applyFill="1" applyBorder="1" applyAlignment="1" applyProtection="1">
      <alignment horizontal="center" vertical="center"/>
    </xf>
    <xf numFmtId="201" fontId="9" fillId="9" borderId="6" xfId="0" applyNumberFormat="1" applyFont="1" applyFill="1" applyBorder="1" applyAlignment="1" applyProtection="1">
      <alignment horizontal="center" vertical="center"/>
    </xf>
    <xf numFmtId="0" fontId="9" fillId="9" borderId="7" xfId="0" applyFont="1" applyFill="1" applyBorder="1" applyAlignment="1" applyProtection="1">
      <alignment horizontal="center" vertical="center"/>
    </xf>
    <xf numFmtId="0" fontId="9" fillId="9" borderId="8" xfId="0" applyFont="1" applyFill="1" applyBorder="1" applyAlignment="1" applyProtection="1">
      <alignment horizontal="center" vertical="center"/>
    </xf>
    <xf numFmtId="202" fontId="9" fillId="0" borderId="7" xfId="0" applyNumberFormat="1" applyFont="1" applyFill="1" applyBorder="1" applyAlignment="1" applyProtection="1">
      <alignment horizontal="center" vertical="center" shrinkToFit="1"/>
    </xf>
    <xf numFmtId="202" fontId="9" fillId="0" borderId="6" xfId="0" applyNumberFormat="1" applyFont="1" applyFill="1" applyBorder="1" applyAlignment="1" applyProtection="1">
      <alignment horizontal="center" vertical="center" shrinkToFi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196" fontId="9" fillId="6" borderId="7" xfId="0" applyNumberFormat="1" applyFont="1" applyFill="1" applyBorder="1" applyAlignment="1" applyProtection="1">
      <alignment horizontal="center" vertical="center" shrinkToFit="1"/>
      <protection locked="0"/>
    </xf>
    <xf numFmtId="196" fontId="9" fillId="6" borderId="6" xfId="0" applyNumberFormat="1" applyFont="1" applyFill="1" applyBorder="1" applyAlignment="1" applyProtection="1">
      <alignment horizontal="center" vertical="center" shrinkToFit="1"/>
      <protection locked="0"/>
    </xf>
    <xf numFmtId="200" fontId="9" fillId="0" borderId="7" xfId="0" applyNumberFormat="1" applyFont="1" applyFill="1" applyBorder="1" applyAlignment="1" applyProtection="1">
      <alignment horizontal="center" vertical="center" shrinkToFit="1"/>
    </xf>
    <xf numFmtId="200" fontId="9" fillId="0" borderId="6" xfId="0" applyNumberFormat="1" applyFont="1" applyFill="1" applyBorder="1" applyAlignment="1" applyProtection="1">
      <alignment horizontal="center" vertical="center" shrinkToFit="1"/>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9" fillId="0" borderId="7" xfId="0"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9" fillId="6" borderId="15" xfId="0" applyFont="1" applyFill="1" applyBorder="1" applyAlignment="1" applyProtection="1">
      <alignment vertical="center" wrapText="1"/>
      <protection locked="0"/>
    </xf>
    <xf numFmtId="0" fontId="0" fillId="6" borderId="16"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10" xfId="0" applyFill="1" applyBorder="1" applyAlignment="1" applyProtection="1">
      <alignment vertical="center"/>
      <protection locked="0"/>
    </xf>
    <xf numFmtId="202" fontId="9" fillId="0" borderId="7" xfId="0" applyNumberFormat="1" applyFont="1" applyBorder="1" applyAlignment="1" applyProtection="1">
      <alignment horizontal="center" vertical="center" shrinkToFit="1"/>
    </xf>
    <xf numFmtId="202" fontId="9" fillId="0" borderId="8" xfId="0" applyNumberFormat="1" applyFont="1" applyBorder="1" applyAlignment="1" applyProtection="1">
      <alignment horizontal="center" vertical="center" shrinkToFit="1"/>
    </xf>
    <xf numFmtId="202" fontId="9" fillId="0" borderId="6" xfId="0" applyNumberFormat="1" applyFont="1" applyBorder="1" applyAlignment="1" applyProtection="1">
      <alignment horizontal="center" vertical="center" shrinkToFit="1"/>
    </xf>
    <xf numFmtId="196" fontId="9" fillId="0" borderId="7" xfId="0" applyNumberFormat="1" applyFont="1" applyBorder="1" applyAlignment="1" applyProtection="1">
      <alignment horizontal="center" vertical="center" shrinkToFit="1"/>
    </xf>
    <xf numFmtId="196" fontId="9" fillId="0" borderId="8" xfId="0" applyNumberFormat="1" applyFont="1" applyBorder="1" applyAlignment="1" applyProtection="1">
      <alignment horizontal="center" vertical="center" shrinkToFit="1"/>
    </xf>
    <xf numFmtId="196" fontId="9" fillId="0" borderId="6" xfId="0" applyNumberFormat="1" applyFont="1" applyBorder="1" applyAlignment="1" applyProtection="1">
      <alignment horizontal="center" vertical="center" shrinkToFit="1"/>
    </xf>
    <xf numFmtId="0" fontId="9" fillId="5" borderId="0" xfId="0" applyFont="1" applyFill="1" applyAlignment="1" applyProtection="1">
      <alignment vertical="center"/>
    </xf>
    <xf numFmtId="0" fontId="0" fillId="5" borderId="0" xfId="0" applyFill="1" applyAlignment="1" applyProtection="1">
      <alignment vertical="center"/>
    </xf>
    <xf numFmtId="0" fontId="0" fillId="0" borderId="1" xfId="0" applyBorder="1" applyAlignment="1" applyProtection="1">
      <alignment horizontal="center" vertical="center"/>
    </xf>
    <xf numFmtId="0" fontId="9" fillId="6" borderId="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9" fillId="6" borderId="15" xfId="0" applyFont="1" applyFill="1" applyBorder="1" applyAlignment="1" applyProtection="1">
      <alignment vertical="center"/>
      <protection locked="0"/>
    </xf>
    <xf numFmtId="0" fontId="9" fillId="0" borderId="0" xfId="0" applyFont="1" applyAlignment="1" applyProtection="1">
      <alignment vertical="center"/>
    </xf>
    <xf numFmtId="0" fontId="0" fillId="0" borderId="0" xfId="0" applyAlignment="1" applyProtection="1">
      <alignment vertical="center"/>
    </xf>
    <xf numFmtId="0" fontId="9" fillId="0" borderId="5" xfId="0" applyFont="1" applyBorder="1" applyAlignment="1" applyProtection="1">
      <alignment vertical="center"/>
    </xf>
    <xf numFmtId="0" fontId="0" fillId="0" borderId="5" xfId="0" applyBorder="1" applyAlignment="1" applyProtection="1">
      <alignment vertical="center"/>
    </xf>
    <xf numFmtId="0" fontId="9" fillId="6" borderId="7"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0" fillId="0" borderId="1" xfId="0" applyBorder="1" applyAlignment="1" applyProtection="1">
      <alignment vertical="center"/>
    </xf>
    <xf numFmtId="0" fontId="9" fillId="6" borderId="1" xfId="0" applyFont="1" applyFill="1" applyBorder="1" applyAlignment="1" applyProtection="1">
      <alignment vertical="center"/>
      <protection locked="0"/>
    </xf>
    <xf numFmtId="0" fontId="0" fillId="6" borderId="1" xfId="0" applyFill="1" applyBorder="1" applyAlignment="1" applyProtection="1">
      <alignment vertical="center"/>
      <protection locked="0"/>
    </xf>
    <xf numFmtId="0" fontId="19" fillId="0" borderId="0" xfId="0" applyFont="1" applyAlignment="1" applyProtection="1">
      <alignment horizontal="center" vertical="center"/>
    </xf>
    <xf numFmtId="0" fontId="9" fillId="6" borderId="15" xfId="0" applyFont="1" applyFill="1" applyBorder="1" applyAlignment="1" applyProtection="1">
      <alignment horizontal="center" vertical="center" shrinkToFit="1"/>
      <protection locked="0"/>
    </xf>
    <xf numFmtId="0" fontId="35" fillId="6" borderId="16" xfId="0" applyFont="1" applyFill="1" applyBorder="1" applyAlignment="1" applyProtection="1">
      <alignment horizontal="center" vertical="center" shrinkToFit="1"/>
      <protection locked="0"/>
    </xf>
    <xf numFmtId="0" fontId="35" fillId="6" borderId="17" xfId="0" applyFont="1" applyFill="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5" fillId="0" borderId="5"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192" fontId="9" fillId="6" borderId="15" xfId="0" applyNumberFormat="1" applyFont="1" applyFill="1" applyBorder="1" applyAlignment="1" applyProtection="1">
      <alignment vertical="center"/>
      <protection locked="0"/>
    </xf>
    <xf numFmtId="192" fontId="35" fillId="6" borderId="16" xfId="0" applyNumberFormat="1" applyFont="1" applyFill="1" applyBorder="1" applyAlignment="1" applyProtection="1">
      <alignment vertical="center"/>
      <protection locked="0"/>
    </xf>
    <xf numFmtId="192" fontId="35" fillId="6" borderId="17" xfId="0" applyNumberFormat="1" applyFont="1" applyFill="1" applyBorder="1" applyAlignment="1" applyProtection="1">
      <alignment vertical="center"/>
      <protection locked="0"/>
    </xf>
    <xf numFmtId="192" fontId="35" fillId="6" borderId="18" xfId="0" applyNumberFormat="1" applyFont="1" applyFill="1" applyBorder="1" applyAlignment="1" applyProtection="1">
      <alignment vertical="center"/>
      <protection locked="0"/>
    </xf>
    <xf numFmtId="192" fontId="35" fillId="6" borderId="5" xfId="0" applyNumberFormat="1" applyFont="1" applyFill="1" applyBorder="1" applyAlignment="1" applyProtection="1">
      <alignment vertical="center"/>
      <protection locked="0"/>
    </xf>
    <xf numFmtId="192" fontId="35" fillId="6" borderId="10" xfId="0" applyNumberFormat="1" applyFont="1" applyFill="1" applyBorder="1" applyAlignment="1" applyProtection="1">
      <alignment vertical="center"/>
      <protection locked="0"/>
    </xf>
    <xf numFmtId="0" fontId="9"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195" fontId="9" fillId="0" borderId="15" xfId="0" applyNumberFormat="1" applyFont="1" applyBorder="1" applyAlignment="1" applyProtection="1">
      <alignment horizontal="center" vertical="center" shrinkToFit="1"/>
    </xf>
    <xf numFmtId="195" fontId="9" fillId="0" borderId="16" xfId="0" applyNumberFormat="1" applyFont="1" applyBorder="1" applyAlignment="1" applyProtection="1">
      <alignment horizontal="center" vertical="center" shrinkToFit="1"/>
    </xf>
    <xf numFmtId="195" fontId="9" fillId="0" borderId="18" xfId="0" applyNumberFormat="1" applyFont="1" applyBorder="1" applyAlignment="1" applyProtection="1">
      <alignment horizontal="center" vertical="center" shrinkToFit="1"/>
    </xf>
    <xf numFmtId="195" fontId="9" fillId="0" borderId="5" xfId="0" applyNumberFormat="1" applyFont="1" applyBorder="1" applyAlignment="1" applyProtection="1">
      <alignment horizontal="center" vertical="center" shrinkToFit="1"/>
    </xf>
    <xf numFmtId="195" fontId="9" fillId="6" borderId="15" xfId="0" applyNumberFormat="1" applyFont="1" applyFill="1" applyBorder="1" applyAlignment="1" applyProtection="1">
      <alignment horizontal="center" vertical="center" shrinkToFit="1"/>
      <protection locked="0"/>
    </xf>
    <xf numFmtId="195" fontId="9" fillId="6" borderId="16" xfId="0" applyNumberFormat="1" applyFont="1" applyFill="1" applyBorder="1" applyAlignment="1" applyProtection="1">
      <alignment horizontal="center" vertical="center" shrinkToFit="1"/>
      <protection locked="0"/>
    </xf>
    <xf numFmtId="195" fontId="9" fillId="6" borderId="17" xfId="0" applyNumberFormat="1" applyFont="1" applyFill="1" applyBorder="1" applyAlignment="1" applyProtection="1">
      <alignment horizontal="center" vertical="center" shrinkToFit="1"/>
      <protection locked="0"/>
    </xf>
    <xf numFmtId="195" fontId="9" fillId="6" borderId="18" xfId="0" applyNumberFormat="1" applyFont="1" applyFill="1" applyBorder="1" applyAlignment="1" applyProtection="1">
      <alignment horizontal="center" vertical="center" shrinkToFit="1"/>
      <protection locked="0"/>
    </xf>
    <xf numFmtId="195" fontId="9" fillId="6" borderId="5" xfId="0" applyNumberFormat="1" applyFont="1" applyFill="1" applyBorder="1" applyAlignment="1" applyProtection="1">
      <alignment horizontal="center" vertical="center" shrinkToFit="1"/>
      <protection locked="0"/>
    </xf>
    <xf numFmtId="195" fontId="9" fillId="6" borderId="10" xfId="0" applyNumberFormat="1" applyFont="1" applyFill="1" applyBorder="1" applyAlignment="1" applyProtection="1">
      <alignment horizontal="center" vertical="center" shrinkToFit="1"/>
      <protection locked="0"/>
    </xf>
    <xf numFmtId="0" fontId="35" fillId="6" borderId="16" xfId="0" applyFont="1" applyFill="1" applyBorder="1" applyAlignment="1" applyProtection="1">
      <alignment vertical="center" wrapText="1"/>
      <protection locked="0"/>
    </xf>
    <xf numFmtId="0" fontId="35" fillId="6" borderId="17" xfId="0" applyFont="1" applyFill="1" applyBorder="1" applyAlignment="1" applyProtection="1">
      <alignment vertical="center" wrapText="1"/>
      <protection locked="0"/>
    </xf>
    <xf numFmtId="0" fontId="35" fillId="6" borderId="11" xfId="0" applyFont="1" applyFill="1" applyBorder="1" applyAlignment="1" applyProtection="1">
      <alignment vertical="center" wrapText="1"/>
      <protection locked="0"/>
    </xf>
    <xf numFmtId="0" fontId="35" fillId="6" borderId="0" xfId="0" applyFont="1" applyFill="1" applyBorder="1" applyAlignment="1" applyProtection="1">
      <alignment vertical="center" wrapText="1"/>
      <protection locked="0"/>
    </xf>
    <xf numFmtId="0" fontId="35" fillId="6" borderId="9" xfId="0" applyFont="1" applyFill="1" applyBorder="1" applyAlignment="1" applyProtection="1">
      <alignment vertical="center" wrapText="1"/>
      <protection locked="0"/>
    </xf>
    <xf numFmtId="0" fontId="35" fillId="6" borderId="18" xfId="0" applyFont="1" applyFill="1" applyBorder="1" applyAlignment="1" applyProtection="1">
      <alignment vertical="center" wrapText="1"/>
      <protection locked="0"/>
    </xf>
    <xf numFmtId="0" fontId="35" fillId="6" borderId="5" xfId="0" applyFont="1" applyFill="1" applyBorder="1" applyAlignment="1" applyProtection="1">
      <alignment vertical="center" wrapText="1"/>
      <protection locked="0"/>
    </xf>
    <xf numFmtId="0" fontId="35" fillId="6" borderId="10" xfId="0" applyFont="1" applyFill="1" applyBorder="1" applyAlignment="1" applyProtection="1">
      <alignment vertical="center" wrapText="1"/>
      <protection locked="0"/>
    </xf>
    <xf numFmtId="0" fontId="35" fillId="6"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35" fillId="6" borderId="18" xfId="0" applyFont="1" applyFill="1" applyBorder="1" applyAlignment="1" applyProtection="1">
      <alignment vertical="center"/>
      <protection locked="0"/>
    </xf>
    <xf numFmtId="0" fontId="35" fillId="6"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protection locked="0"/>
    </xf>
    <xf numFmtId="200" fontId="9" fillId="0" borderId="7" xfId="0" applyNumberFormat="1" applyFont="1" applyBorder="1" applyAlignment="1" applyProtection="1">
      <alignment horizontal="center" vertical="center" shrinkToFit="1"/>
    </xf>
    <xf numFmtId="200" fontId="9" fillId="0" borderId="8" xfId="0" applyNumberFormat="1" applyFont="1" applyBorder="1" applyAlignment="1" applyProtection="1">
      <alignment horizontal="center" vertical="center" shrinkToFit="1"/>
    </xf>
    <xf numFmtId="200" fontId="9" fillId="0" borderId="6" xfId="0" applyNumberFormat="1"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0" fillId="0" borderId="0" xfId="0" applyAlignment="1">
      <alignment horizontal="right" vertical="center" shrinkToFit="1"/>
    </xf>
    <xf numFmtId="0" fontId="21" fillId="0" borderId="6" xfId="0" applyFont="1" applyBorder="1" applyAlignment="1" applyProtection="1">
      <alignment horizontal="center" vertical="center" shrinkToFit="1"/>
    </xf>
    <xf numFmtId="0" fontId="16" fillId="0" borderId="1" xfId="0" applyFont="1" applyBorder="1" applyAlignment="1" applyProtection="1">
      <alignment vertical="center" shrinkToFit="1"/>
    </xf>
    <xf numFmtId="0" fontId="21" fillId="0" borderId="8"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1" xfId="0" applyFont="1" applyFill="1" applyBorder="1" applyAlignment="1" applyProtection="1">
      <alignment vertical="center" shrinkToFi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16" fillId="0" borderId="1" xfId="0" applyFont="1" applyFill="1" applyBorder="1" applyAlignment="1" applyProtection="1">
      <alignment horizontal="left" vertical="center" wrapText="1" shrinkToFit="1"/>
    </xf>
    <xf numFmtId="0" fontId="16" fillId="0" borderId="7" xfId="0" applyFont="1" applyBorder="1" applyAlignment="1" applyProtection="1">
      <alignment vertical="center" shrinkToFit="1"/>
    </xf>
    <xf numFmtId="0" fontId="7" fillId="0" borderId="8" xfId="0" applyFont="1" applyBorder="1" applyAlignment="1" applyProtection="1">
      <alignment vertical="center"/>
    </xf>
    <xf numFmtId="0" fontId="16" fillId="0" borderId="15" xfId="0" applyFont="1" applyFill="1" applyBorder="1" applyAlignment="1" applyProtection="1">
      <alignment horizontal="left" vertical="center" shrinkToFit="1"/>
    </xf>
    <xf numFmtId="0" fontId="16" fillId="0" borderId="16" xfId="0" applyFont="1" applyFill="1" applyBorder="1" applyAlignment="1" applyProtection="1">
      <alignment horizontal="left" vertical="center" shrinkToFit="1"/>
    </xf>
    <xf numFmtId="0" fontId="7" fillId="0" borderId="16"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16" fillId="0" borderId="18" xfId="0" applyFont="1" applyFill="1" applyBorder="1" applyAlignment="1" applyProtection="1">
      <alignment horizontal="left" vertical="center" shrinkToFit="1"/>
    </xf>
    <xf numFmtId="0" fontId="16" fillId="0" borderId="5" xfId="0" applyFont="1" applyFill="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24" fillId="0" borderId="1" xfId="1" applyFont="1" applyFill="1" applyBorder="1" applyAlignment="1" applyProtection="1">
      <alignment vertical="center" shrinkToFit="1"/>
    </xf>
    <xf numFmtId="0" fontId="16" fillId="0" borderId="0" xfId="0" applyFont="1" applyAlignment="1" applyProtection="1">
      <alignment shrinkToFit="1"/>
    </xf>
    <xf numFmtId="0" fontId="7" fillId="0" borderId="0" xfId="0" applyFont="1" applyAlignment="1" applyProtection="1">
      <alignment shrinkToFit="1"/>
    </xf>
    <xf numFmtId="0" fontId="7" fillId="0" borderId="0" xfId="0" applyFont="1" applyAlignment="1" applyProtection="1"/>
    <xf numFmtId="0" fontId="16" fillId="0" borderId="1" xfId="0" applyFont="1" applyBorder="1" applyAlignment="1" applyProtection="1">
      <alignment horizontal="center" vertical="center" textRotation="255" shrinkToFit="1"/>
    </xf>
    <xf numFmtId="0" fontId="16" fillId="0" borderId="1" xfId="0" applyFont="1" applyBorder="1" applyAlignment="1" applyProtection="1">
      <alignment vertical="center"/>
    </xf>
    <xf numFmtId="0" fontId="21" fillId="0" borderId="7"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16" fillId="0" borderId="8" xfId="0" applyFont="1" applyBorder="1" applyAlignment="1" applyProtection="1">
      <alignment vertical="center"/>
    </xf>
    <xf numFmtId="0" fontId="21" fillId="0" borderId="8"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8" xfId="0" applyFont="1" applyBorder="1" applyAlignment="1" applyProtection="1">
      <alignment vertical="center" shrinkToFit="1"/>
    </xf>
    <xf numFmtId="0" fontId="19" fillId="0" borderId="12" xfId="0" applyFont="1" applyBorder="1" applyAlignment="1" applyProtection="1">
      <alignment horizontal="center" vertical="center" wrapText="1"/>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31" xfId="0" applyFont="1" applyBorder="1" applyAlignment="1" applyProtection="1">
      <alignment horizontal="center" vertical="center"/>
    </xf>
    <xf numFmtId="0" fontId="14" fillId="0" borderId="16" xfId="0" applyFont="1" applyBorder="1" applyAlignment="1" applyProtection="1">
      <alignment horizontal="left" vertical="center"/>
    </xf>
    <xf numFmtId="0" fontId="10" fillId="0" borderId="0" xfId="0" applyFont="1" applyBorder="1" applyAlignment="1" applyProtection="1">
      <alignment horizontal="left" vertical="center"/>
    </xf>
    <xf numFmtId="0" fontId="16" fillId="0" borderId="7" xfId="0" applyFont="1" applyFill="1" applyBorder="1" applyAlignment="1" applyProtection="1">
      <alignment vertical="center" shrinkToFit="1"/>
    </xf>
    <xf numFmtId="0" fontId="16" fillId="0" borderId="8" xfId="0" applyFont="1" applyFill="1" applyBorder="1" applyAlignment="1" applyProtection="1">
      <alignment vertical="center" shrinkToFit="1"/>
    </xf>
    <xf numFmtId="0" fontId="16" fillId="0" borderId="6" xfId="0" applyFont="1" applyFill="1" applyBorder="1" applyAlignment="1" applyProtection="1">
      <alignment vertical="center" shrinkToFit="1"/>
    </xf>
    <xf numFmtId="0" fontId="21" fillId="0" borderId="8" xfId="0" applyFont="1" applyBorder="1" applyAlignment="1" applyProtection="1">
      <alignment vertical="center" shrinkToFit="1"/>
    </xf>
    <xf numFmtId="0" fontId="16" fillId="0" borderId="7"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21" fillId="0" borderId="7"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15" xfId="0" applyFont="1" applyFill="1" applyBorder="1" applyAlignment="1" applyProtection="1">
      <alignment vertical="center" shrinkToFit="1"/>
    </xf>
    <xf numFmtId="0" fontId="16" fillId="0" borderId="16" xfId="0" applyFont="1" applyFill="1" applyBorder="1" applyAlignment="1" applyProtection="1">
      <alignment vertical="center"/>
    </xf>
    <xf numFmtId="0" fontId="16" fillId="0" borderId="7" xfId="0" applyFont="1" applyFill="1" applyBorder="1" applyAlignment="1" applyProtection="1">
      <alignment horizontal="left" vertical="center" shrinkToFit="1"/>
    </xf>
    <xf numFmtId="0" fontId="16" fillId="0" borderId="8" xfId="0" applyFont="1" applyFill="1" applyBorder="1" applyAlignment="1" applyProtection="1">
      <alignment horizontal="left" vertical="center" shrinkToFit="1"/>
    </xf>
    <xf numFmtId="0" fontId="19" fillId="0" borderId="1" xfId="6" applyFont="1" applyBorder="1" applyAlignment="1">
      <alignment horizontal="left" vertical="center" wrapText="1"/>
    </xf>
    <xf numFmtId="0" fontId="40" fillId="0" borderId="1" xfId="6" applyFont="1" applyBorder="1" applyAlignment="1">
      <alignment horizontal="left" vertical="center"/>
    </xf>
    <xf numFmtId="0" fontId="19" fillId="0" borderId="1" xfId="6" applyFont="1" applyBorder="1" applyAlignment="1">
      <alignment horizontal="left" vertical="center"/>
    </xf>
    <xf numFmtId="0" fontId="49" fillId="0" borderId="0" xfId="6" applyFont="1" applyAlignment="1">
      <alignment horizontal="left" vertical="center"/>
    </xf>
    <xf numFmtId="0" fontId="37" fillId="0" borderId="0" xfId="6" applyAlignment="1">
      <alignment horizontal="left" vertical="center"/>
    </xf>
    <xf numFmtId="0" fontId="49" fillId="0" borderId="0" xfId="6" applyFont="1" applyAlignment="1">
      <alignment horizontal="distributed" vertical="center"/>
    </xf>
    <xf numFmtId="0" fontId="50" fillId="0" borderId="0" xfId="6" applyFont="1" applyAlignment="1">
      <alignment horizontal="distributed" vertical="center"/>
    </xf>
    <xf numFmtId="0" fontId="49" fillId="0" borderId="0" xfId="6" applyFont="1" applyAlignment="1">
      <alignment horizontal="center" vertical="center"/>
    </xf>
    <xf numFmtId="0" fontId="0" fillId="0" borderId="0" xfId="0" applyAlignment="1">
      <alignment horizontal="center" vertical="center"/>
    </xf>
    <xf numFmtId="0" fontId="49" fillId="0" borderId="0" xfId="6" applyFont="1" applyAlignment="1">
      <alignment horizontal="left" vertical="center" shrinkToFit="1"/>
    </xf>
    <xf numFmtId="0" fontId="50" fillId="0" borderId="0" xfId="6" applyFont="1" applyAlignment="1">
      <alignment horizontal="left" vertical="center" shrinkToFit="1"/>
    </xf>
    <xf numFmtId="0" fontId="49" fillId="0" borderId="0" xfId="6" applyFont="1" applyAlignment="1">
      <alignment horizontal="left" vertical="center" wrapText="1"/>
    </xf>
    <xf numFmtId="0" fontId="50" fillId="0" borderId="0" xfId="6" applyFont="1" applyAlignment="1">
      <alignment horizontal="left" vertical="center"/>
    </xf>
    <xf numFmtId="0" fontId="37" fillId="0" borderId="0" xfId="6" applyAlignment="1">
      <alignment horizontal="distributed" vertical="center"/>
    </xf>
    <xf numFmtId="0" fontId="49" fillId="0" borderId="0" xfId="6" applyFont="1" applyAlignment="1">
      <alignment horizontal="distributed" vertical="center" shrinkToFit="1"/>
    </xf>
    <xf numFmtId="0" fontId="37" fillId="0" borderId="0" xfId="6" applyAlignment="1">
      <alignment horizontal="distributed" vertical="center" shrinkToFit="1"/>
    </xf>
    <xf numFmtId="0" fontId="52" fillId="0" borderId="0" xfId="6" applyFont="1" applyAlignment="1">
      <alignment horizontal="center" vertical="center"/>
    </xf>
    <xf numFmtId="0" fontId="51" fillId="0" borderId="0" xfId="6" applyFont="1" applyAlignment="1">
      <alignment horizontal="center" vertical="center"/>
    </xf>
    <xf numFmtId="0" fontId="50" fillId="0" borderId="0" xfId="6" applyFont="1" applyAlignment="1">
      <alignment vertical="center"/>
    </xf>
    <xf numFmtId="181" fontId="49" fillId="0" borderId="0" xfId="6" applyNumberFormat="1" applyFont="1" applyAlignment="1">
      <alignment horizontal="left" vertical="center" shrinkToFit="1"/>
    </xf>
    <xf numFmtId="181" fontId="0" fillId="0" borderId="0" xfId="0" applyNumberFormat="1" applyAlignment="1">
      <alignment horizontal="left" vertical="center" shrinkToFit="1"/>
    </xf>
    <xf numFmtId="0" fontId="0" fillId="0" borderId="0" xfId="0" applyAlignment="1">
      <alignment horizontal="left" vertical="center" shrinkToFit="1"/>
    </xf>
    <xf numFmtId="0" fontId="37" fillId="0" borderId="0" xfId="6" applyAlignment="1">
      <alignment vertical="center"/>
    </xf>
    <xf numFmtId="185" fontId="7" fillId="0" borderId="0" xfId="0" applyNumberFormat="1" applyFont="1" applyBorder="1" applyAlignment="1" applyProtection="1">
      <alignment horizontal="right" vertical="center" shrinkToFit="1"/>
    </xf>
    <xf numFmtId="0" fontId="0" fillId="0" borderId="0" xfId="0" applyAlignment="1" applyProtection="1">
      <alignment horizontal="right" vertical="center" shrinkToFit="1"/>
    </xf>
    <xf numFmtId="0" fontId="7" fillId="0" borderId="0" xfId="0" applyFont="1" applyAlignment="1" applyProtection="1">
      <alignment vertical="center" shrinkToFit="1"/>
    </xf>
    <xf numFmtId="0" fontId="0" fillId="0" borderId="0" xfId="0" applyAlignment="1" applyProtection="1">
      <alignment vertical="center" shrinkToFit="1"/>
    </xf>
    <xf numFmtId="182" fontId="7" fillId="0" borderId="0" xfId="0" applyNumberFormat="1" applyFont="1" applyAlignment="1" applyProtection="1">
      <alignment horizontal="distributed" vertical="top" shrinkToFit="1"/>
    </xf>
    <xf numFmtId="0" fontId="0" fillId="0" borderId="0" xfId="0" applyAlignment="1" applyProtection="1">
      <alignment horizontal="distributed" vertical="top" shrinkToFit="1"/>
    </xf>
    <xf numFmtId="0" fontId="0" fillId="0" borderId="0" xfId="0" applyAlignment="1" applyProtection="1">
      <alignment vertical="top" shrinkToFit="1"/>
    </xf>
    <xf numFmtId="184" fontId="7" fillId="0" borderId="0" xfId="0" applyNumberFormat="1" applyFont="1" applyAlignment="1" applyProtection="1">
      <alignment horizontal="distributed" vertical="top" shrinkToFit="1"/>
    </xf>
    <xf numFmtId="181" fontId="7" fillId="0" borderId="0" xfId="0" applyNumberFormat="1" applyFont="1" applyAlignment="1" applyProtection="1">
      <alignment horizontal="distributed" vertical="top" shrinkToFit="1"/>
    </xf>
    <xf numFmtId="0" fontId="7" fillId="0" borderId="0" xfId="0" applyFont="1" applyAlignment="1" applyProtection="1">
      <alignment horizontal="distributed" vertical="center"/>
    </xf>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horizontal="distributed" vertical="center" shrinkToFit="1"/>
    </xf>
    <xf numFmtId="182" fontId="8" fillId="0" borderId="0" xfId="0" applyNumberFormat="1" applyFont="1" applyAlignment="1" applyProtection="1">
      <alignment horizontal="left" vertical="top" wrapText="1"/>
    </xf>
    <xf numFmtId="0" fontId="28" fillId="0" borderId="0" xfId="0" applyFont="1" applyAlignment="1" applyProtection="1">
      <alignment horizontal="left" vertical="center"/>
    </xf>
    <xf numFmtId="177" fontId="7" fillId="0" borderId="0" xfId="0" applyNumberFormat="1" applyFont="1" applyAlignment="1" applyProtection="1">
      <alignment horizontal="distributed" vertical="center"/>
    </xf>
    <xf numFmtId="0" fontId="0" fillId="0" borderId="0" xfId="0" applyAlignment="1" applyProtection="1">
      <alignment horizontal="distributed"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7" fillId="0" borderId="0" xfId="0" applyFont="1" applyFill="1" applyAlignment="1" applyProtection="1">
      <alignment horizontal="left" vertical="center" shrinkToFit="1"/>
    </xf>
    <xf numFmtId="0" fontId="7" fillId="0" borderId="0" xfId="0" applyFont="1" applyAlignment="1" applyProtection="1">
      <alignment horizontal="left" vertical="center" shrinkToFit="1"/>
    </xf>
    <xf numFmtId="177" fontId="9" fillId="0" borderId="0" xfId="0" applyNumberFormat="1" applyFont="1" applyAlignment="1" applyProtection="1">
      <alignment horizontal="distributed" shrinkToFit="1"/>
    </xf>
    <xf numFmtId="0" fontId="9" fillId="0" borderId="0" xfId="0" applyFont="1" applyAlignment="1" applyProtection="1">
      <alignment horizontal="distributed" shrinkToFit="1"/>
    </xf>
    <xf numFmtId="0" fontId="38" fillId="0" borderId="0" xfId="0" applyFont="1" applyAlignment="1" applyProtection="1">
      <alignment vertical="top" wrapText="1"/>
    </xf>
    <xf numFmtId="0" fontId="39" fillId="0" borderId="0" xfId="0" applyFont="1" applyAlignment="1" applyProtection="1">
      <alignment vertical="top" wrapText="1"/>
    </xf>
    <xf numFmtId="0" fontId="7" fillId="0" borderId="0" xfId="0" applyFont="1" applyAlignment="1" applyProtection="1">
      <alignment vertical="distributed" wrapText="1"/>
    </xf>
    <xf numFmtId="0" fontId="0" fillId="0" borderId="0" xfId="0" applyAlignment="1" applyProtection="1">
      <alignment vertical="distributed" wrapText="1"/>
    </xf>
    <xf numFmtId="0" fontId="0" fillId="0" borderId="0" xfId="0" applyBorder="1" applyAlignment="1" applyProtection="1">
      <alignment vertical="distributed" wrapText="1"/>
    </xf>
    <xf numFmtId="0" fontId="7" fillId="0" borderId="0" xfId="0" applyFont="1" applyAlignment="1" applyProtection="1">
      <alignment horizontal="left" vertical="distributed" wrapText="1"/>
    </xf>
    <xf numFmtId="0" fontId="29" fillId="0" borderId="0" xfId="0" applyFont="1" applyBorder="1" applyAlignment="1" applyProtection="1">
      <alignment vertical="center" wrapText="1"/>
    </xf>
    <xf numFmtId="0" fontId="7" fillId="0" borderId="0" xfId="0" applyFont="1" applyAlignment="1" applyProtection="1">
      <alignment horizontal="center" vertical="center" shrinkToFit="1"/>
    </xf>
    <xf numFmtId="0" fontId="7" fillId="0" borderId="0" xfId="0" applyFont="1" applyAlignment="1" applyProtection="1">
      <alignment horizontal="left" vertical="center" indent="1"/>
    </xf>
    <xf numFmtId="0" fontId="7" fillId="0" borderId="0" xfId="0" applyFont="1" applyFill="1" applyAlignment="1" applyProtection="1">
      <alignment horizontal="left" vertical="center" indent="1" shrinkToFit="1"/>
    </xf>
    <xf numFmtId="0" fontId="8" fillId="0" borderId="0" xfId="0" applyFont="1" applyAlignment="1" applyProtection="1">
      <alignment horizontal="left" vertical="center" wrapText="1"/>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wrapText="1"/>
    </xf>
    <xf numFmtId="0" fontId="7" fillId="0" borderId="0" xfId="0" applyFont="1" applyAlignment="1" applyProtection="1">
      <alignment horizontal="left" vertical="top" wrapText="1" shrinkToFit="1"/>
    </xf>
    <xf numFmtId="0" fontId="7" fillId="0" borderId="16" xfId="0" applyFont="1" applyBorder="1" applyAlignment="1" applyProtection="1">
      <alignment horizontal="center" vertical="center"/>
    </xf>
    <xf numFmtId="0" fontId="0" fillId="0" borderId="16" xfId="0" applyBorder="1" applyAlignment="1">
      <alignment horizontal="center" vertical="center"/>
    </xf>
    <xf numFmtId="187" fontId="7" fillId="0" borderId="0" xfId="0" applyNumberFormat="1" applyFont="1" applyBorder="1" applyAlignment="1" applyProtection="1">
      <alignment horizontal="right" vertical="center" shrinkToFit="1"/>
    </xf>
    <xf numFmtId="0" fontId="0" fillId="0" borderId="0" xfId="0" applyAlignment="1">
      <alignment vertical="center" shrinkToFit="1"/>
    </xf>
    <xf numFmtId="0" fontId="7" fillId="0" borderId="1" xfId="0" applyFont="1" applyBorder="1" applyAlignment="1" applyProtection="1">
      <alignment horizontal="center" vertical="center"/>
    </xf>
    <xf numFmtId="0" fontId="0" fillId="0" borderId="1" xfId="0" applyBorder="1" applyAlignment="1">
      <alignment horizontal="center" vertical="center"/>
    </xf>
    <xf numFmtId="0" fontId="7" fillId="0" borderId="0" xfId="0" applyFont="1" applyBorder="1" applyAlignment="1" applyProtection="1">
      <alignment horizontal="center" vertical="center" shrinkToFit="1"/>
    </xf>
    <xf numFmtId="177" fontId="7" fillId="0" borderId="5" xfId="0" applyNumberFormat="1"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35" fillId="0" borderId="4" xfId="0" applyFont="1" applyBorder="1" applyAlignment="1" applyProtection="1">
      <alignment vertical="center" wrapText="1"/>
    </xf>
    <xf numFmtId="0" fontId="9" fillId="4"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179" fontId="16" fillId="0" borderId="32" xfId="0" applyNumberFormat="1" applyFont="1" applyBorder="1" applyAlignment="1" applyProtection="1">
      <alignment vertical="center" shrinkToFit="1"/>
    </xf>
    <xf numFmtId="0" fontId="13" fillId="0" borderId="33" xfId="0" applyFont="1" applyBorder="1" applyAlignment="1" applyProtection="1">
      <alignment vertical="center" shrinkToFit="1"/>
    </xf>
    <xf numFmtId="0" fontId="13" fillId="0" borderId="34" xfId="0" applyFont="1" applyBorder="1" applyAlignment="1" applyProtection="1">
      <alignment vertical="center" shrinkToFit="1"/>
    </xf>
    <xf numFmtId="0" fontId="19" fillId="0" borderId="0" xfId="0" applyFont="1" applyAlignment="1" applyProtection="1">
      <alignment horizontal="center" vertical="center" wrapText="1"/>
    </xf>
    <xf numFmtId="0" fontId="9" fillId="0" borderId="15" xfId="0" applyFont="1" applyBorder="1" applyAlignment="1" applyProtection="1">
      <alignment horizontal="center" vertical="center"/>
    </xf>
    <xf numFmtId="0" fontId="35" fillId="0" borderId="17" xfId="0" applyFont="1" applyBorder="1" applyAlignment="1" applyProtection="1">
      <alignment vertical="center"/>
    </xf>
    <xf numFmtId="0" fontId="35" fillId="0" borderId="18" xfId="0" applyFont="1" applyBorder="1" applyAlignment="1" applyProtection="1">
      <alignment vertical="center"/>
    </xf>
    <xf numFmtId="0" fontId="35" fillId="0" borderId="10" xfId="0" applyFont="1" applyBorder="1" applyAlignment="1" applyProtection="1">
      <alignment vertical="center"/>
    </xf>
    <xf numFmtId="0" fontId="9" fillId="0" borderId="2" xfId="0" applyFont="1" applyFill="1" applyBorder="1" applyAlignment="1" applyProtection="1">
      <alignment horizontal="center" vertical="center"/>
    </xf>
    <xf numFmtId="0" fontId="35" fillId="0" borderId="4" xfId="0" applyFont="1" applyBorder="1" applyAlignment="1" applyProtection="1">
      <alignment vertical="center"/>
    </xf>
    <xf numFmtId="0" fontId="9" fillId="4" borderId="1"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6" fillId="0" borderId="64"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9" fillId="0" borderId="55"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9" fillId="0" borderId="58"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59" xfId="0" applyFont="1" applyBorder="1" applyAlignment="1" applyProtection="1">
      <alignment horizontal="left" vertical="center" wrapText="1"/>
    </xf>
    <xf numFmtId="0" fontId="9" fillId="0" borderId="60" xfId="0" applyFont="1" applyBorder="1" applyAlignment="1" applyProtection="1">
      <alignment horizontal="left" vertical="center" wrapText="1"/>
    </xf>
    <xf numFmtId="0" fontId="9" fillId="0" borderId="61"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9" fillId="0" borderId="15"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10" xfId="0" applyFont="1" applyBorder="1" applyAlignment="1" applyProtection="1">
      <alignment horizontal="left" vertical="center"/>
    </xf>
    <xf numFmtId="192" fontId="9" fillId="0" borderId="1" xfId="0" applyNumberFormat="1" applyFont="1" applyBorder="1" applyAlignment="1" applyProtection="1">
      <alignment horizontal="right" vertical="center"/>
    </xf>
    <xf numFmtId="0" fontId="9" fillId="0" borderId="1" xfId="0" applyFont="1" applyBorder="1" applyAlignment="1" applyProtection="1">
      <alignment horizontal="right" vertical="center"/>
    </xf>
    <xf numFmtId="0" fontId="35" fillId="0" borderId="1" xfId="0" applyFont="1" applyBorder="1" applyAlignment="1" applyProtection="1">
      <alignment horizontal="center" vertical="center"/>
    </xf>
    <xf numFmtId="0" fontId="35" fillId="5" borderId="0" xfId="0" applyFont="1" applyFill="1" applyAlignment="1" applyProtection="1">
      <alignment vertical="center"/>
    </xf>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9" fillId="0" borderId="7" xfId="0" applyFont="1" applyBorder="1" applyAlignment="1" applyProtection="1">
      <alignment vertical="center" shrinkToFit="1"/>
    </xf>
    <xf numFmtId="0" fontId="35" fillId="0" borderId="8" xfId="0" applyFont="1" applyBorder="1" applyAlignment="1" applyProtection="1">
      <alignment vertical="center" shrinkToFit="1"/>
    </xf>
    <xf numFmtId="0" fontId="35" fillId="0" borderId="6" xfId="0" applyFont="1" applyBorder="1" applyAlignment="1" applyProtection="1">
      <alignment vertical="center" shrinkToFit="1"/>
    </xf>
    <xf numFmtId="189" fontId="9" fillId="0" borderId="1" xfId="0" applyNumberFormat="1" applyFont="1" applyBorder="1" applyAlignment="1" applyProtection="1">
      <alignment horizontal="center" vertical="center" shrinkToFit="1"/>
    </xf>
    <xf numFmtId="189" fontId="35" fillId="0" borderId="1" xfId="0" applyNumberFormat="1" applyFont="1" applyBorder="1" applyAlignment="1" applyProtection="1">
      <alignment horizontal="center" vertical="center" shrinkToFit="1"/>
    </xf>
    <xf numFmtId="0" fontId="35" fillId="0" borderId="1" xfId="0" applyFont="1" applyBorder="1" applyAlignment="1" applyProtection="1">
      <alignment horizontal="center" vertical="center" shrinkToFit="1"/>
    </xf>
    <xf numFmtId="190" fontId="9" fillId="0" borderId="1" xfId="0" applyNumberFormat="1" applyFont="1" applyBorder="1" applyAlignment="1" applyProtection="1">
      <alignment vertical="center" shrinkToFit="1"/>
    </xf>
    <xf numFmtId="190" fontId="35" fillId="0" borderId="1" xfId="0" applyNumberFormat="1" applyFont="1" applyBorder="1" applyAlignment="1" applyProtection="1">
      <alignment vertical="center" shrinkToFit="1"/>
    </xf>
    <xf numFmtId="191" fontId="9" fillId="0" borderId="7" xfId="0" applyNumberFormat="1" applyFont="1" applyBorder="1" applyAlignment="1" applyProtection="1">
      <alignment vertical="center" shrinkToFit="1"/>
    </xf>
    <xf numFmtId="191" fontId="35" fillId="0" borderId="8" xfId="0" applyNumberFormat="1" applyFont="1" applyBorder="1" applyAlignment="1" applyProtection="1">
      <alignment vertical="center" shrinkToFit="1"/>
    </xf>
    <xf numFmtId="191" fontId="35" fillId="0" borderId="6" xfId="0" applyNumberFormat="1" applyFont="1" applyBorder="1" applyAlignment="1" applyProtection="1">
      <alignment vertical="center" shrinkToFit="1"/>
    </xf>
    <xf numFmtId="0" fontId="9" fillId="0" borderId="7" xfId="0" applyFont="1" applyBorder="1" applyAlignment="1" applyProtection="1">
      <alignment horizontal="center" vertical="center" shrinkToFit="1"/>
    </xf>
    <xf numFmtId="0" fontId="35" fillId="0" borderId="8" xfId="0" applyFont="1" applyBorder="1" applyAlignment="1" applyProtection="1">
      <alignment horizontal="center" vertical="center" shrinkToFit="1"/>
    </xf>
    <xf numFmtId="0" fontId="35" fillId="0" borderId="6" xfId="0" applyFont="1" applyBorder="1" applyAlignment="1" applyProtection="1">
      <alignment horizontal="center" vertical="center" shrinkToFit="1"/>
    </xf>
    <xf numFmtId="0" fontId="35" fillId="0" borderId="8"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1" xfId="0" applyFont="1" applyBorder="1" applyAlignment="1" applyProtection="1">
      <alignment vertical="center"/>
    </xf>
    <xf numFmtId="192" fontId="9" fillId="0" borderId="1" xfId="0" applyNumberFormat="1" applyFont="1" applyBorder="1" applyAlignment="1" applyProtection="1">
      <alignment vertical="center"/>
    </xf>
    <xf numFmtId="0" fontId="7" fillId="0" borderId="1" xfId="0" applyFont="1" applyBorder="1" applyAlignment="1" applyProtection="1">
      <alignment vertical="center"/>
    </xf>
    <xf numFmtId="0" fontId="9" fillId="0" borderId="1" xfId="0" applyFont="1" applyBorder="1" applyAlignment="1" applyProtection="1">
      <alignment vertical="center"/>
    </xf>
    <xf numFmtId="198" fontId="9" fillId="6" borderId="1" xfId="0" applyNumberFormat="1" applyFont="1" applyFill="1" applyBorder="1" applyAlignment="1" applyProtection="1">
      <alignment vertical="center" shrinkToFit="1"/>
      <protection locked="0"/>
    </xf>
    <xf numFmtId="198" fontId="35" fillId="6" borderId="1" xfId="0" applyNumberFormat="1" applyFont="1" applyFill="1" applyBorder="1" applyAlignment="1" applyProtection="1">
      <alignment vertical="center" shrinkToFit="1"/>
      <protection locked="0"/>
    </xf>
    <xf numFmtId="0" fontId="9" fillId="0" borderId="18" xfId="0" applyFont="1" applyBorder="1" applyAlignment="1" applyProtection="1">
      <alignment vertical="center"/>
    </xf>
    <xf numFmtId="0" fontId="0" fillId="0" borderId="5" xfId="0" applyBorder="1" applyAlignment="1">
      <alignment vertical="center"/>
    </xf>
    <xf numFmtId="192" fontId="9" fillId="6" borderId="1" xfId="0" applyNumberFormat="1" applyFont="1" applyFill="1" applyBorder="1" applyAlignment="1" applyProtection="1">
      <alignment vertical="center"/>
      <protection locked="0"/>
    </xf>
    <xf numFmtId="192" fontId="35" fillId="6" borderId="1" xfId="0" applyNumberFormat="1"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35" fillId="0" borderId="1" xfId="0" applyFont="1" applyBorder="1" applyAlignment="1" applyProtection="1">
      <alignment horizontal="left" vertical="center"/>
    </xf>
    <xf numFmtId="0" fontId="9" fillId="0" borderId="7" xfId="0" applyFont="1" applyBorder="1" applyAlignment="1" applyProtection="1">
      <alignment vertical="center"/>
    </xf>
    <xf numFmtId="0" fontId="35" fillId="0" borderId="8" xfId="0" applyFont="1" applyBorder="1" applyAlignment="1" applyProtection="1">
      <alignment vertical="center"/>
    </xf>
    <xf numFmtId="0" fontId="35" fillId="0" borderId="6" xfId="0" applyFont="1" applyBorder="1" applyAlignment="1" applyProtection="1">
      <alignment vertical="center"/>
    </xf>
    <xf numFmtId="0" fontId="9" fillId="0" borderId="13" xfId="0" applyFont="1" applyBorder="1" applyAlignment="1" applyProtection="1">
      <alignment horizontal="center" vertical="center" shrinkToFit="1"/>
    </xf>
    <xf numFmtId="0" fontId="35" fillId="0" borderId="13" xfId="0" applyFont="1" applyBorder="1" applyAlignment="1" applyProtection="1">
      <alignment horizontal="center" vertical="center" shrinkToFit="1"/>
    </xf>
    <xf numFmtId="179" fontId="9" fillId="6" borderId="43" xfId="0" applyNumberFormat="1" applyFont="1" applyFill="1" applyBorder="1" applyAlignment="1" applyProtection="1">
      <alignment vertical="center" shrinkToFit="1"/>
      <protection locked="0"/>
    </xf>
    <xf numFmtId="179" fontId="9" fillId="6" borderId="44" xfId="0" applyNumberFormat="1" applyFont="1" applyFill="1" applyBorder="1" applyAlignment="1" applyProtection="1">
      <alignment vertical="center" shrinkToFit="1"/>
      <protection locked="0"/>
    </xf>
    <xf numFmtId="179" fontId="9" fillId="6" borderId="45" xfId="0" applyNumberFormat="1" applyFont="1" applyFill="1" applyBorder="1" applyAlignment="1" applyProtection="1">
      <alignment vertical="center" shrinkToFit="1"/>
      <protection locked="0"/>
    </xf>
    <xf numFmtId="0" fontId="9" fillId="6" borderId="1" xfId="0" applyFont="1" applyFill="1" applyBorder="1" applyAlignment="1" applyProtection="1">
      <alignment vertical="center" shrinkToFit="1"/>
      <protection locked="0"/>
    </xf>
    <xf numFmtId="0" fontId="35" fillId="6" borderId="1" xfId="0" applyFont="1" applyFill="1" applyBorder="1" applyAlignment="1" applyProtection="1">
      <alignment vertical="center" shrinkToFit="1"/>
      <protection locked="0"/>
    </xf>
    <xf numFmtId="193" fontId="9" fillId="6" borderId="1" xfId="0" applyNumberFormat="1" applyFont="1" applyFill="1" applyBorder="1" applyAlignment="1" applyProtection="1">
      <alignment vertical="center" shrinkToFit="1"/>
      <protection locked="0"/>
    </xf>
    <xf numFmtId="193" fontId="35" fillId="6" borderId="1" xfId="0" applyNumberFormat="1" applyFont="1" applyFill="1" applyBorder="1" applyAlignment="1" applyProtection="1">
      <alignment vertical="center" shrinkToFit="1"/>
      <protection locked="0"/>
    </xf>
    <xf numFmtId="193" fontId="9" fillId="6" borderId="7" xfId="0" applyNumberFormat="1" applyFont="1" applyFill="1" applyBorder="1" applyAlignment="1" applyProtection="1">
      <alignment vertical="center" shrinkToFit="1"/>
      <protection locked="0"/>
    </xf>
    <xf numFmtId="193" fontId="9" fillId="6" borderId="8" xfId="0" applyNumberFormat="1" applyFont="1" applyFill="1" applyBorder="1" applyAlignment="1" applyProtection="1">
      <alignment vertical="center" shrinkToFit="1"/>
      <protection locked="0"/>
    </xf>
    <xf numFmtId="193" fontId="9" fillId="6" borderId="6" xfId="0" applyNumberFormat="1" applyFont="1" applyFill="1" applyBorder="1" applyAlignment="1" applyProtection="1">
      <alignment vertical="center" shrinkToFit="1"/>
      <protection locked="0"/>
    </xf>
    <xf numFmtId="193" fontId="9" fillId="6" borderId="43" xfId="0" applyNumberFormat="1" applyFont="1" applyFill="1" applyBorder="1" applyAlignment="1" applyProtection="1">
      <alignment vertical="center" shrinkToFit="1"/>
      <protection locked="0"/>
    </xf>
    <xf numFmtId="193" fontId="9" fillId="6" borderId="44" xfId="0" applyNumberFormat="1" applyFont="1" applyFill="1" applyBorder="1" applyAlignment="1" applyProtection="1">
      <alignment vertical="center" shrinkToFit="1"/>
      <protection locked="0"/>
    </xf>
    <xf numFmtId="193" fontId="9" fillId="6" borderId="45" xfId="0" applyNumberFormat="1" applyFont="1" applyFill="1" applyBorder="1" applyAlignment="1" applyProtection="1">
      <alignment vertical="center" shrinkToFit="1"/>
      <protection locked="0"/>
    </xf>
    <xf numFmtId="0" fontId="9" fillId="6" borderId="7" xfId="0" applyFont="1" applyFill="1" applyBorder="1" applyAlignment="1" applyProtection="1">
      <alignment vertical="center" shrinkToFit="1"/>
      <protection locked="0"/>
    </xf>
    <xf numFmtId="0" fontId="9" fillId="6" borderId="8" xfId="0" applyFont="1" applyFill="1" applyBorder="1" applyAlignment="1" applyProtection="1">
      <alignment vertical="center" shrinkToFit="1"/>
      <protection locked="0"/>
    </xf>
    <xf numFmtId="0" fontId="9" fillId="6" borderId="6" xfId="0" applyFont="1" applyFill="1" applyBorder="1" applyAlignment="1" applyProtection="1">
      <alignment vertical="center" shrinkToFit="1"/>
      <protection locked="0"/>
    </xf>
    <xf numFmtId="179" fontId="9" fillId="0" borderId="1" xfId="0" applyNumberFormat="1" applyFont="1" applyBorder="1" applyAlignment="1" applyProtection="1">
      <alignment vertical="center" shrinkToFit="1"/>
    </xf>
    <xf numFmtId="179" fontId="35" fillId="0" borderId="1" xfId="0" applyNumberFormat="1" applyFont="1" applyBorder="1" applyAlignment="1" applyProtection="1">
      <alignment vertical="center" shrinkToFit="1"/>
    </xf>
    <xf numFmtId="179" fontId="9" fillId="0" borderId="2" xfId="0" applyNumberFormat="1" applyFont="1" applyBorder="1" applyAlignment="1" applyProtection="1">
      <alignment vertical="center" shrinkToFit="1"/>
    </xf>
    <xf numFmtId="179" fontId="35" fillId="0" borderId="2" xfId="0" applyNumberFormat="1" applyFont="1" applyBorder="1" applyAlignment="1" applyProtection="1">
      <alignment vertical="center" shrinkToFit="1"/>
    </xf>
    <xf numFmtId="179" fontId="9" fillId="6" borderId="1" xfId="0" applyNumberFormat="1" applyFont="1" applyFill="1" applyBorder="1" applyAlignment="1" applyProtection="1">
      <alignment vertical="center" shrinkToFit="1"/>
      <protection locked="0"/>
    </xf>
    <xf numFmtId="179" fontId="35" fillId="6" borderId="1" xfId="0" applyNumberFormat="1" applyFont="1" applyFill="1" applyBorder="1" applyAlignment="1" applyProtection="1">
      <alignment vertical="center" shrinkToFit="1"/>
      <protection locked="0"/>
    </xf>
    <xf numFmtId="0" fontId="35" fillId="0" borderId="17" xfId="0" applyFont="1" applyBorder="1" applyAlignment="1" applyProtection="1">
      <alignment horizontal="center" vertical="center"/>
    </xf>
    <xf numFmtId="179" fontId="9" fillId="6" borderId="7" xfId="0" applyNumberFormat="1" applyFont="1" applyFill="1" applyBorder="1" applyAlignment="1" applyProtection="1">
      <alignment vertical="center" shrinkToFit="1"/>
      <protection locked="0"/>
    </xf>
    <xf numFmtId="179" fontId="9" fillId="6" borderId="8" xfId="0" applyNumberFormat="1" applyFont="1" applyFill="1" applyBorder="1" applyAlignment="1" applyProtection="1">
      <alignment vertical="center" shrinkToFit="1"/>
      <protection locked="0"/>
    </xf>
    <xf numFmtId="179" fontId="9" fillId="6" borderId="6" xfId="0" applyNumberFormat="1" applyFont="1" applyFill="1" applyBorder="1" applyAlignment="1" applyProtection="1">
      <alignment vertical="center" shrinkToFit="1"/>
      <protection locked="0"/>
    </xf>
    <xf numFmtId="192" fontId="9" fillId="6" borderId="1" xfId="0" applyNumberFormat="1" applyFont="1" applyFill="1" applyBorder="1" applyAlignment="1" applyProtection="1">
      <alignment horizontal="center" vertical="center"/>
      <protection locked="0"/>
    </xf>
    <xf numFmtId="192" fontId="35" fillId="6" borderId="1" xfId="0" applyNumberFormat="1" applyFont="1" applyFill="1" applyBorder="1" applyAlignment="1" applyProtection="1">
      <alignment horizontal="center" vertical="center"/>
      <protection locked="0"/>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0" xfId="0" applyFont="1" applyBorder="1" applyAlignment="1" applyProtection="1">
      <alignment vertical="center"/>
    </xf>
    <xf numFmtId="0" fontId="9" fillId="0" borderId="15" xfId="0" applyFont="1" applyBorder="1" applyAlignment="1" applyProtection="1">
      <alignment vertical="center" wrapText="1"/>
    </xf>
    <xf numFmtId="0" fontId="9" fillId="0" borderId="16" xfId="0" applyFont="1" applyBorder="1" applyAlignment="1" applyProtection="1">
      <alignment vertical="center" wrapText="1"/>
    </xf>
    <xf numFmtId="0" fontId="9" fillId="0" borderId="17" xfId="0" applyFont="1" applyBorder="1" applyAlignment="1" applyProtection="1">
      <alignment vertical="center" wrapText="1"/>
    </xf>
    <xf numFmtId="0" fontId="9" fillId="0" borderId="18" xfId="0" applyFont="1" applyBorder="1" applyAlignment="1" applyProtection="1">
      <alignment vertical="center" wrapText="1"/>
    </xf>
    <xf numFmtId="0" fontId="9" fillId="0" borderId="5" xfId="0" applyFont="1" applyBorder="1" applyAlignment="1" applyProtection="1">
      <alignment vertical="center" wrapText="1"/>
    </xf>
    <xf numFmtId="0" fontId="9" fillId="0" borderId="10" xfId="0" applyFont="1" applyBorder="1" applyAlignment="1" applyProtection="1">
      <alignment vertical="center" wrapText="1"/>
    </xf>
    <xf numFmtId="179" fontId="9" fillId="0" borderId="32" xfId="0" applyNumberFormat="1" applyFont="1" applyBorder="1" applyAlignment="1" applyProtection="1">
      <alignment vertical="center" shrinkToFit="1"/>
    </xf>
    <xf numFmtId="0" fontId="9" fillId="0" borderId="34" xfId="0" applyFont="1" applyBorder="1" applyAlignment="1" applyProtection="1">
      <alignment vertical="center" shrinkToFit="1"/>
    </xf>
    <xf numFmtId="179" fontId="9" fillId="0" borderId="7" xfId="0" applyNumberFormat="1" applyFont="1" applyBorder="1" applyAlignment="1" applyProtection="1">
      <alignment vertical="center" shrinkToFit="1"/>
    </xf>
    <xf numFmtId="179" fontId="9" fillId="0" borderId="6" xfId="0" applyNumberFormat="1" applyFont="1" applyBorder="1" applyAlignment="1" applyProtection="1">
      <alignment vertical="center" shrinkToFit="1"/>
    </xf>
    <xf numFmtId="0" fontId="9" fillId="0" borderId="32" xfId="0" applyFont="1" applyBorder="1" applyAlignment="1" applyProtection="1">
      <alignment horizontal="center" vertical="center"/>
    </xf>
    <xf numFmtId="0" fontId="35" fillId="0" borderId="34" xfId="0" applyFont="1" applyBorder="1" applyAlignment="1" applyProtection="1">
      <alignment horizontal="center" vertical="center"/>
    </xf>
    <xf numFmtId="179" fontId="9" fillId="0" borderId="13" xfId="0" applyNumberFormat="1" applyFont="1" applyBorder="1" applyAlignment="1" applyProtection="1">
      <alignment vertical="center" shrinkToFit="1"/>
    </xf>
    <xf numFmtId="0" fontId="35" fillId="0" borderId="13" xfId="0" applyFont="1" applyBorder="1" applyAlignment="1" applyProtection="1">
      <alignment vertical="center" shrinkToFit="1"/>
    </xf>
    <xf numFmtId="0" fontId="7" fillId="0" borderId="0" xfId="0" applyFont="1" applyBorder="1" applyAlignment="1" applyProtection="1">
      <alignment horizontal="center" vertical="center"/>
    </xf>
    <xf numFmtId="0" fontId="9" fillId="0" borderId="8" xfId="0" applyFont="1" applyBorder="1" applyAlignment="1" applyProtection="1">
      <alignment horizontal="center" vertical="center" wrapText="1" shrinkToFit="1"/>
    </xf>
    <xf numFmtId="0" fontId="9" fillId="0" borderId="6" xfId="0" applyFont="1" applyBorder="1" applyAlignment="1" applyProtection="1">
      <alignment horizontal="center" vertical="center" shrinkToFit="1"/>
    </xf>
    <xf numFmtId="0" fontId="9" fillId="0" borderId="61" xfId="0" applyFont="1" applyBorder="1" applyAlignment="1" applyProtection="1">
      <alignment vertical="center" shrinkToFit="1"/>
    </xf>
    <xf numFmtId="0" fontId="0" fillId="0" borderId="61" xfId="0" applyBorder="1" applyAlignment="1">
      <alignment vertical="center" shrinkToFit="1"/>
    </xf>
    <xf numFmtId="179" fontId="7" fillId="0" borderId="2" xfId="0" applyNumberFormat="1" applyFont="1" applyBorder="1" applyAlignment="1" applyProtection="1">
      <alignment horizontal="center" vertical="center"/>
    </xf>
    <xf numFmtId="179" fontId="6" fillId="0" borderId="2" xfId="0" applyNumberFormat="1" applyFont="1" applyBorder="1" applyAlignment="1" applyProtection="1">
      <alignment horizontal="center" vertical="center"/>
    </xf>
    <xf numFmtId="179" fontId="6" fillId="0" borderId="3" xfId="0" applyNumberFormat="1" applyFont="1" applyBorder="1" applyAlignment="1" applyProtection="1">
      <alignment horizontal="center" vertical="center"/>
    </xf>
    <xf numFmtId="179" fontId="6" fillId="0" borderId="4" xfId="0" applyNumberFormat="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0" fontId="9" fillId="0" borderId="55" xfId="0" applyFont="1" applyBorder="1" applyAlignment="1" applyProtection="1">
      <alignment vertical="center" wrapText="1"/>
    </xf>
    <xf numFmtId="0" fontId="35" fillId="0" borderId="56" xfId="0" applyFont="1" applyBorder="1" applyAlignment="1" applyProtection="1">
      <alignment vertical="center"/>
    </xf>
    <xf numFmtId="0" fontId="35" fillId="0" borderId="57" xfId="0" applyFont="1" applyBorder="1" applyAlignment="1" applyProtection="1">
      <alignment vertical="center"/>
    </xf>
    <xf numFmtId="0" fontId="35" fillId="0" borderId="58" xfId="0" applyFont="1" applyBorder="1" applyAlignment="1" applyProtection="1">
      <alignment vertical="center"/>
    </xf>
    <xf numFmtId="0" fontId="35" fillId="0" borderId="0" xfId="0" applyFont="1" applyBorder="1" applyAlignment="1" applyProtection="1">
      <alignment vertical="center"/>
    </xf>
    <xf numFmtId="0" fontId="35" fillId="0" borderId="59" xfId="0" applyFont="1" applyBorder="1" applyAlignment="1" applyProtection="1">
      <alignment vertical="center"/>
    </xf>
    <xf numFmtId="0" fontId="35" fillId="0" borderId="60" xfId="0" applyFont="1" applyBorder="1" applyAlignment="1" applyProtection="1">
      <alignment vertical="center"/>
    </xf>
    <xf numFmtId="0" fontId="35" fillId="0" borderId="61" xfId="0" applyFont="1" applyBorder="1" applyAlignment="1" applyProtection="1">
      <alignment vertical="center"/>
    </xf>
    <xf numFmtId="0" fontId="35" fillId="0" borderId="62" xfId="0" applyFont="1" applyBorder="1" applyAlignment="1" applyProtection="1">
      <alignment vertical="center"/>
    </xf>
    <xf numFmtId="0" fontId="9" fillId="0" borderId="0" xfId="0" applyFont="1" applyAlignment="1" applyProtection="1">
      <alignment horizontal="left" vertical="center"/>
    </xf>
    <xf numFmtId="0" fontId="35" fillId="0" borderId="0" xfId="0" applyFont="1" applyAlignment="1" applyProtection="1">
      <alignment horizontal="left" vertical="center"/>
    </xf>
    <xf numFmtId="197" fontId="9" fillId="0" borderId="1" xfId="0" applyNumberFormat="1" applyFont="1" applyBorder="1" applyAlignment="1" applyProtection="1">
      <alignment vertical="center" shrinkToFit="1"/>
    </xf>
    <xf numFmtId="197" fontId="35" fillId="0" borderId="1" xfId="0" applyNumberFormat="1" applyFont="1" applyBorder="1" applyAlignment="1" applyProtection="1">
      <alignment vertical="center" shrinkToFit="1"/>
    </xf>
    <xf numFmtId="179" fontId="9" fillId="6" borderId="1" xfId="0" applyNumberFormat="1" applyFont="1" applyFill="1" applyBorder="1" applyAlignment="1" applyProtection="1">
      <alignment vertical="center"/>
      <protection locked="0"/>
    </xf>
    <xf numFmtId="179" fontId="35" fillId="6" borderId="1" xfId="0" applyNumberFormat="1" applyFont="1" applyFill="1" applyBorder="1" applyAlignment="1" applyProtection="1">
      <alignment vertical="center"/>
      <protection locked="0"/>
    </xf>
    <xf numFmtId="0" fontId="16" fillId="0" borderId="58" xfId="0" applyFont="1" applyBorder="1" applyAlignment="1" applyProtection="1">
      <alignment vertical="center"/>
    </xf>
    <xf numFmtId="0" fontId="13" fillId="0" borderId="0" xfId="0" applyFont="1" applyBorder="1" applyAlignment="1" applyProtection="1">
      <alignment vertical="center"/>
    </xf>
    <xf numFmtId="0" fontId="13" fillId="0" borderId="59" xfId="0" applyFont="1" applyBorder="1" applyAlignment="1" applyProtection="1">
      <alignment vertical="center"/>
    </xf>
    <xf numFmtId="0" fontId="13" fillId="0" borderId="58" xfId="0" applyFont="1" applyBorder="1" applyAlignment="1" applyProtection="1">
      <alignment vertical="center"/>
    </xf>
    <xf numFmtId="0" fontId="13" fillId="0" borderId="60" xfId="0"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0" fontId="16" fillId="0" borderId="55" xfId="0" applyFont="1" applyBorder="1" applyAlignment="1" applyProtection="1">
      <alignment vertical="center"/>
    </xf>
    <xf numFmtId="0" fontId="16" fillId="0" borderId="56" xfId="0" applyFont="1" applyBorder="1" applyAlignment="1" applyProtection="1">
      <alignment vertical="center"/>
    </xf>
    <xf numFmtId="0" fontId="16" fillId="0" borderId="57" xfId="0" applyFont="1" applyBorder="1" applyAlignment="1" applyProtection="1">
      <alignment vertical="center"/>
    </xf>
    <xf numFmtId="0" fontId="16" fillId="0" borderId="0" xfId="0" applyFont="1" applyBorder="1" applyAlignment="1" applyProtection="1">
      <alignment vertical="center"/>
    </xf>
    <xf numFmtId="0" fontId="16" fillId="0" borderId="59" xfId="0" applyFont="1" applyBorder="1" applyAlignment="1" applyProtection="1">
      <alignment vertical="center"/>
    </xf>
    <xf numFmtId="0" fontId="16" fillId="6" borderId="1" xfId="0" applyFont="1" applyFill="1" applyBorder="1" applyAlignment="1" applyProtection="1">
      <alignment horizontal="left" vertical="center" shrinkToFit="1"/>
      <protection locked="0"/>
    </xf>
    <xf numFmtId="0" fontId="16" fillId="6" borderId="7" xfId="0" applyFont="1" applyFill="1" applyBorder="1" applyAlignment="1" applyProtection="1">
      <alignment horizontal="left" vertical="center" shrinkToFit="1"/>
      <protection locked="0"/>
    </xf>
    <xf numFmtId="0" fontId="16" fillId="6" borderId="8" xfId="0" applyFont="1" applyFill="1" applyBorder="1" applyAlignment="1" applyProtection="1">
      <alignment horizontal="left" vertical="center" shrinkToFit="1"/>
      <protection locked="0"/>
    </xf>
    <xf numFmtId="204" fontId="16" fillId="8" borderId="1" xfId="0" applyNumberFormat="1" applyFont="1" applyFill="1" applyBorder="1" applyAlignment="1" applyProtection="1">
      <alignment vertical="center" shrinkToFit="1"/>
    </xf>
    <xf numFmtId="204" fontId="0" fillId="8" borderId="1" xfId="0" applyNumberFormat="1" applyFill="1" applyBorder="1" applyAlignment="1" applyProtection="1">
      <alignment vertical="center" shrinkToFit="1"/>
    </xf>
    <xf numFmtId="179" fontId="16" fillId="6" borderId="1" xfId="0" applyNumberFormat="1" applyFont="1" applyFill="1" applyBorder="1" applyAlignment="1" applyProtection="1">
      <alignment vertical="center" shrinkToFit="1"/>
      <protection locked="0"/>
    </xf>
    <xf numFmtId="179" fontId="0" fillId="6" borderId="1" xfId="0" applyNumberFormat="1" applyFill="1" applyBorder="1" applyAlignment="1" applyProtection="1">
      <alignment vertical="center" shrinkToFit="1"/>
      <protection locked="0"/>
    </xf>
    <xf numFmtId="179" fontId="16" fillId="0" borderId="1" xfId="0" applyNumberFormat="1" applyFont="1" applyBorder="1" applyAlignment="1" applyProtection="1">
      <alignment vertical="center" shrinkToFit="1"/>
    </xf>
    <xf numFmtId="179" fontId="0" fillId="0" borderId="1" xfId="0" applyNumberFormat="1" applyBorder="1" applyAlignment="1" applyProtection="1">
      <alignment vertical="center" shrinkToFit="1"/>
    </xf>
    <xf numFmtId="179" fontId="16" fillId="0" borderId="1" xfId="0" applyNumberFormat="1" applyFont="1" applyFill="1" applyBorder="1" applyAlignment="1" applyProtection="1">
      <alignment vertical="center" shrinkToFit="1"/>
    </xf>
    <xf numFmtId="179" fontId="0" fillId="0" borderId="1" xfId="0" applyNumberFormat="1" applyFill="1" applyBorder="1" applyAlignment="1" applyProtection="1">
      <alignment vertical="center" shrinkToFit="1"/>
    </xf>
    <xf numFmtId="0" fontId="16" fillId="0" borderId="32" xfId="0" applyFont="1" applyBorder="1" applyAlignment="1" applyProtection="1">
      <alignment horizontal="center" vertical="center" shrinkToFit="1"/>
    </xf>
    <xf numFmtId="0" fontId="16" fillId="0" borderId="33" xfId="0" applyFont="1" applyBorder="1" applyAlignment="1" applyProtection="1">
      <alignment horizontal="center" vertical="center" shrinkToFit="1"/>
    </xf>
    <xf numFmtId="179" fontId="16" fillId="0" borderId="15" xfId="0" applyNumberFormat="1" applyFont="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16" fillId="0" borderId="50" xfId="0" applyFont="1" applyBorder="1" applyAlignment="1" applyProtection="1">
      <alignment vertical="center"/>
    </xf>
    <xf numFmtId="0" fontId="0" fillId="0" borderId="50" xfId="0" applyBorder="1" applyAlignment="1" applyProtection="1">
      <alignment vertical="center"/>
    </xf>
    <xf numFmtId="0" fontId="16" fillId="0" borderId="0" xfId="0" applyFont="1" applyAlignment="1" applyProtection="1">
      <alignment horizontal="center" vertical="center"/>
    </xf>
    <xf numFmtId="0" fontId="16"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4" fillId="0" borderId="0" xfId="0" applyFont="1" applyAlignment="1" applyProtection="1">
      <alignment vertical="center" shrinkToFit="1"/>
    </xf>
    <xf numFmtId="0" fontId="41" fillId="0" borderId="0" xfId="0" applyFont="1" applyAlignment="1" applyProtection="1">
      <alignment vertical="center" shrinkToFit="1"/>
    </xf>
    <xf numFmtId="0" fontId="16" fillId="5" borderId="0" xfId="0" applyFont="1" applyFill="1" applyAlignment="1" applyProtection="1">
      <alignment vertical="center"/>
    </xf>
    <xf numFmtId="0" fontId="16" fillId="0" borderId="47" xfId="0" applyFont="1" applyBorder="1" applyAlignment="1" applyProtection="1">
      <alignment vertical="center"/>
    </xf>
    <xf numFmtId="0" fontId="0" fillId="0" borderId="47" xfId="0" applyBorder="1" applyAlignment="1" applyProtection="1">
      <alignment vertical="center"/>
    </xf>
    <xf numFmtId="0" fontId="0" fillId="0" borderId="48" xfId="0" applyBorder="1" applyAlignment="1" applyProtection="1">
      <alignment vertical="center"/>
    </xf>
    <xf numFmtId="0" fontId="0" fillId="0" borderId="53" xfId="0" applyBorder="1" applyAlignment="1" applyProtection="1">
      <alignment vertical="center"/>
    </xf>
    <xf numFmtId="0" fontId="19" fillId="0" borderId="0" xfId="0" applyFont="1" applyAlignment="1" applyProtection="1">
      <alignment vertical="center" wrapText="1"/>
    </xf>
    <xf numFmtId="0" fontId="16" fillId="0" borderId="2" xfId="0" applyFont="1" applyBorder="1" applyAlignment="1" applyProtection="1">
      <alignment vertical="center"/>
    </xf>
    <xf numFmtId="0" fontId="0" fillId="0" borderId="2" xfId="0" applyBorder="1" applyAlignment="1" applyProtection="1">
      <alignment vertical="center"/>
    </xf>
    <xf numFmtId="0" fontId="16" fillId="0" borderId="1" xfId="0" applyFont="1" applyBorder="1" applyAlignment="1" applyProtection="1">
      <alignment horizontal="center" vertical="center"/>
    </xf>
    <xf numFmtId="179" fontId="16" fillId="0" borderId="7" xfId="0" applyNumberFormat="1" applyFont="1" applyBorder="1" applyAlignment="1" applyProtection="1">
      <alignment vertical="center"/>
    </xf>
    <xf numFmtId="179" fontId="16" fillId="0" borderId="32" xfId="0" applyNumberFormat="1" applyFont="1"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180" fontId="16" fillId="8" borderId="1" xfId="0" applyNumberFormat="1" applyFont="1" applyFill="1" applyBorder="1" applyAlignment="1" applyProtection="1">
      <alignment vertical="center" shrinkToFit="1"/>
    </xf>
    <xf numFmtId="180" fontId="0" fillId="8" borderId="1" xfId="0" applyNumberFormat="1" applyFill="1" applyBorder="1" applyAlignment="1" applyProtection="1">
      <alignment vertical="center" shrinkToFit="1"/>
    </xf>
    <xf numFmtId="179" fontId="16" fillId="0" borderId="54" xfId="0" applyNumberFormat="1" applyFont="1" applyBorder="1" applyAlignment="1" applyProtection="1">
      <alignment vertical="center" shrinkToFit="1"/>
    </xf>
    <xf numFmtId="179" fontId="0" fillId="0" borderId="54" xfId="0" applyNumberFormat="1" applyBorder="1" applyAlignment="1" applyProtection="1">
      <alignment vertical="center" shrinkToFit="1"/>
    </xf>
    <xf numFmtId="179" fontId="16" fillId="0" borderId="13" xfId="0" applyNumberFormat="1" applyFont="1" applyFill="1" applyBorder="1" applyAlignment="1" applyProtection="1">
      <alignment vertical="center" shrinkToFit="1"/>
    </xf>
    <xf numFmtId="0" fontId="0" fillId="0" borderId="13" xfId="0" applyFill="1" applyBorder="1" applyAlignment="1" applyProtection="1">
      <alignment vertical="center" shrinkToFit="1"/>
    </xf>
    <xf numFmtId="0" fontId="0" fillId="0" borderId="51" xfId="0" applyBorder="1" applyAlignment="1" applyProtection="1">
      <alignment vertical="center"/>
    </xf>
    <xf numFmtId="0" fontId="0" fillId="0" borderId="1" xfId="0" applyBorder="1" applyAlignment="1" applyProtection="1">
      <alignment horizontal="center" vertical="center" shrinkToFit="1"/>
    </xf>
    <xf numFmtId="0" fontId="16" fillId="0" borderId="5" xfId="0" applyFont="1"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0" fillId="0" borderId="59" xfId="0" applyBorder="1" applyAlignment="1" applyProtection="1">
      <alignment vertical="center"/>
    </xf>
    <xf numFmtId="0" fontId="16" fillId="0" borderId="60" xfId="0" applyFont="1" applyBorder="1" applyAlignment="1" applyProtection="1">
      <alignment vertical="center"/>
    </xf>
    <xf numFmtId="0" fontId="0" fillId="0" borderId="61" xfId="0" applyBorder="1" applyAlignment="1" applyProtection="1">
      <alignment vertical="center"/>
    </xf>
    <xf numFmtId="0" fontId="0" fillId="0" borderId="62" xfId="0" applyBorder="1" applyAlignment="1" applyProtection="1">
      <alignment vertical="center"/>
    </xf>
    <xf numFmtId="0" fontId="16" fillId="0" borderId="33"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34" xfId="0" applyFont="1" applyBorder="1" applyAlignment="1" applyProtection="1">
      <alignment horizontal="center" vertical="center"/>
    </xf>
    <xf numFmtId="0" fontId="16" fillId="0" borderId="32" xfId="0" applyFont="1" applyBorder="1" applyAlignment="1" applyProtection="1">
      <alignment horizontal="right" vertical="center"/>
    </xf>
    <xf numFmtId="0" fontId="0" fillId="0" borderId="33" xfId="0" applyBorder="1" applyAlignment="1" applyProtection="1">
      <alignment horizontal="right" vertical="center"/>
    </xf>
    <xf numFmtId="0" fontId="16" fillId="0" borderId="18"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0"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32" xfId="0" applyFont="1" applyBorder="1" applyAlignment="1" applyProtection="1">
      <alignment horizontal="center" vertical="center"/>
    </xf>
    <xf numFmtId="194" fontId="16" fillId="8" borderId="1" xfId="0" applyNumberFormat="1" applyFont="1" applyFill="1" applyBorder="1" applyAlignment="1" applyProtection="1">
      <alignment vertical="center"/>
    </xf>
    <xf numFmtId="194" fontId="0" fillId="8" borderId="1" xfId="0" applyNumberFormat="1" applyFill="1" applyBorder="1" applyAlignment="1" applyProtection="1">
      <alignment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6" borderId="54" xfId="0" applyFont="1" applyFill="1" applyBorder="1" applyAlignment="1" applyProtection="1">
      <alignment horizontal="left" vertical="center"/>
      <protection locked="0"/>
    </xf>
    <xf numFmtId="0" fontId="16" fillId="6" borderId="1" xfId="0" applyFont="1" applyFill="1" applyBorder="1" applyAlignment="1" applyProtection="1">
      <alignment horizontal="left" vertical="center"/>
      <protection locked="0"/>
    </xf>
    <xf numFmtId="0" fontId="16" fillId="6" borderId="43" xfId="0" applyFont="1" applyFill="1" applyBorder="1" applyAlignment="1" applyProtection="1">
      <alignment horizontal="left" vertical="center" shrinkToFit="1"/>
      <protection locked="0"/>
    </xf>
    <xf numFmtId="0" fontId="16" fillId="6" borderId="44" xfId="0" applyFont="1" applyFill="1" applyBorder="1" applyAlignment="1" applyProtection="1">
      <alignment horizontal="left" vertical="center" shrinkToFit="1"/>
      <protection locked="0"/>
    </xf>
    <xf numFmtId="0" fontId="16" fillId="6" borderId="43" xfId="0" applyFont="1" applyFill="1" applyBorder="1" applyAlignment="1" applyProtection="1">
      <alignment horizontal="left" vertical="center"/>
      <protection locked="0"/>
    </xf>
    <xf numFmtId="0" fontId="16" fillId="6" borderId="44" xfId="0" applyFont="1" applyFill="1" applyBorder="1" applyAlignment="1" applyProtection="1">
      <alignment horizontal="left" vertical="center"/>
      <protection locked="0"/>
    </xf>
    <xf numFmtId="0" fontId="16" fillId="6" borderId="45" xfId="0" applyFont="1" applyFill="1" applyBorder="1" applyAlignment="1" applyProtection="1">
      <alignment horizontal="left" vertical="center"/>
      <protection locked="0"/>
    </xf>
    <xf numFmtId="179" fontId="20" fillId="6" borderId="2" xfId="2" applyNumberFormat="1" applyFont="1" applyFill="1" applyBorder="1" applyAlignment="1" applyProtection="1">
      <alignment horizontal="left" vertical="center" shrinkToFit="1"/>
      <protection locked="0"/>
    </xf>
    <xf numFmtId="179" fontId="0" fillId="6" borderId="3" xfId="0" applyNumberFormat="1" applyFill="1" applyBorder="1" applyAlignment="1" applyProtection="1">
      <alignment horizontal="left" vertical="center" shrinkToFit="1"/>
      <protection locked="0"/>
    </xf>
    <xf numFmtId="179" fontId="0" fillId="6" borderId="4" xfId="0" applyNumberFormat="1" applyFill="1" applyBorder="1" applyAlignment="1" applyProtection="1">
      <alignment horizontal="left" vertical="center" shrinkToFit="1"/>
      <protection locked="0"/>
    </xf>
    <xf numFmtId="0" fontId="20" fillId="0" borderId="0" xfId="2" applyFont="1" applyAlignment="1" applyProtection="1">
      <alignment horizontal="right" vertical="center" shrinkToFit="1"/>
    </xf>
    <xf numFmtId="0" fontId="20" fillId="0" borderId="0" xfId="2" applyFont="1" applyAlignment="1" applyProtection="1">
      <alignment vertical="center" shrinkToFit="1"/>
    </xf>
    <xf numFmtId="0" fontId="20" fillId="0" borderId="2" xfId="2" applyFont="1" applyBorder="1" applyAlignment="1" applyProtection="1">
      <alignment horizontal="center" vertical="center"/>
    </xf>
    <xf numFmtId="0" fontId="20" fillId="0" borderId="2" xfId="2" applyFont="1"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20" fillId="0" borderId="1" xfId="2" applyFont="1" applyBorder="1" applyAlignment="1" applyProtection="1">
      <alignment horizontal="center" vertical="center"/>
    </xf>
    <xf numFmtId="0" fontId="20" fillId="6" borderId="2" xfId="2" applyFont="1" applyFill="1" applyBorder="1" applyAlignment="1" applyProtection="1">
      <alignment vertical="center" wrapText="1" shrinkToFit="1"/>
      <protection locked="0"/>
    </xf>
    <xf numFmtId="0" fontId="0" fillId="6" borderId="3" xfId="0" applyFill="1" applyBorder="1" applyAlignment="1" applyProtection="1">
      <alignment vertical="center" wrapText="1" shrinkToFit="1"/>
      <protection locked="0"/>
    </xf>
    <xf numFmtId="0" fontId="0" fillId="6" borderId="4" xfId="0" applyFill="1" applyBorder="1" applyAlignment="1" applyProtection="1">
      <alignment vertical="center" wrapText="1" shrinkToFit="1"/>
      <protection locked="0"/>
    </xf>
    <xf numFmtId="0" fontId="20" fillId="0" borderId="1" xfId="2" applyFont="1" applyBorder="1" applyAlignment="1" applyProtection="1">
      <alignment horizontal="center" vertical="center" shrinkToFit="1"/>
    </xf>
    <xf numFmtId="0" fontId="20" fillId="0" borderId="0" xfId="2" applyFont="1" applyAlignment="1" applyProtection="1">
      <alignment horizontal="distributed" vertical="center"/>
    </xf>
    <xf numFmtId="0" fontId="20" fillId="0" borderId="6" xfId="2" applyFont="1" applyBorder="1" applyAlignment="1" applyProtection="1">
      <alignment horizontal="center" vertical="center" shrinkToFit="1"/>
    </xf>
    <xf numFmtId="0" fontId="20" fillId="0" borderId="7" xfId="2" applyFont="1" applyBorder="1" applyAlignment="1" applyProtection="1">
      <alignment horizontal="center" vertical="center" shrinkToFit="1"/>
    </xf>
    <xf numFmtId="0" fontId="20" fillId="6" borderId="2" xfId="2" applyFont="1" applyFill="1" applyBorder="1" applyAlignment="1" applyProtection="1">
      <alignment vertical="center" shrinkToFit="1"/>
      <protection locked="0"/>
    </xf>
    <xf numFmtId="0" fontId="0" fillId="6" borderId="3" xfId="0" applyFill="1" applyBorder="1" applyAlignment="1" applyProtection="1">
      <alignment vertical="center" shrinkToFit="1"/>
      <protection locked="0"/>
    </xf>
    <xf numFmtId="0" fontId="0" fillId="6" borderId="4" xfId="0" applyFill="1" applyBorder="1" applyAlignment="1" applyProtection="1">
      <alignment vertical="center" shrinkToFit="1"/>
      <protection locked="0"/>
    </xf>
    <xf numFmtId="0" fontId="21" fillId="0" borderId="0" xfId="2" applyFont="1" applyAlignment="1" applyProtection="1">
      <alignment horizontal="center" vertical="center"/>
    </xf>
    <xf numFmtId="0" fontId="17" fillId="0" borderId="0" xfId="0" applyFont="1" applyAlignment="1">
      <alignment horizontal="center" vertical="center"/>
    </xf>
    <xf numFmtId="0" fontId="9" fillId="0" borderId="0" xfId="0" applyFont="1" applyAlignment="1">
      <alignment horizontal="left" vertical="center" wrapText="1"/>
    </xf>
  </cellXfs>
  <cellStyles count="19">
    <cellStyle name="ハイパーリンク" xfId="1" builtinId="8"/>
    <cellStyle name="ハイパーリンク 2" xfId="17" xr:uid="{1DFA7B82-22D0-4680-8A2C-354C10EAC52F}"/>
    <cellStyle name="ハイパーリンク 3" xfId="8" xr:uid="{37D181F6-E7BF-4407-99D1-CE3E9D575FBE}"/>
    <cellStyle name="桁区切り" xfId="5" builtinId="6"/>
    <cellStyle name="桁区切り 2" xfId="3" xr:uid="{00000000-0005-0000-0000-000002000000}"/>
    <cellStyle name="桁区切り 3" xfId="7" xr:uid="{73BC0B68-C273-4A81-A439-27DD2BA8A846}"/>
    <cellStyle name="標準" xfId="0" builtinId="0"/>
    <cellStyle name="標準 2" xfId="2" xr:uid="{00000000-0005-0000-0000-000004000000}"/>
    <cellStyle name="標準 2 2" xfId="13" xr:uid="{082A6CEF-B6E8-428C-923B-72F94F20C717}"/>
    <cellStyle name="標準 2 2 2" xfId="15" xr:uid="{DD5744ED-4D69-4167-9E28-B607700611F1}"/>
    <cellStyle name="標準 2 3" xfId="16" xr:uid="{056CE773-CB41-4F6A-BF09-58A64887C12D}"/>
    <cellStyle name="標準 2 4" xfId="12" xr:uid="{C27E0C57-6FC1-4BA6-A761-D442358D92B8}"/>
    <cellStyle name="標準 2 5" xfId="4" xr:uid="{00000000-0005-0000-0000-000005000000}"/>
    <cellStyle name="標準 2 6" xfId="9" xr:uid="{3289ABD2-B3AF-4AC1-AB3E-0AEDF91CA7A2}"/>
    <cellStyle name="標準 3" xfId="6" xr:uid="{00000000-0005-0000-0000-000006000000}"/>
    <cellStyle name="標準 3 2" xfId="14" xr:uid="{26BAB389-8F90-4375-B6B3-1817989D5E3F}"/>
    <cellStyle name="標準 4" xfId="10" xr:uid="{AB4E5413-89D6-436B-BC30-AC990B93E9B5}"/>
    <cellStyle name="標準 5" xfId="11" xr:uid="{A7062884-9674-4F9E-AD7B-EBD7D020BBE0}"/>
    <cellStyle name="標準 6" xfId="18" xr:uid="{ADB8E3A2-574F-4199-89A5-2E8E2B5E642B}"/>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N$3" lockText="1" noThreeD="1"/>
</file>

<file path=xl/ctrlProps/ctrlProp2.xml><?xml version="1.0" encoding="utf-8"?>
<formControlPr xmlns="http://schemas.microsoft.com/office/spreadsheetml/2009/9/main" objectType="CheckBox" fmlaLink="$AN$4" lockText="1" noThreeD="1"/>
</file>

<file path=xl/ctrlProps/ctrlProp3.xml><?xml version="1.0" encoding="utf-8"?>
<formControlPr xmlns="http://schemas.microsoft.com/office/spreadsheetml/2009/9/main" objectType="CheckBox" fmlaLink="$AN$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87086</xdr:colOff>
          <xdr:row>2</xdr:row>
          <xdr:rowOff>59871</xdr:rowOff>
        </xdr:from>
        <xdr:to>
          <xdr:col>7</xdr:col>
          <xdr:colOff>332014</xdr:colOff>
          <xdr:row>2</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87086</xdr:colOff>
          <xdr:row>3</xdr:row>
          <xdr:rowOff>76200</xdr:rowOff>
        </xdr:from>
        <xdr:to>
          <xdr:col>7</xdr:col>
          <xdr:colOff>332014</xdr:colOff>
          <xdr:row>3</xdr:row>
          <xdr:rowOff>304800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87086</xdr:colOff>
          <xdr:row>4</xdr:row>
          <xdr:rowOff>38100</xdr:rowOff>
        </xdr:from>
        <xdr:to>
          <xdr:col>7</xdr:col>
          <xdr:colOff>429986</xdr:colOff>
          <xdr:row>4</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149679</xdr:colOff>
      <xdr:row>6</xdr:row>
      <xdr:rowOff>217715</xdr:rowOff>
    </xdr:from>
    <xdr:to>
      <xdr:col>12</xdr:col>
      <xdr:colOff>149679</xdr:colOff>
      <xdr:row>17</xdr:row>
      <xdr:rowOff>20411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9679" y="1673679"/>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twoCellAnchor editAs="oneCell">
    <xdr:from>
      <xdr:col>4</xdr:col>
      <xdr:colOff>99788</xdr:colOff>
      <xdr:row>43</xdr:row>
      <xdr:rowOff>145143</xdr:rowOff>
    </xdr:from>
    <xdr:to>
      <xdr:col>31</xdr:col>
      <xdr:colOff>279402</xdr:colOff>
      <xdr:row>53</xdr:row>
      <xdr:rowOff>203403</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5" y="10731500"/>
          <a:ext cx="7772400" cy="2416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152399</xdr:colOff>
      <xdr:row>49</xdr:row>
      <xdr:rowOff>84366</xdr:rowOff>
    </xdr:from>
    <xdr:to>
      <xdr:col>41</xdr:col>
      <xdr:colOff>272143</xdr:colOff>
      <xdr:row>55</xdr:row>
      <xdr:rowOff>112418</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40649" y="10980966"/>
          <a:ext cx="2091419" cy="21711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229886</xdr:colOff>
          <xdr:row>13</xdr:row>
          <xdr:rowOff>419100</xdr:rowOff>
        </xdr:from>
        <xdr:to>
          <xdr:col>17</xdr:col>
          <xdr:colOff>265339</xdr:colOff>
          <xdr:row>18</xdr:row>
          <xdr:rowOff>144235</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AM$50:$AP$56" spid="_x0000_s19374"/>
                </a:ext>
              </a:extLst>
            </xdr:cNvPicPr>
          </xdr:nvPicPr>
          <xdr:blipFill>
            <a:blip xmlns:r="http://schemas.openxmlformats.org/officeDocument/2006/relationships" r:embed="rId2"/>
            <a:srcRect/>
            <a:stretch>
              <a:fillRect/>
            </a:stretch>
          </xdr:blipFill>
          <xdr:spPr bwMode="auto">
            <a:xfrm>
              <a:off x="5011436" y="2990850"/>
              <a:ext cx="1092728" cy="1115785"/>
            </a:xfrm>
            <a:prstGeom prst="rect">
              <a:avLst/>
            </a:prstGeom>
            <a:no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73025</xdr:colOff>
      <xdr:row>8</xdr:row>
      <xdr:rowOff>125638</xdr:rowOff>
    </xdr:from>
    <xdr:to>
      <xdr:col>18</xdr:col>
      <xdr:colOff>80075</xdr:colOff>
      <xdr:row>21</xdr:row>
      <xdr:rowOff>154214</xdr:rowOff>
    </xdr:to>
    <xdr:pic>
      <xdr:nvPicPr>
        <xdr:cNvPr id="6" name="図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2030638"/>
          <a:ext cx="5185540" cy="3212647"/>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8</xdr:row>
      <xdr:rowOff>133350</xdr:rowOff>
    </xdr:from>
    <xdr:to>
      <xdr:col>18</xdr:col>
      <xdr:colOff>10187</xdr:colOff>
      <xdr:row>20</xdr:row>
      <xdr:rowOff>0</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47650" y="1981200"/>
          <a:ext cx="4960465" cy="3752850"/>
        </a:xfrm>
        <a:prstGeom prst="rect">
          <a:avLst/>
        </a:prstGeom>
        <a:ln>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174625</xdr:colOff>
      <xdr:row>0</xdr:row>
      <xdr:rowOff>158750</xdr:rowOff>
    </xdr:from>
    <xdr:to>
      <xdr:col>9</xdr:col>
      <xdr:colOff>206375</xdr:colOff>
      <xdr:row>13</xdr:row>
      <xdr:rowOff>47625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6287750" y="158750"/>
          <a:ext cx="2762250"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申請（または事前協議）内容の審査の結果、補正等が必要である場合、本シートに指摘事項を記載の上、データをメールにてお送りします。</a:t>
          </a:r>
          <a:endParaRPr kumimoji="1" lang="en-US" altLang="ja-JP" sz="1400" b="1">
            <a:solidFill>
              <a:srgbClr val="FF0000"/>
            </a:solidFill>
          </a:endParaRPr>
        </a:p>
        <a:p>
          <a:r>
            <a:rPr kumimoji="1" lang="ja-JP" altLang="en-US" sz="1400" b="1">
              <a:solidFill>
                <a:srgbClr val="FF0000"/>
              </a:solidFill>
            </a:rPr>
            <a:t>内容を確認の上、申請（または事前協議）内容を修正し、対応内容につき個別の指摘事項の右欄（回答欄）に対応内容を記載し、県からのメールあて返信によりご回答ください。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74"/>
  <sheetViews>
    <sheetView topLeftCell="A47" zoomScale="160" zoomScaleNormal="160" workbookViewId="0">
      <selection activeCell="H41" sqref="H41"/>
    </sheetView>
  </sheetViews>
  <sheetFormatPr defaultColWidth="9" defaultRowHeight="9.9" x14ac:dyDescent="0.65"/>
  <cols>
    <col min="1" max="1" width="6.640625" style="23" customWidth="1"/>
    <col min="2" max="2" width="15.640625" style="24" customWidth="1"/>
    <col min="3" max="15" width="8.640625" style="23" customWidth="1"/>
    <col min="16" max="16" width="3.640625" style="58" customWidth="1"/>
    <col min="17" max="17" width="8.640625" style="23" customWidth="1"/>
    <col min="18" max="18" width="3.640625" style="58" customWidth="1"/>
    <col min="19" max="20" width="8.640625" style="23" customWidth="1"/>
    <col min="21" max="21" width="3.640625" style="58" customWidth="1"/>
    <col min="22" max="50" width="8.640625" style="23" customWidth="1"/>
    <col min="51" max="51" width="20.640625" style="23" customWidth="1"/>
    <col min="52" max="52" width="9" style="23"/>
    <col min="53" max="53" width="60.640625" style="23" customWidth="1"/>
    <col min="54" max="16384" width="9" style="23"/>
  </cols>
  <sheetData>
    <row r="1" spans="2:5" ht="9.75" customHeight="1" x14ac:dyDescent="0.65"/>
    <row r="2" spans="2:5" ht="9.75" customHeight="1" x14ac:dyDescent="0.65"/>
    <row r="3" spans="2:5" ht="9.75" customHeight="1" x14ac:dyDescent="0.65">
      <c r="B3" s="25" t="s">
        <v>163</v>
      </c>
      <c r="D3" s="23" t="s">
        <v>163</v>
      </c>
    </row>
    <row r="4" spans="2:5" ht="9.75" customHeight="1" x14ac:dyDescent="0.65">
      <c r="D4" s="23" t="s">
        <v>231</v>
      </c>
    </row>
    <row r="5" spans="2:5" ht="9.75" customHeight="1" x14ac:dyDescent="0.65"/>
    <row r="6" spans="2:5" ht="9.75" customHeight="1" x14ac:dyDescent="0.65"/>
    <row r="7" spans="2:5" ht="9.75" customHeight="1" x14ac:dyDescent="0.65"/>
    <row r="8" spans="2:5" ht="9.75" customHeight="1" x14ac:dyDescent="0.65"/>
    <row r="9" spans="2:5" ht="9.75" customHeight="1" x14ac:dyDescent="0.65">
      <c r="B9" s="85" t="s">
        <v>139</v>
      </c>
      <c r="C9" s="86" t="s">
        <v>136</v>
      </c>
      <c r="D9" s="86" t="s">
        <v>137</v>
      </c>
      <c r="E9" s="86" t="s">
        <v>138</v>
      </c>
    </row>
    <row r="10" spans="2:5" ht="9.75" customHeight="1" x14ac:dyDescent="0.65">
      <c r="B10" s="81" t="s">
        <v>133</v>
      </c>
      <c r="C10" s="82">
        <v>2024</v>
      </c>
      <c r="D10" s="82">
        <v>3</v>
      </c>
      <c r="E10" s="82">
        <v>1</v>
      </c>
    </row>
    <row r="11" spans="2:5" ht="9.75" customHeight="1" x14ac:dyDescent="0.65">
      <c r="B11" s="81" t="s">
        <v>134</v>
      </c>
      <c r="C11" s="83">
        <v>2024</v>
      </c>
      <c r="D11" s="83">
        <v>3</v>
      </c>
      <c r="E11" s="83">
        <v>31</v>
      </c>
    </row>
    <row r="12" spans="2:5" ht="10" customHeight="1" x14ac:dyDescent="0.65">
      <c r="B12" s="81" t="s">
        <v>131</v>
      </c>
      <c r="C12" s="82">
        <v>2023</v>
      </c>
      <c r="D12" s="82">
        <v>2</v>
      </c>
      <c r="E12" s="82">
        <v>6</v>
      </c>
    </row>
    <row r="13" spans="2:5" ht="9.75" customHeight="1" x14ac:dyDescent="0.65">
      <c r="B13" s="81" t="s">
        <v>132</v>
      </c>
      <c r="C13" s="82">
        <v>2023</v>
      </c>
      <c r="D13" s="82">
        <v>2</v>
      </c>
      <c r="E13" s="82">
        <v>17</v>
      </c>
    </row>
    <row r="14" spans="2:5" ht="9.75" customHeight="1" x14ac:dyDescent="0.65">
      <c r="B14" s="84" t="s">
        <v>9</v>
      </c>
      <c r="C14" s="82">
        <f>IF(はじめに入力してください!I12=6,2024)</f>
        <v>2024</v>
      </c>
      <c r="D14" s="82">
        <f>はじめに入力してください!K12</f>
        <v>3</v>
      </c>
      <c r="E14" s="82">
        <f>はじめに入力してください!M12</f>
        <v>0</v>
      </c>
    </row>
    <row r="15" spans="2:5" ht="9.75" customHeight="1" x14ac:dyDescent="0.65">
      <c r="B15" s="81" t="s">
        <v>150</v>
      </c>
      <c r="C15" s="82" t="e">
        <f>IFERROR(VLOOKUP(MAX(額内訳書!AE6:AE10),額内訳書!AH:AK,2,FALSE),C16)</f>
        <v>#REF!</v>
      </c>
      <c r="D15" s="82" t="e">
        <f>IFERROR(VLOOKUP(MAX(額内訳書!AE6:AE10),額内訳書!AH:AK,3,FALSE),D16)</f>
        <v>#REF!</v>
      </c>
      <c r="E15" s="82" t="e">
        <f>IFERROR(VLOOKUP(MAX(額内訳書!AE6:AE10),額内訳書!AH:AK,4,FALSE),E16)</f>
        <v>#REF!</v>
      </c>
    </row>
    <row r="16" spans="2:5" ht="9.75" customHeight="1" x14ac:dyDescent="0.65">
      <c r="B16" s="81" t="s">
        <v>103</v>
      </c>
      <c r="C16" s="82" t="e">
        <f>VLOOKUP(はじめに入力してください!#REF!,#REF!,59,FALSE)</f>
        <v>#REF!</v>
      </c>
      <c r="D16" s="82" t="e">
        <f>VLOOKUP(はじめに入力してください!#REF!,#REF!,60,FALSE)</f>
        <v>#REF!</v>
      </c>
      <c r="E16" s="82" t="e">
        <f>VLOOKUP(はじめに入力してください!#REF!,#REF!,61,FALSE)</f>
        <v>#REF!</v>
      </c>
    </row>
    <row r="17" spans="2:6" ht="9.75" customHeight="1" x14ac:dyDescent="0.65">
      <c r="B17" s="81" t="s">
        <v>140</v>
      </c>
      <c r="C17" s="86">
        <v>2022</v>
      </c>
      <c r="D17" s="86">
        <v>10</v>
      </c>
      <c r="E17" s="86">
        <v>1</v>
      </c>
    </row>
    <row r="18" spans="2:6" ht="9.75" customHeight="1" x14ac:dyDescent="0.65">
      <c r="B18" s="81" t="s">
        <v>104</v>
      </c>
      <c r="C18" s="82">
        <v>2023</v>
      </c>
      <c r="D18" s="82">
        <v>3</v>
      </c>
      <c r="E18" s="82">
        <v>31</v>
      </c>
    </row>
    <row r="19" spans="2:6" ht="9.75" customHeight="1" x14ac:dyDescent="0.65">
      <c r="B19" s="81" t="s">
        <v>403</v>
      </c>
      <c r="C19" s="82">
        <f>はじめに入力してください!I13</f>
        <v>0</v>
      </c>
      <c r="D19" s="82">
        <f>はじめに入力してください!K13</f>
        <v>0</v>
      </c>
      <c r="E19" s="82">
        <f>はじめに入力してください!M13</f>
        <v>0</v>
      </c>
    </row>
    <row r="20" spans="2:6" ht="9.75" customHeight="1" x14ac:dyDescent="0.65">
      <c r="B20" s="81" t="s">
        <v>401</v>
      </c>
      <c r="C20" s="82">
        <v>5</v>
      </c>
      <c r="D20" s="82">
        <v>3</v>
      </c>
      <c r="E20" s="82">
        <v>10</v>
      </c>
      <c r="F20" s="339">
        <v>44995</v>
      </c>
    </row>
    <row r="21" spans="2:6" ht="9.75" customHeight="1" x14ac:dyDescent="0.65">
      <c r="B21" s="81" t="s">
        <v>402</v>
      </c>
      <c r="C21" s="82">
        <v>6</v>
      </c>
      <c r="D21" s="82">
        <v>3</v>
      </c>
      <c r="E21" s="82">
        <v>31</v>
      </c>
      <c r="F21" s="339">
        <v>45382</v>
      </c>
    </row>
    <row r="22" spans="2:6" ht="9.75" customHeight="1" x14ac:dyDescent="0.65">
      <c r="F22" s="339">
        <v>45118</v>
      </c>
    </row>
    <row r="23" spans="2:6" ht="9.75" customHeight="1" x14ac:dyDescent="0.65">
      <c r="B23" s="88" t="s">
        <v>141</v>
      </c>
      <c r="C23" s="86">
        <v>5</v>
      </c>
      <c r="F23" s="339">
        <v>45209</v>
      </c>
    </row>
    <row r="24" spans="2:6" ht="9.75" customHeight="1" x14ac:dyDescent="0.65">
      <c r="B24" s="88"/>
      <c r="C24" s="86"/>
    </row>
    <row r="25" spans="2:6" ht="9.75" customHeight="1" x14ac:dyDescent="0.65"/>
    <row r="26" spans="2:6" ht="9.75" customHeight="1" x14ac:dyDescent="0.65">
      <c r="B26" s="87" t="s">
        <v>148</v>
      </c>
      <c r="C26" s="94" t="s">
        <v>95</v>
      </c>
    </row>
    <row r="27" spans="2:6" ht="9.75" customHeight="1" x14ac:dyDescent="0.65">
      <c r="B27" s="87"/>
      <c r="C27" s="94" t="s">
        <v>96</v>
      </c>
    </row>
    <row r="28" spans="2:6" ht="9.75" customHeight="1" x14ac:dyDescent="0.65"/>
    <row r="29" spans="2:6" ht="9.75" customHeight="1" x14ac:dyDescent="0.65">
      <c r="B29" s="24" t="s">
        <v>454</v>
      </c>
      <c r="E29" s="23" t="s">
        <v>451</v>
      </c>
    </row>
    <row r="30" spans="2:6" ht="9.75" customHeight="1" x14ac:dyDescent="0.65">
      <c r="B30" s="345" t="str">
        <f>はじめに入力してください!AF13</f>
        <v/>
      </c>
      <c r="C30" s="346" t="s">
        <v>449</v>
      </c>
      <c r="D30" s="347" t="s">
        <v>450</v>
      </c>
      <c r="E30" s="23" t="s">
        <v>452</v>
      </c>
    </row>
    <row r="31" spans="2:6" ht="9.75" customHeight="1" x14ac:dyDescent="0.65">
      <c r="B31" s="344" t="s">
        <v>443</v>
      </c>
      <c r="C31" s="373" t="e">
        <f>IF(B30-30&lt;DATE(2023,3,10),DATE(2023,3,10),B30-30)</f>
        <v>#VALUE!</v>
      </c>
      <c r="D31" s="374">
        <f>DATE(2023,3,10)</f>
        <v>44995</v>
      </c>
      <c r="E31" s="23" t="s">
        <v>490</v>
      </c>
    </row>
    <row r="32" spans="2:6" ht="9.75" customHeight="1" x14ac:dyDescent="0.65">
      <c r="B32" s="344" t="s">
        <v>444</v>
      </c>
      <c r="C32" s="373" t="e">
        <f>IF(B30+90&gt;DATE(2024,3,31),DATE(2024,3,31),B30+90)</f>
        <v>#VALUE!</v>
      </c>
      <c r="D32" s="375" t="e">
        <f xml:space="preserve">
IF(B30&lt;DATE(2023,7,12),DATE(2023,7,12)+90,
IF(B30&gt;=DATE(2023,7,12),IF(B30+90&gt;DATE(2024,3,31),DATE(2024,3,31),B30+90)
))</f>
        <v>#VALUE!</v>
      </c>
      <c r="E32" s="23" t="s">
        <v>453</v>
      </c>
    </row>
    <row r="33" spans="2:13" ht="9.75" customHeight="1" x14ac:dyDescent="0.65"/>
    <row r="34" spans="2:13" ht="9.75" customHeight="1" x14ac:dyDescent="0.65"/>
    <row r="35" spans="2:13" ht="9.75" customHeight="1" x14ac:dyDescent="0.65">
      <c r="B35" s="24" t="s">
        <v>479</v>
      </c>
      <c r="C35" s="58" t="s">
        <v>480</v>
      </c>
      <c r="D35" s="58" t="s">
        <v>481</v>
      </c>
      <c r="E35" s="58" t="s">
        <v>482</v>
      </c>
      <c r="F35" s="379" t="s">
        <v>496</v>
      </c>
      <c r="J35" s="379" t="s">
        <v>483</v>
      </c>
      <c r="K35" s="379"/>
      <c r="L35" s="379"/>
      <c r="M35" s="379"/>
    </row>
    <row r="36" spans="2:13" ht="9.75" customHeight="1" x14ac:dyDescent="0.65">
      <c r="C36" s="23">
        <v>2023</v>
      </c>
      <c r="D36" s="23">
        <v>3</v>
      </c>
      <c r="E36" s="23">
        <v>23</v>
      </c>
      <c r="F36" s="85">
        <f>DATE(C36,D36,E36)</f>
        <v>45008</v>
      </c>
      <c r="J36" s="87">
        <v>2023</v>
      </c>
      <c r="K36" s="87">
        <v>3</v>
      </c>
      <c r="L36" s="87">
        <v>15</v>
      </c>
      <c r="M36" s="85">
        <f>DATE(J36,K36,L36)</f>
        <v>45000</v>
      </c>
    </row>
    <row r="37" spans="2:13" ht="9.75" customHeight="1" x14ac:dyDescent="0.65">
      <c r="C37" s="23">
        <v>2023</v>
      </c>
      <c r="D37" s="23">
        <v>3</v>
      </c>
      <c r="E37" s="23">
        <v>31</v>
      </c>
      <c r="F37" s="85">
        <f t="shared" ref="F37:F74" si="0">DATE(C37,D37,E37)</f>
        <v>45016</v>
      </c>
      <c r="J37" s="87">
        <v>2023</v>
      </c>
      <c r="K37" s="87">
        <v>4</v>
      </c>
      <c r="L37" s="87">
        <v>16</v>
      </c>
      <c r="M37" s="85">
        <f t="shared" ref="M37:M52" si="1">DATE(J37,K37,L37)</f>
        <v>45032</v>
      </c>
    </row>
    <row r="38" spans="2:13" ht="9.75" customHeight="1" x14ac:dyDescent="0.65">
      <c r="C38" s="23">
        <v>2023</v>
      </c>
      <c r="D38" s="23">
        <v>4</v>
      </c>
      <c r="E38" s="23">
        <v>18</v>
      </c>
      <c r="F38" s="85">
        <f t="shared" si="0"/>
        <v>45034</v>
      </c>
      <c r="J38" s="87">
        <v>2023</v>
      </c>
      <c r="K38" s="87">
        <v>5</v>
      </c>
      <c r="L38" s="87">
        <v>17</v>
      </c>
      <c r="M38" s="85">
        <f t="shared" si="1"/>
        <v>45063</v>
      </c>
    </row>
    <row r="39" spans="2:13" x14ac:dyDescent="0.65">
      <c r="C39" s="23">
        <v>2023</v>
      </c>
      <c r="D39" s="23">
        <v>4</v>
      </c>
      <c r="E39" s="23">
        <v>25</v>
      </c>
      <c r="F39" s="85">
        <f t="shared" si="0"/>
        <v>45041</v>
      </c>
      <c r="J39" s="87">
        <v>2023</v>
      </c>
      <c r="K39" s="87">
        <v>6</v>
      </c>
      <c r="L39" s="87">
        <v>18</v>
      </c>
      <c r="M39" s="85">
        <f t="shared" si="1"/>
        <v>45095</v>
      </c>
    </row>
    <row r="40" spans="2:13" x14ac:dyDescent="0.65">
      <c r="C40" s="23">
        <v>2023</v>
      </c>
      <c r="D40" s="23">
        <v>5</v>
      </c>
      <c r="E40" s="23">
        <v>8</v>
      </c>
      <c r="F40" s="85">
        <f t="shared" si="0"/>
        <v>45054</v>
      </c>
      <c r="J40" s="87">
        <v>2023</v>
      </c>
      <c r="K40" s="87">
        <v>7</v>
      </c>
      <c r="L40" s="87">
        <v>19</v>
      </c>
      <c r="M40" s="85">
        <f t="shared" si="1"/>
        <v>45126</v>
      </c>
    </row>
    <row r="41" spans="2:13" x14ac:dyDescent="0.65">
      <c r="C41" s="23">
        <v>2023</v>
      </c>
      <c r="D41" s="23">
        <v>5</v>
      </c>
      <c r="E41" s="23">
        <v>11</v>
      </c>
      <c r="F41" s="85">
        <f t="shared" si="0"/>
        <v>45057</v>
      </c>
      <c r="J41" s="87">
        <v>2023</v>
      </c>
      <c r="K41" s="87">
        <v>8</v>
      </c>
      <c r="L41" s="87">
        <v>20</v>
      </c>
      <c r="M41" s="85">
        <f t="shared" si="1"/>
        <v>45158</v>
      </c>
    </row>
    <row r="42" spans="2:13" x14ac:dyDescent="0.65">
      <c r="C42" s="23">
        <v>2023</v>
      </c>
      <c r="D42" s="23">
        <v>5</v>
      </c>
      <c r="E42" s="23">
        <v>16</v>
      </c>
      <c r="F42" s="85">
        <f t="shared" si="0"/>
        <v>45062</v>
      </c>
      <c r="J42" s="87">
        <v>2023</v>
      </c>
      <c r="K42" s="87">
        <v>9</v>
      </c>
      <c r="L42" s="87">
        <v>21</v>
      </c>
      <c r="M42" s="85">
        <f t="shared" si="1"/>
        <v>45190</v>
      </c>
    </row>
    <row r="43" spans="2:13" x14ac:dyDescent="0.65">
      <c r="C43" s="23">
        <v>2023</v>
      </c>
      <c r="D43" s="23">
        <v>5</v>
      </c>
      <c r="E43" s="23">
        <v>18</v>
      </c>
      <c r="F43" s="85">
        <f t="shared" si="0"/>
        <v>45064</v>
      </c>
      <c r="J43" s="87">
        <v>2023</v>
      </c>
      <c r="K43" s="87">
        <v>10</v>
      </c>
      <c r="L43" s="87">
        <v>22</v>
      </c>
      <c r="M43" s="85">
        <f t="shared" si="1"/>
        <v>45221</v>
      </c>
    </row>
    <row r="44" spans="2:13" x14ac:dyDescent="0.65">
      <c r="C44" s="23">
        <v>2023</v>
      </c>
      <c r="D44" s="23">
        <v>5</v>
      </c>
      <c r="E44" s="23">
        <v>25</v>
      </c>
      <c r="F44" s="85">
        <f t="shared" si="0"/>
        <v>45071</v>
      </c>
      <c r="J44" s="87">
        <v>2023</v>
      </c>
      <c r="K44" s="87">
        <v>11</v>
      </c>
      <c r="L44" s="87">
        <v>23</v>
      </c>
      <c r="M44" s="85">
        <f t="shared" si="1"/>
        <v>45253</v>
      </c>
    </row>
    <row r="45" spans="2:13" x14ac:dyDescent="0.65">
      <c r="C45" s="23">
        <v>2023</v>
      </c>
      <c r="D45" s="23">
        <v>6</v>
      </c>
      <c r="E45" s="23">
        <v>1</v>
      </c>
      <c r="F45" s="85">
        <f t="shared" si="0"/>
        <v>45078</v>
      </c>
      <c r="J45" s="87">
        <v>2023</v>
      </c>
      <c r="K45" s="87">
        <v>12</v>
      </c>
      <c r="L45" s="87">
        <v>24</v>
      </c>
      <c r="M45" s="85">
        <f t="shared" si="1"/>
        <v>45284</v>
      </c>
    </row>
    <row r="46" spans="2:13" x14ac:dyDescent="0.65">
      <c r="C46" s="23">
        <v>2023</v>
      </c>
      <c r="D46" s="23">
        <v>6</v>
      </c>
      <c r="E46" s="23">
        <v>13</v>
      </c>
      <c r="F46" s="85">
        <f t="shared" si="0"/>
        <v>45090</v>
      </c>
      <c r="J46" s="87">
        <v>2024</v>
      </c>
      <c r="K46" s="87">
        <v>1</v>
      </c>
      <c r="L46" s="87">
        <v>25</v>
      </c>
      <c r="M46" s="85">
        <f t="shared" si="1"/>
        <v>45316</v>
      </c>
    </row>
    <row r="47" spans="2:13" x14ac:dyDescent="0.65">
      <c r="C47" s="23">
        <v>2023</v>
      </c>
      <c r="D47" s="23">
        <v>6</v>
      </c>
      <c r="E47" s="23">
        <v>20</v>
      </c>
      <c r="F47" s="85">
        <f t="shared" si="0"/>
        <v>45097</v>
      </c>
      <c r="J47" s="87">
        <v>2024</v>
      </c>
      <c r="K47" s="87">
        <v>2</v>
      </c>
      <c r="L47" s="87">
        <v>26</v>
      </c>
      <c r="M47" s="85">
        <f t="shared" si="1"/>
        <v>45348</v>
      </c>
    </row>
    <row r="48" spans="2:13" x14ac:dyDescent="0.65">
      <c r="C48" s="23">
        <v>2023</v>
      </c>
      <c r="D48" s="23">
        <v>6</v>
      </c>
      <c r="E48" s="23">
        <v>28</v>
      </c>
      <c r="F48" s="85">
        <f t="shared" si="0"/>
        <v>45105</v>
      </c>
      <c r="J48" s="87">
        <v>2024</v>
      </c>
      <c r="K48" s="87">
        <v>3</v>
      </c>
      <c r="L48" s="87">
        <v>27</v>
      </c>
      <c r="M48" s="85">
        <f t="shared" si="1"/>
        <v>45378</v>
      </c>
    </row>
    <row r="49" spans="3:13" x14ac:dyDescent="0.65">
      <c r="C49" s="23">
        <v>2023</v>
      </c>
      <c r="D49" s="23">
        <v>7</v>
      </c>
      <c r="E49" s="23">
        <v>6</v>
      </c>
      <c r="F49" s="85">
        <f t="shared" si="0"/>
        <v>45113</v>
      </c>
      <c r="J49" s="87">
        <v>2024</v>
      </c>
      <c r="K49" s="87">
        <v>3</v>
      </c>
      <c r="L49" s="87">
        <v>28</v>
      </c>
      <c r="M49" s="85">
        <f t="shared" si="1"/>
        <v>45379</v>
      </c>
    </row>
    <row r="50" spans="3:13" x14ac:dyDescent="0.65">
      <c r="C50" s="23">
        <v>2023</v>
      </c>
      <c r="D50" s="23">
        <v>7</v>
      </c>
      <c r="E50" s="23">
        <v>18</v>
      </c>
      <c r="F50" s="85">
        <f t="shared" si="0"/>
        <v>45125</v>
      </c>
      <c r="J50" s="87">
        <v>2024</v>
      </c>
      <c r="K50" s="87">
        <v>3</v>
      </c>
      <c r="L50" s="87">
        <v>29</v>
      </c>
      <c r="M50" s="85">
        <f t="shared" si="1"/>
        <v>45380</v>
      </c>
    </row>
    <row r="51" spans="3:13" x14ac:dyDescent="0.65">
      <c r="C51" s="23">
        <v>2023</v>
      </c>
      <c r="D51" s="23">
        <v>7</v>
      </c>
      <c r="E51" s="23">
        <v>26</v>
      </c>
      <c r="F51" s="85">
        <f t="shared" si="0"/>
        <v>45133</v>
      </c>
      <c r="J51" s="87">
        <v>2024</v>
      </c>
      <c r="K51" s="87">
        <v>3</v>
      </c>
      <c r="L51" s="87">
        <v>30</v>
      </c>
      <c r="M51" s="85">
        <f t="shared" si="1"/>
        <v>45381</v>
      </c>
    </row>
    <row r="52" spans="3:13" x14ac:dyDescent="0.65">
      <c r="C52" s="23">
        <v>2023</v>
      </c>
      <c r="D52" s="23">
        <v>8</v>
      </c>
      <c r="E52" s="23">
        <v>1</v>
      </c>
      <c r="F52" s="85">
        <f t="shared" si="0"/>
        <v>45139</v>
      </c>
      <c r="J52" s="87">
        <v>2024</v>
      </c>
      <c r="K52" s="87">
        <v>3</v>
      </c>
      <c r="L52" s="87">
        <v>31</v>
      </c>
      <c r="M52" s="85">
        <f t="shared" si="1"/>
        <v>45382</v>
      </c>
    </row>
    <row r="53" spans="3:13" x14ac:dyDescent="0.65">
      <c r="C53" s="23">
        <v>2023</v>
      </c>
      <c r="D53" s="23">
        <v>8</v>
      </c>
      <c r="E53" s="23">
        <v>9</v>
      </c>
      <c r="F53" s="85">
        <f t="shared" si="0"/>
        <v>45147</v>
      </c>
    </row>
    <row r="54" spans="3:13" x14ac:dyDescent="0.65">
      <c r="C54" s="23">
        <v>2023</v>
      </c>
      <c r="D54" s="23">
        <v>8</v>
      </c>
      <c r="E54" s="23">
        <v>16</v>
      </c>
      <c r="F54" s="85">
        <f t="shared" si="0"/>
        <v>45154</v>
      </c>
    </row>
    <row r="55" spans="3:13" x14ac:dyDescent="0.65">
      <c r="C55" s="23">
        <v>2023</v>
      </c>
      <c r="D55" s="23">
        <v>8</v>
      </c>
      <c r="E55" s="23">
        <v>25</v>
      </c>
      <c r="F55" s="85">
        <f t="shared" si="0"/>
        <v>45163</v>
      </c>
    </row>
    <row r="56" spans="3:13" x14ac:dyDescent="0.65">
      <c r="C56" s="23">
        <v>2023</v>
      </c>
      <c r="D56" s="23">
        <v>9</v>
      </c>
      <c r="E56" s="23">
        <v>11</v>
      </c>
      <c r="F56" s="85">
        <f t="shared" si="0"/>
        <v>45180</v>
      </c>
    </row>
    <row r="57" spans="3:13" x14ac:dyDescent="0.65">
      <c r="C57" s="23">
        <v>2023</v>
      </c>
      <c r="D57" s="23">
        <v>9</v>
      </c>
      <c r="E57" s="23">
        <v>25</v>
      </c>
      <c r="F57" s="85">
        <f t="shared" si="0"/>
        <v>45194</v>
      </c>
    </row>
    <row r="58" spans="3:13" x14ac:dyDescent="0.65">
      <c r="C58" s="23">
        <v>2023</v>
      </c>
      <c r="D58" s="23">
        <v>10</v>
      </c>
      <c r="E58" s="23">
        <v>10</v>
      </c>
      <c r="F58" s="85">
        <f t="shared" si="0"/>
        <v>45209</v>
      </c>
    </row>
    <row r="59" spans="3:13" x14ac:dyDescent="0.65">
      <c r="C59" s="23">
        <v>2023</v>
      </c>
      <c r="D59" s="23">
        <v>10</v>
      </c>
      <c r="E59" s="23">
        <v>17</v>
      </c>
      <c r="F59" s="85">
        <f t="shared" si="0"/>
        <v>45216</v>
      </c>
    </row>
    <row r="60" spans="3:13" x14ac:dyDescent="0.65">
      <c r="C60" s="23">
        <v>2023</v>
      </c>
      <c r="D60" s="23">
        <v>10</v>
      </c>
      <c r="E60" s="23">
        <v>31</v>
      </c>
      <c r="F60" s="85">
        <f t="shared" si="0"/>
        <v>45230</v>
      </c>
    </row>
    <row r="61" spans="3:13" x14ac:dyDescent="0.65">
      <c r="C61" s="23">
        <v>2023</v>
      </c>
      <c r="D61" s="23">
        <v>11</v>
      </c>
      <c r="E61" s="23">
        <v>14</v>
      </c>
      <c r="F61" s="85">
        <f t="shared" si="0"/>
        <v>45244</v>
      </c>
    </row>
    <row r="62" spans="3:13" x14ac:dyDescent="0.65">
      <c r="C62" s="23">
        <v>2023</v>
      </c>
      <c r="D62" s="23">
        <v>11</v>
      </c>
      <c r="E62" s="23">
        <v>28</v>
      </c>
      <c r="F62" s="85">
        <f t="shared" si="0"/>
        <v>45258</v>
      </c>
    </row>
    <row r="63" spans="3:13" x14ac:dyDescent="0.65">
      <c r="C63" s="23">
        <v>2023</v>
      </c>
      <c r="D63" s="23">
        <v>12</v>
      </c>
      <c r="E63" s="23">
        <v>12</v>
      </c>
      <c r="F63" s="85">
        <f t="shared" si="0"/>
        <v>45272</v>
      </c>
    </row>
    <row r="64" spans="3:13" x14ac:dyDescent="0.65">
      <c r="C64" s="23">
        <v>2023</v>
      </c>
      <c r="D64" s="23">
        <v>12</v>
      </c>
      <c r="E64" s="23">
        <v>26</v>
      </c>
      <c r="F64" s="85">
        <f t="shared" si="0"/>
        <v>45286</v>
      </c>
    </row>
    <row r="65" spans="3:6" x14ac:dyDescent="0.65">
      <c r="C65" s="23">
        <v>2024</v>
      </c>
      <c r="D65" s="23">
        <v>1</v>
      </c>
      <c r="E65" s="23">
        <v>30</v>
      </c>
      <c r="F65" s="85">
        <f t="shared" si="0"/>
        <v>45321</v>
      </c>
    </row>
    <row r="66" spans="3:6" x14ac:dyDescent="0.65">
      <c r="C66" s="23">
        <v>2024</v>
      </c>
      <c r="D66" s="23">
        <v>2</v>
      </c>
      <c r="E66" s="23">
        <v>13</v>
      </c>
      <c r="F66" s="85">
        <f t="shared" si="0"/>
        <v>45335</v>
      </c>
    </row>
    <row r="67" spans="3:6" x14ac:dyDescent="0.65">
      <c r="C67" s="23">
        <v>2024</v>
      </c>
      <c r="D67" s="23">
        <v>2</v>
      </c>
      <c r="E67" s="23">
        <v>27</v>
      </c>
      <c r="F67" s="85">
        <f t="shared" si="0"/>
        <v>45349</v>
      </c>
    </row>
    <row r="68" spans="3:6" x14ac:dyDescent="0.65">
      <c r="C68" s="23">
        <v>2024</v>
      </c>
      <c r="D68" s="23">
        <v>3</v>
      </c>
      <c r="E68" s="23">
        <v>12</v>
      </c>
      <c r="F68" s="85">
        <f t="shared" si="0"/>
        <v>45363</v>
      </c>
    </row>
    <row r="69" spans="3:6" x14ac:dyDescent="0.65">
      <c r="C69" s="23">
        <v>2024</v>
      </c>
      <c r="D69" s="23">
        <v>3</v>
      </c>
      <c r="E69" s="23">
        <v>26</v>
      </c>
      <c r="F69" s="85">
        <f t="shared" si="0"/>
        <v>45377</v>
      </c>
    </row>
    <row r="70" spans="3:6" x14ac:dyDescent="0.65">
      <c r="C70" s="23">
        <v>2024</v>
      </c>
      <c r="D70" s="23">
        <v>3</v>
      </c>
      <c r="E70" s="23">
        <v>27</v>
      </c>
      <c r="F70" s="85">
        <f t="shared" si="0"/>
        <v>45378</v>
      </c>
    </row>
    <row r="71" spans="3:6" x14ac:dyDescent="0.65">
      <c r="C71" s="23">
        <v>2024</v>
      </c>
      <c r="D71" s="23">
        <v>3</v>
      </c>
      <c r="E71" s="23">
        <v>28</v>
      </c>
      <c r="F71" s="85">
        <f t="shared" si="0"/>
        <v>45379</v>
      </c>
    </row>
    <row r="72" spans="3:6" x14ac:dyDescent="0.65">
      <c r="C72" s="23">
        <v>2024</v>
      </c>
      <c r="D72" s="23">
        <v>3</v>
      </c>
      <c r="E72" s="23">
        <v>29</v>
      </c>
      <c r="F72" s="85">
        <f t="shared" si="0"/>
        <v>45380</v>
      </c>
    </row>
    <row r="73" spans="3:6" x14ac:dyDescent="0.65">
      <c r="C73" s="23">
        <v>2024</v>
      </c>
      <c r="D73" s="23">
        <v>3</v>
      </c>
      <c r="E73" s="23">
        <v>30</v>
      </c>
      <c r="F73" s="85">
        <f t="shared" si="0"/>
        <v>45381</v>
      </c>
    </row>
    <row r="74" spans="3:6" x14ac:dyDescent="0.65">
      <c r="C74" s="23">
        <v>2024</v>
      </c>
      <c r="D74" s="23">
        <v>3</v>
      </c>
      <c r="E74" s="23">
        <v>31</v>
      </c>
      <c r="F74" s="85">
        <f t="shared" si="0"/>
        <v>45382</v>
      </c>
    </row>
  </sheetData>
  <phoneticPr fontId="1"/>
  <dataValidations disablePrompts="1" count="1">
    <dataValidation type="list" allowBlank="1" showInputMessage="1" showErrorMessage="1" sqref="B3" xr:uid="{00000000-0002-0000-0000-000000000000}">
      <formula1>$D$3:$D$4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DB32-9A1C-4AEA-9FA6-BC96054FAECF}">
  <sheetPr>
    <tabColor theme="5" tint="0.39997558519241921"/>
    <pageSetUpPr fitToPage="1"/>
  </sheetPr>
  <dimension ref="A1:BG102"/>
  <sheetViews>
    <sheetView showGridLines="0" view="pageBreakPreview" topLeftCell="A15" zoomScale="70" zoomScaleNormal="100" zoomScaleSheetLayoutView="70" workbookViewId="0">
      <selection activeCell="M68" sqref="M68:O68"/>
    </sheetView>
  </sheetViews>
  <sheetFormatPr defaultColWidth="9" defaultRowHeight="18.45" x14ac:dyDescent="0.65"/>
  <cols>
    <col min="1" max="5" width="3.640625" style="220" customWidth="1"/>
    <col min="6" max="6" width="5.2109375" style="220" customWidth="1"/>
    <col min="7" max="18" width="3.640625" style="220" customWidth="1"/>
    <col min="19" max="19" width="10.140625" style="220" customWidth="1"/>
    <col min="20" max="40" width="3.640625" style="220" customWidth="1"/>
    <col min="41" max="41" width="4.35546875" style="220" customWidth="1"/>
    <col min="42" max="48" width="3.640625" style="220" customWidth="1"/>
    <col min="49" max="51" width="9" style="220"/>
    <col min="52" max="52" width="11.7109375" style="220" bestFit="1" customWidth="1"/>
    <col min="53" max="54" width="9" style="220"/>
    <col min="55" max="55" width="11.35546875" style="220" customWidth="1"/>
    <col min="56" max="56" width="15" style="220" customWidth="1"/>
    <col min="57" max="57" width="15.140625" style="220" bestFit="1" customWidth="1"/>
    <col min="58" max="58" width="16.2109375" style="220" bestFit="1" customWidth="1"/>
    <col min="59" max="16384" width="9" style="220"/>
  </cols>
  <sheetData>
    <row r="1" spans="1:58" x14ac:dyDescent="0.65">
      <c r="A1" s="222">
        <v>1</v>
      </c>
      <c r="B1" s="222">
        <v>2</v>
      </c>
      <c r="C1" s="222">
        <v>3</v>
      </c>
      <c r="D1" s="222">
        <v>4</v>
      </c>
      <c r="E1" s="222">
        <v>5</v>
      </c>
      <c r="F1" s="222">
        <v>6</v>
      </c>
      <c r="G1" s="222">
        <v>7</v>
      </c>
      <c r="H1" s="222">
        <v>8</v>
      </c>
      <c r="I1" s="222">
        <v>9</v>
      </c>
      <c r="J1" s="222">
        <v>10</v>
      </c>
      <c r="K1" s="222">
        <v>11</v>
      </c>
      <c r="L1" s="222">
        <v>12</v>
      </c>
      <c r="M1" s="222">
        <v>13</v>
      </c>
      <c r="N1" s="222">
        <v>14</v>
      </c>
      <c r="O1" s="222">
        <v>15</v>
      </c>
      <c r="P1" s="222">
        <v>16</v>
      </c>
      <c r="Q1" s="222">
        <v>17</v>
      </c>
      <c r="R1" s="222">
        <v>18</v>
      </c>
      <c r="S1" s="222">
        <v>19</v>
      </c>
      <c r="T1" s="222">
        <v>20</v>
      </c>
      <c r="U1" s="222">
        <v>21</v>
      </c>
      <c r="V1" s="222">
        <v>22</v>
      </c>
      <c r="W1" s="222">
        <v>23</v>
      </c>
      <c r="X1" s="222">
        <v>24</v>
      </c>
      <c r="Y1" s="222">
        <v>25</v>
      </c>
      <c r="Z1" s="222">
        <v>26</v>
      </c>
      <c r="AA1" s="222">
        <v>27</v>
      </c>
      <c r="AB1" s="222">
        <v>28</v>
      </c>
      <c r="AC1" s="222">
        <v>29</v>
      </c>
      <c r="AD1" s="222">
        <v>30</v>
      </c>
      <c r="AE1" s="222">
        <v>31</v>
      </c>
      <c r="AF1" s="222">
        <v>32</v>
      </c>
      <c r="AG1" s="222">
        <v>33</v>
      </c>
      <c r="AH1" s="222">
        <v>34</v>
      </c>
      <c r="AI1" s="222">
        <v>35</v>
      </c>
      <c r="AJ1" s="222">
        <v>36</v>
      </c>
      <c r="AK1" s="222">
        <v>37</v>
      </c>
      <c r="AL1" s="222">
        <v>38</v>
      </c>
      <c r="AM1" s="222">
        <v>39</v>
      </c>
      <c r="AN1" s="222">
        <v>40</v>
      </c>
      <c r="AO1" s="222">
        <v>41</v>
      </c>
      <c r="AP1" s="222">
        <v>42</v>
      </c>
      <c r="AQ1" s="222">
        <v>43</v>
      </c>
      <c r="AR1" s="222">
        <v>44</v>
      </c>
      <c r="AS1" s="222">
        <v>45</v>
      </c>
      <c r="AT1" s="222">
        <v>46</v>
      </c>
      <c r="AU1" s="222">
        <v>47</v>
      </c>
      <c r="AV1" s="222">
        <v>48</v>
      </c>
    </row>
    <row r="2" spans="1:58" ht="29.7" customHeight="1" x14ac:dyDescent="0.65">
      <c r="AK2" s="943"/>
      <c r="AL2" s="943"/>
      <c r="AM2" s="943"/>
      <c r="AN2" s="943"/>
      <c r="AO2" s="51"/>
      <c r="AP2" s="51"/>
      <c r="AQ2" s="51"/>
      <c r="AR2" s="51"/>
      <c r="AS2" s="51"/>
      <c r="AT2" s="51"/>
      <c r="AU2" s="51"/>
      <c r="AX2" s="294" t="s">
        <v>362</v>
      </c>
      <c r="AY2" s="223" t="str">
        <f>Z30</f>
        <v>○</v>
      </c>
      <c r="AZ2" s="838" t="str">
        <f ca="1" xml:space="preserve">
IF(COUNTIF(AY2:AY6,"○")=5,"○",
IF(COUNTIF(AY2:AY6,"×")&gt;=1,"×",
IF(AND(COUNTIF(AY2:AY5,"◎")&gt;=1,AY6="◎",COUNTIF(AY2:AY6,"×")=0),"◎")))</f>
        <v>○</v>
      </c>
      <c r="BC2" s="325" t="s">
        <v>436</v>
      </c>
      <c r="BD2" s="325" t="str">
        <f>F31&amp;G31&amp;H31&amp;I31&amp;J31&amp;K31&amp;L31</f>
        <v>令和年月日</v>
      </c>
      <c r="BE2" s="334" t="str">
        <f>IF(Z30="◎",VALUE(BD2),"")</f>
        <v/>
      </c>
      <c r="BF2" s="332" t="e">
        <f>VALUE(BD2)</f>
        <v>#VALUE!</v>
      </c>
    </row>
    <row r="3" spans="1:58" x14ac:dyDescent="0.65">
      <c r="B3" s="638" t="s">
        <v>169</v>
      </c>
      <c r="C3" s="638"/>
      <c r="D3" s="638"/>
      <c r="E3" s="638"/>
      <c r="F3" s="638"/>
      <c r="G3" s="638"/>
      <c r="H3" s="638"/>
      <c r="I3" s="638"/>
      <c r="J3" s="638"/>
      <c r="K3" s="638"/>
      <c r="L3" s="638"/>
      <c r="M3" s="638"/>
      <c r="N3" s="638"/>
      <c r="O3" s="638"/>
      <c r="P3" s="638"/>
      <c r="AK3" s="838" t="s">
        <v>170</v>
      </c>
      <c r="AL3" s="952"/>
      <c r="AM3" s="952"/>
      <c r="AN3" s="952"/>
      <c r="AO3" s="948">
        <f ca="1">IF(AZ2="◎",R86,0)</f>
        <v>0</v>
      </c>
      <c r="AP3" s="949"/>
      <c r="AQ3" s="949"/>
      <c r="AR3" s="949"/>
      <c r="AS3" s="949"/>
      <c r="AT3" s="949"/>
      <c r="AU3" s="949"/>
      <c r="AX3" s="294" t="s">
        <v>363</v>
      </c>
      <c r="AY3" s="293" t="str">
        <f>Z42</f>
        <v>○</v>
      </c>
      <c r="AZ3" s="839"/>
      <c r="BC3" s="325"/>
      <c r="BD3" s="325" t="str">
        <f>F43&amp;G43&amp;H43&amp;I43&amp;J43&amp;K43&amp;L43</f>
        <v>令和年月日</v>
      </c>
      <c r="BE3" s="334" t="str">
        <f>IF(Z42="◎",VALUE(BD3),"")</f>
        <v/>
      </c>
      <c r="BF3" s="332" t="e">
        <f t="shared" ref="BF3:BF5" si="0">VALUE(BD3)</f>
        <v>#VALUE!</v>
      </c>
    </row>
    <row r="4" spans="1:58" x14ac:dyDescent="0.65">
      <c r="B4" s="638"/>
      <c r="C4" s="638"/>
      <c r="D4" s="638"/>
      <c r="E4" s="638"/>
      <c r="F4" s="638"/>
      <c r="G4" s="638"/>
      <c r="H4" s="638"/>
      <c r="I4" s="638"/>
      <c r="J4" s="638"/>
      <c r="K4" s="638"/>
      <c r="L4" s="638"/>
      <c r="M4" s="638"/>
      <c r="N4" s="638"/>
      <c r="O4" s="638"/>
      <c r="P4" s="638"/>
      <c r="AK4" s="953"/>
      <c r="AL4" s="953"/>
      <c r="AM4" s="953"/>
      <c r="AN4" s="953"/>
      <c r="AO4" s="950"/>
      <c r="AP4" s="950"/>
      <c r="AQ4" s="950"/>
      <c r="AR4" s="950"/>
      <c r="AS4" s="950"/>
      <c r="AT4" s="950"/>
      <c r="AU4" s="950"/>
      <c r="AX4" s="294" t="s">
        <v>191</v>
      </c>
      <c r="AY4" s="223" t="str">
        <f>Z55</f>
        <v>○</v>
      </c>
      <c r="AZ4" s="839"/>
      <c r="BC4" s="325"/>
      <c r="BD4" s="325" t="str">
        <f>F56&amp;G56&amp;H56&amp;I56&amp;J56&amp;K56&amp;L56</f>
        <v>令和年月日</v>
      </c>
      <c r="BE4" s="334" t="str">
        <f>IF(Z55="◎",VALUE(BD4),"")</f>
        <v/>
      </c>
      <c r="BF4" s="332" t="e">
        <f t="shared" si="0"/>
        <v>#VALUE!</v>
      </c>
    </row>
    <row r="5" spans="1:58" ht="9.4499999999999993" customHeight="1" x14ac:dyDescent="0.65">
      <c r="B5" s="638"/>
      <c r="C5" s="638"/>
      <c r="D5" s="638"/>
      <c r="E5" s="638"/>
      <c r="F5" s="638"/>
      <c r="G5" s="638"/>
      <c r="H5" s="638"/>
      <c r="I5" s="638"/>
      <c r="J5" s="638"/>
      <c r="K5" s="638"/>
      <c r="L5" s="638"/>
      <c r="M5" s="638"/>
      <c r="N5" s="638"/>
      <c r="O5" s="638"/>
      <c r="P5" s="638"/>
      <c r="AK5" s="954"/>
      <c r="AL5" s="954"/>
      <c r="AM5" s="954"/>
      <c r="AN5" s="954"/>
      <c r="AO5" s="951"/>
      <c r="AP5" s="951"/>
      <c r="AQ5" s="951"/>
      <c r="AR5" s="951"/>
      <c r="AS5" s="951"/>
      <c r="AT5" s="951"/>
      <c r="AU5" s="951"/>
      <c r="AX5" s="294" t="s">
        <v>202</v>
      </c>
      <c r="AY5" s="223" t="str">
        <f>Z67</f>
        <v>○</v>
      </c>
      <c r="AZ5" s="839"/>
      <c r="BC5" s="325"/>
      <c r="BD5" s="325" t="str">
        <f>F68&amp;G68&amp;H68&amp;I68&amp;J68&amp;K68&amp;L68</f>
        <v>令和年月日</v>
      </c>
      <c r="BE5" s="334" t="str">
        <f>IF(Z67="◎",VALUE(BD5),"")</f>
        <v/>
      </c>
      <c r="BF5" s="332" t="e">
        <f t="shared" si="0"/>
        <v>#VALUE!</v>
      </c>
    </row>
    <row r="6" spans="1:58" ht="10" customHeight="1" x14ac:dyDescent="0.65">
      <c r="T6" s="860" t="str">
        <f ca="1" xml:space="preserve">
IF(AZ2="◎","全ての入力項目が適切に入力されたため金額が表示されました。",
IF(AZ2="○","申請しない場合は入力不要です。",
IF(AZ2="×","【要修正】入力が不十分、または不要な入力がされている欄があります。（「×」表示の箇所を確認。）")))</f>
        <v>申請しない場合は入力不要です。</v>
      </c>
      <c r="U6" s="861"/>
      <c r="V6" s="861"/>
      <c r="W6" s="861"/>
      <c r="X6" s="861"/>
      <c r="Y6" s="861"/>
      <c r="Z6" s="861"/>
      <c r="AA6" s="861"/>
      <c r="AB6" s="861"/>
      <c r="AC6" s="861"/>
      <c r="AD6" s="861"/>
      <c r="AE6" s="862"/>
      <c r="AF6" s="862"/>
      <c r="AG6" s="862"/>
      <c r="AH6" s="862"/>
      <c r="AI6" s="862"/>
      <c r="AJ6" s="862"/>
      <c r="AK6" s="862"/>
      <c r="AL6" s="862"/>
      <c r="AM6" s="862"/>
      <c r="AN6" s="862"/>
      <c r="AO6" s="862"/>
      <c r="AP6" s="862"/>
      <c r="AQ6" s="862"/>
      <c r="AR6" s="862"/>
      <c r="AS6" s="862"/>
      <c r="AT6" s="862"/>
      <c r="AU6" s="862"/>
      <c r="AX6" s="295" t="s">
        <v>192</v>
      </c>
      <c r="AY6" s="223" t="str">
        <f ca="1">AH85</f>
        <v>○</v>
      </c>
      <c r="AZ6" s="840"/>
    </row>
    <row r="7" spans="1:58" ht="19.3" x14ac:dyDescent="0.65">
      <c r="A7" s="234" t="s">
        <v>171</v>
      </c>
      <c r="B7" s="234"/>
      <c r="C7" s="234"/>
      <c r="D7" s="234"/>
      <c r="E7" s="234"/>
      <c r="F7" s="234"/>
      <c r="G7" s="234"/>
      <c r="H7" s="234"/>
      <c r="I7" s="234"/>
      <c r="J7" s="234"/>
      <c r="K7" s="234"/>
      <c r="L7" s="234"/>
      <c r="M7" s="234"/>
      <c r="N7" s="234"/>
      <c r="O7" s="234"/>
      <c r="P7" s="234"/>
      <c r="Q7" s="234"/>
      <c r="R7" s="234"/>
      <c r="S7" s="234"/>
      <c r="T7" s="863"/>
      <c r="U7" s="863"/>
      <c r="V7" s="863"/>
      <c r="W7" s="863"/>
      <c r="X7" s="863"/>
      <c r="Y7" s="863"/>
      <c r="Z7" s="863"/>
      <c r="AA7" s="863"/>
      <c r="AB7" s="863"/>
      <c r="AC7" s="863"/>
      <c r="AD7" s="863"/>
      <c r="AE7" s="862"/>
      <c r="AF7" s="862"/>
      <c r="AG7" s="862"/>
      <c r="AH7" s="862"/>
      <c r="AI7" s="862"/>
      <c r="AJ7" s="862"/>
      <c r="AK7" s="862"/>
      <c r="AL7" s="862"/>
      <c r="AM7" s="862"/>
      <c r="AN7" s="862"/>
      <c r="AO7" s="862"/>
      <c r="AP7" s="862"/>
      <c r="AQ7" s="862"/>
      <c r="AR7" s="862"/>
      <c r="AS7" s="862"/>
      <c r="AT7" s="862"/>
      <c r="AU7" s="862"/>
      <c r="BC7" s="325" t="s">
        <v>437</v>
      </c>
      <c r="BD7" s="334" t="str">
        <f>IF(AND(BE2="",BE3="",BE4="",BE5=""),"",
IF(AZ2="◎",MAX(BE2:BE5),""))</f>
        <v/>
      </c>
      <c r="BE7" s="325"/>
    </row>
    <row r="8" spans="1:58" ht="19.75" thickBot="1" x14ac:dyDescent="0.7">
      <c r="A8" s="234" t="s">
        <v>172</v>
      </c>
      <c r="B8" s="234"/>
      <c r="C8" s="234"/>
      <c r="D8" s="234"/>
      <c r="E8" s="234"/>
      <c r="F8" s="234"/>
      <c r="G8" s="234"/>
      <c r="H8" s="234"/>
      <c r="I8" s="234"/>
      <c r="J8" s="234"/>
      <c r="K8" s="234"/>
      <c r="L8" s="234"/>
      <c r="M8" s="234"/>
      <c r="N8" s="234"/>
      <c r="O8" s="234"/>
      <c r="P8" s="234"/>
      <c r="Q8" s="234"/>
      <c r="R8" s="234"/>
      <c r="S8" s="234"/>
      <c r="T8" s="946" t="s">
        <v>368</v>
      </c>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BC8" s="325" t="s">
        <v>445</v>
      </c>
      <c r="BD8" s="325" t="str">
        <f>IF(BD7="","",
IF(BE8=2023,5,
IF(BE8=2024,6)))</f>
        <v/>
      </c>
      <c r="BE8" s="325" t="e">
        <f>YEAR(BD7)</f>
        <v>#VALUE!</v>
      </c>
    </row>
    <row r="9" spans="1:58" ht="19.5" customHeight="1" thickTop="1" x14ac:dyDescent="0.65">
      <c r="B9" s="237"/>
      <c r="C9" s="237"/>
      <c r="D9" s="237"/>
      <c r="E9" s="237"/>
      <c r="F9" s="237"/>
      <c r="G9" s="237"/>
      <c r="H9" s="237"/>
      <c r="I9" s="237"/>
      <c r="J9" s="237"/>
      <c r="K9" s="237"/>
      <c r="L9" s="237"/>
      <c r="M9" s="237"/>
      <c r="N9" s="237"/>
      <c r="O9" s="237"/>
      <c r="P9" s="237"/>
      <c r="Q9" s="237"/>
      <c r="T9" s="841" t="s">
        <v>365</v>
      </c>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3"/>
      <c r="BC9" s="325" t="s">
        <v>446</v>
      </c>
      <c r="BD9" s="325" t="str">
        <f>IF(BD7="","",
MONTH(BD7))</f>
        <v/>
      </c>
      <c r="BE9" s="325"/>
    </row>
    <row r="10" spans="1:58" ht="19.3" x14ac:dyDescent="0.65">
      <c r="R10" s="238"/>
      <c r="S10" s="238"/>
      <c r="T10" s="844"/>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6"/>
      <c r="BC10" s="325" t="s">
        <v>447</v>
      </c>
      <c r="BD10" s="325" t="str">
        <f>IF(BD7="","",
DAY(BD7))</f>
        <v/>
      </c>
      <c r="BE10" s="325"/>
    </row>
    <row r="11" spans="1:58" ht="19.3" x14ac:dyDescent="0.65">
      <c r="R11" s="238"/>
      <c r="S11" s="238"/>
      <c r="T11" s="844"/>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6"/>
    </row>
    <row r="12" spans="1:58" ht="19.3" x14ac:dyDescent="0.65">
      <c r="R12" s="238"/>
      <c r="S12" s="238"/>
      <c r="T12" s="844"/>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6"/>
      <c r="AV12" s="238"/>
    </row>
    <row r="13" spans="1:58" ht="19.3" x14ac:dyDescent="0.65">
      <c r="R13" s="238"/>
      <c r="S13" s="238"/>
      <c r="T13" s="844"/>
      <c r="U13" s="845"/>
      <c r="V13" s="845"/>
      <c r="W13" s="845"/>
      <c r="X13" s="845"/>
      <c r="Y13" s="845"/>
      <c r="Z13" s="845"/>
      <c r="AA13" s="845"/>
      <c r="AB13" s="845"/>
      <c r="AC13" s="845"/>
      <c r="AD13" s="845"/>
      <c r="AE13" s="845"/>
      <c r="AF13" s="845"/>
      <c r="AG13" s="845"/>
      <c r="AH13" s="845"/>
      <c r="AI13" s="845"/>
      <c r="AJ13" s="845"/>
      <c r="AK13" s="845"/>
      <c r="AL13" s="845"/>
      <c r="AM13" s="845"/>
      <c r="AN13" s="845"/>
      <c r="AO13" s="845"/>
      <c r="AP13" s="845"/>
      <c r="AQ13" s="845"/>
      <c r="AR13" s="845"/>
      <c r="AS13" s="845"/>
      <c r="AT13" s="845"/>
      <c r="AU13" s="846"/>
      <c r="AV13" s="238"/>
    </row>
    <row r="14" spans="1:58" ht="19.3" x14ac:dyDescent="0.65">
      <c r="R14" s="238"/>
      <c r="S14" s="238"/>
      <c r="T14" s="844"/>
      <c r="U14" s="845"/>
      <c r="V14" s="845"/>
      <c r="W14" s="845"/>
      <c r="X14" s="845"/>
      <c r="Y14" s="845"/>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6"/>
      <c r="AV14" s="238"/>
    </row>
    <row r="15" spans="1:58" ht="19.3" x14ac:dyDescent="0.65">
      <c r="R15" s="238"/>
      <c r="S15" s="238"/>
      <c r="T15" s="844"/>
      <c r="U15" s="845"/>
      <c r="V15" s="845"/>
      <c r="W15" s="845"/>
      <c r="X15" s="845"/>
      <c r="Y15" s="845"/>
      <c r="Z15" s="845"/>
      <c r="AA15" s="845"/>
      <c r="AB15" s="845"/>
      <c r="AC15" s="845"/>
      <c r="AD15" s="845"/>
      <c r="AE15" s="845"/>
      <c r="AF15" s="845"/>
      <c r="AG15" s="845"/>
      <c r="AH15" s="845"/>
      <c r="AI15" s="845"/>
      <c r="AJ15" s="845"/>
      <c r="AK15" s="845"/>
      <c r="AL15" s="845"/>
      <c r="AM15" s="845"/>
      <c r="AN15" s="845"/>
      <c r="AO15" s="845"/>
      <c r="AP15" s="845"/>
      <c r="AQ15" s="845"/>
      <c r="AR15" s="845"/>
      <c r="AS15" s="845"/>
      <c r="AT15" s="845"/>
      <c r="AU15" s="846"/>
      <c r="AV15" s="238"/>
    </row>
    <row r="16" spans="1:58" ht="19.3" x14ac:dyDescent="0.65">
      <c r="R16" s="238"/>
      <c r="S16" s="238"/>
      <c r="T16" s="844"/>
      <c r="U16" s="845"/>
      <c r="V16" s="845"/>
      <c r="W16" s="845"/>
      <c r="X16" s="845"/>
      <c r="Y16" s="845"/>
      <c r="Z16" s="845"/>
      <c r="AA16" s="845"/>
      <c r="AB16" s="845"/>
      <c r="AC16" s="845"/>
      <c r="AD16" s="845"/>
      <c r="AE16" s="845"/>
      <c r="AF16" s="845"/>
      <c r="AG16" s="845"/>
      <c r="AH16" s="845"/>
      <c r="AI16" s="845"/>
      <c r="AJ16" s="845"/>
      <c r="AK16" s="845"/>
      <c r="AL16" s="845"/>
      <c r="AM16" s="845"/>
      <c r="AN16" s="845"/>
      <c r="AO16" s="845"/>
      <c r="AP16" s="845"/>
      <c r="AQ16" s="845"/>
      <c r="AR16" s="845"/>
      <c r="AS16" s="845"/>
      <c r="AT16" s="845"/>
      <c r="AU16" s="846"/>
      <c r="AV16" s="238"/>
    </row>
    <row r="17" spans="1:57" ht="19.3" x14ac:dyDescent="0.65">
      <c r="R17" s="238"/>
      <c r="S17" s="238"/>
      <c r="T17" s="844"/>
      <c r="U17" s="845"/>
      <c r="V17" s="845"/>
      <c r="W17" s="845"/>
      <c r="X17" s="845"/>
      <c r="Y17" s="845"/>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6"/>
      <c r="AV17" s="238"/>
    </row>
    <row r="18" spans="1:57" ht="19.3" x14ac:dyDescent="0.65">
      <c r="R18" s="238"/>
      <c r="S18" s="238"/>
      <c r="T18" s="844"/>
      <c r="U18" s="845"/>
      <c r="V18" s="845"/>
      <c r="W18" s="845"/>
      <c r="X18" s="845"/>
      <c r="Y18" s="845"/>
      <c r="Z18" s="845"/>
      <c r="AA18" s="845"/>
      <c r="AB18" s="845"/>
      <c r="AC18" s="845"/>
      <c r="AD18" s="845"/>
      <c r="AE18" s="845"/>
      <c r="AF18" s="845"/>
      <c r="AG18" s="845"/>
      <c r="AH18" s="845"/>
      <c r="AI18" s="845"/>
      <c r="AJ18" s="845"/>
      <c r="AK18" s="845"/>
      <c r="AL18" s="845"/>
      <c r="AM18" s="845"/>
      <c r="AN18" s="845"/>
      <c r="AO18" s="845"/>
      <c r="AP18" s="845"/>
      <c r="AQ18" s="845"/>
      <c r="AR18" s="845"/>
      <c r="AS18" s="845"/>
      <c r="AT18" s="845"/>
      <c r="AU18" s="846"/>
      <c r="AV18" s="238"/>
    </row>
    <row r="19" spans="1:57" ht="19.3" x14ac:dyDescent="0.65">
      <c r="R19" s="238"/>
      <c r="S19" s="238"/>
      <c r="T19" s="844"/>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6"/>
      <c r="AV19" s="238"/>
    </row>
    <row r="20" spans="1:57" ht="19.3" x14ac:dyDescent="0.65">
      <c r="R20" s="239"/>
      <c r="S20" s="239"/>
      <c r="T20" s="844"/>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5"/>
      <c r="AR20" s="845"/>
      <c r="AS20" s="845"/>
      <c r="AT20" s="845"/>
      <c r="AU20" s="846"/>
      <c r="AV20" s="239"/>
    </row>
    <row r="21" spans="1:57" ht="19.3" x14ac:dyDescent="0.65">
      <c r="R21" s="239"/>
      <c r="S21" s="239"/>
      <c r="T21" s="844"/>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6"/>
      <c r="AV21" s="239"/>
    </row>
    <row r="22" spans="1:57" ht="19.3" x14ac:dyDescent="0.65">
      <c r="R22" s="239"/>
      <c r="S22" s="239"/>
      <c r="T22" s="844"/>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6"/>
      <c r="AV22" s="239"/>
    </row>
    <row r="23" spans="1:57" ht="37.4" customHeight="1" x14ac:dyDescent="0.65">
      <c r="T23" s="844"/>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6"/>
    </row>
    <row r="24" spans="1:57" ht="43.75" customHeight="1" thickBot="1" x14ac:dyDescent="0.7">
      <c r="T24" s="847"/>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9"/>
    </row>
    <row r="25" spans="1:57" ht="19.75" thickTop="1" x14ac:dyDescent="0.65">
      <c r="A25" s="622" t="s">
        <v>194</v>
      </c>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234"/>
      <c r="BC25" s="220" t="s">
        <v>460</v>
      </c>
    </row>
    <row r="26" spans="1:57" ht="19.3" x14ac:dyDescent="0.65">
      <c r="A26" s="234"/>
      <c r="B26" s="622" t="str">
        <f>"ア．道路看板の場合　【総合判定】"&amp;AX29&amp;"："&amp;VLOOKUP(AX29,AX29:AY29,2,FALSE)</f>
        <v>ア．道路看板の場合　【総合判定】○：申請しない場合は入力不要です。</v>
      </c>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234"/>
      <c r="AW26" s="330"/>
      <c r="BC26" s="325" t="s">
        <v>455</v>
      </c>
      <c r="BD26" s="51"/>
      <c r="BE26" s="51"/>
    </row>
    <row r="27" spans="1:57" ht="10" hidden="1" customHeight="1" x14ac:dyDescent="0.65">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BC27" s="325"/>
      <c r="BD27" s="51"/>
      <c r="BE27" s="51"/>
    </row>
    <row r="28" spans="1:57" ht="19.3" x14ac:dyDescent="0.65">
      <c r="B28" s="220" t="s">
        <v>243</v>
      </c>
      <c r="R28" s="239"/>
      <c r="S28" s="239"/>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9"/>
      <c r="BC28" s="352" t="str">
        <f>IF(Z30="◎",AZ31,"")</f>
        <v/>
      </c>
      <c r="BD28" s="51"/>
      <c r="BE28" s="51"/>
    </row>
    <row r="29" spans="1:57" ht="19.3" x14ac:dyDescent="0.65">
      <c r="A29" s="234"/>
      <c r="B29" s="596" t="s">
        <v>183</v>
      </c>
      <c r="C29" s="858"/>
      <c r="D29" s="858"/>
      <c r="E29" s="858"/>
      <c r="F29" s="596" t="s">
        <v>43</v>
      </c>
      <c r="G29" s="858"/>
      <c r="H29" s="596" t="s">
        <v>70</v>
      </c>
      <c r="I29" s="858"/>
      <c r="J29" s="858"/>
      <c r="K29" s="858"/>
      <c r="L29" s="858"/>
      <c r="M29" s="858"/>
      <c r="N29" s="858"/>
      <c r="O29" s="858"/>
      <c r="P29" s="858"/>
      <c r="Q29" s="858"/>
      <c r="R29" s="234"/>
      <c r="S29" s="234"/>
      <c r="T29" s="234"/>
      <c r="U29" s="234"/>
      <c r="V29" s="234"/>
      <c r="W29" s="234"/>
      <c r="X29" s="234"/>
      <c r="Y29" s="234"/>
      <c r="Z29" s="596" t="s">
        <v>184</v>
      </c>
      <c r="AA29" s="858"/>
      <c r="AB29" s="858"/>
      <c r="AC29" s="858"/>
      <c r="AD29" s="596" t="s">
        <v>70</v>
      </c>
      <c r="AE29" s="858"/>
      <c r="AF29" s="858"/>
      <c r="AG29" s="858"/>
      <c r="AH29" s="858"/>
      <c r="AI29" s="858"/>
      <c r="AJ29" s="858"/>
      <c r="AK29" s="858"/>
      <c r="AL29" s="858"/>
      <c r="AM29" s="858"/>
      <c r="AN29" s="858"/>
      <c r="AO29" s="858"/>
      <c r="AP29" s="858"/>
      <c r="AQ29" s="858"/>
      <c r="AR29" s="858"/>
      <c r="AS29" s="858"/>
      <c r="AT29" s="858"/>
      <c r="AU29" s="858"/>
      <c r="AV29" s="234"/>
      <c r="AW29" s="220" t="s">
        <v>442</v>
      </c>
      <c r="AX29" s="222" t="str">
        <f xml:space="preserve">
IF(COUNTIF(AX30:AX31,"○")=2,"○",
IF(COUNTIF(AX30:AX31,"×")&gt;=1,"×",
IF(AND(COUNTIF(AX30:AX31,"◎")&gt;=1,COUNTIF(AX30:AX31,"×")=0),"◎",
)))</f>
        <v>○</v>
      </c>
      <c r="AY29" s="220" t="str">
        <f xml:space="preserve">
IF(AX29="×","【要修正】入力が不十分な箇所があります。",
IF(AX29="○","申請しない場合は入力不要です。",
IF(AX29="◎","適切に入力がされました。")))</f>
        <v>申請しない場合は入力不要です。</v>
      </c>
      <c r="BC29" s="353" t="str">
        <f>IF(Z42="◎",AZ43,"")</f>
        <v/>
      </c>
      <c r="BD29" s="51"/>
      <c r="BE29" s="51"/>
    </row>
    <row r="30" spans="1:57" ht="19.3" x14ac:dyDescent="0.65">
      <c r="A30" s="234"/>
      <c r="B30" s="923"/>
      <c r="C30" s="924"/>
      <c r="D30" s="924"/>
      <c r="E30" s="924"/>
      <c r="F30" s="596" t="str">
        <f>IF(COUNTA(B30)=1,"◎","○")</f>
        <v>○</v>
      </c>
      <c r="G30" s="858"/>
      <c r="H30" s="883" t="str">
        <f>IF(COUNTA(B30)=1,"適切に入力がされました。","申請しない場合は入力不要です。")</f>
        <v>申請しない場合は入力不要です。</v>
      </c>
      <c r="I30" s="880"/>
      <c r="J30" s="880"/>
      <c r="K30" s="880"/>
      <c r="L30" s="880"/>
      <c r="M30" s="880"/>
      <c r="N30" s="880"/>
      <c r="O30" s="880"/>
      <c r="P30" s="880"/>
      <c r="Q30" s="880"/>
      <c r="R30" s="234"/>
      <c r="S30" s="234"/>
      <c r="T30" s="234"/>
      <c r="U30" s="234"/>
      <c r="V30" s="234"/>
      <c r="W30" s="234"/>
      <c r="X30" s="234"/>
      <c r="Y30" s="234"/>
      <c r="Z30" s="596" t="str">
        <f xml:space="preserve">
IF(SUM(COUNTIF(F30,"○"),COUNTIF(P31,"○"),COUNTIF(AD33:AE38,"○"))=8,"○",
IF(SUM(COUNTIF(F30,"×"),COUNTIF(P31,"×"),COUNTIF(AD33:AE38,"×"))&gt;=1,"×",
IF(SUM(COUNTIF(F30,"◎"),COUNTIF(P31,"◎"),COUNTIF(AD33:AE38,"◎"))&lt;&gt;8,"×",
IF(SUM(COUNTIF(F30,"◎"),COUNTIF(P31,"◎"),COUNTIF(AD33:AE38,"◎"))=8,"◎"))))</f>
        <v>○</v>
      </c>
      <c r="AA30" s="858"/>
      <c r="AB30" s="858"/>
      <c r="AC30" s="858"/>
      <c r="AD30" s="890" t="str">
        <f xml:space="preserve">
IF(SUM(COUNTIF(F30,"○"),COUNTIF(P31,"○"),COUNTIF(AD33:AE38,"○"))=8,"申請しない場合は入力不要です。",
IF(SUM(COUNTIF(F30,"×"),COUNTIF(P31,"×"),COUNTIF(AD33:AE38,"×"))&gt;=1,"【要修正】入力不十分な箇所があります。（「×」表示の箇所を確認。",
IF(SUM(COUNTIF(F30,"◎"),COUNTIF(P31,"◎"),COUNTIF(AD33:AE38,"◎"))&lt;&gt;8,"【要修正】入力不十分な箇所があります。（全て「◎」であるか確認。）",
IF(SUM(COUNTIF(F30,"◎"),COUNTIF(P31,"◎"),COUNTIF(AD33:AE38,"◎"))=8,"適切に入力がされました。"))))</f>
        <v>申請しない場合は入力不要です。</v>
      </c>
      <c r="AE30" s="891"/>
      <c r="AF30" s="891"/>
      <c r="AG30" s="891"/>
      <c r="AH30" s="891"/>
      <c r="AI30" s="891"/>
      <c r="AJ30" s="891"/>
      <c r="AK30" s="891"/>
      <c r="AL30" s="891"/>
      <c r="AM30" s="891"/>
      <c r="AN30" s="891"/>
      <c r="AO30" s="891"/>
      <c r="AP30" s="891"/>
      <c r="AQ30" s="891"/>
      <c r="AR30" s="891"/>
      <c r="AS30" s="891"/>
      <c r="AT30" s="891"/>
      <c r="AU30" s="891"/>
      <c r="AV30" s="234"/>
      <c r="AW30" s="220" t="s">
        <v>245</v>
      </c>
      <c r="AX30" s="222" t="str">
        <f>Z30</f>
        <v>○</v>
      </c>
      <c r="BC30" s="352" t="str">
        <f>IF(Z55="◎",AZ56,"")</f>
        <v/>
      </c>
      <c r="BD30" s="51"/>
      <c r="BE30" s="51"/>
    </row>
    <row r="31" spans="1:57" ht="22.4" customHeight="1" x14ac:dyDescent="0.65">
      <c r="A31" s="234"/>
      <c r="B31" s="596" t="s">
        <v>435</v>
      </c>
      <c r="C31" s="596"/>
      <c r="D31" s="596"/>
      <c r="E31" s="596"/>
      <c r="F31" s="360" t="s">
        <v>396</v>
      </c>
      <c r="G31" s="385"/>
      <c r="H31" s="360" t="s">
        <v>432</v>
      </c>
      <c r="I31" s="385"/>
      <c r="J31" s="360" t="s">
        <v>433</v>
      </c>
      <c r="K31" s="385"/>
      <c r="L31" s="360" t="s">
        <v>434</v>
      </c>
      <c r="M31" s="604" t="s">
        <v>441</v>
      </c>
      <c r="N31" s="653"/>
      <c r="O31" s="654"/>
      <c r="P31" s="944" t="str">
        <f xml:space="preserve">
IF(COUNTA(G31,I31,K31)=0,"○",
IF(COUNTA(G31,I31,K31)&lt;&gt;3,"×",
IF(はじめに入力してください!$H$33="事前協議なし",
IF(OR(AZ31&lt;テーブル!$D$31,AZ31&gt;テーブル!$D$32),"×",
IF(AND(AZ31&gt;=テーブル!$D$31,AZ31&lt;=テーブル!$D$32),"◎")),"")&amp;
IF(はじめに入力してください!$H$33="事前協議あり",
IF(OR(AZ31&lt;テーブル!$F$20,AZ31&gt;テーブル!$F$21),"×",
IF(AND(AZ31&gt;=テーブル!$F$20,AZ31&lt;=テーブル!$F$21),"◎")),"")))</f>
        <v>○</v>
      </c>
      <c r="Q31" s="945"/>
      <c r="R31" s="886" t="str">
        <f xml:space="preserve">
IF(COUNTA(G31,I31,K31)=0,"申請しない場合は入力不要です。",
IF(COUNTA(G31,I31,K31)&lt;&gt;3,"【要修正】入力が不十分です。",
IF(はじめに入力してください!$H$33="事前協議なし",
IF(OR(AZ31&lt;テーブル!$D$31,AZ31&gt;テーブル!$D$32),"【注意】整備完了日が補助対象期間外であるため、補助対象外となります。（本項目は入力しないようにしてください。)",
IF(AND(AZ31&gt;=テーブル!$D$31,AZ31&lt;=テーブル!$D$32),"適切に入力がされました。")),"")&amp;
IF(はじめに入力してください!$H$33="事前協議あり",
IF(OR(AZ31&lt;テーブル!$F$20,AZ31&gt;テーブル!$F$21),"【注意】整備完了日が補助対象期間外であるため、補助対象外となります。（本項目は入力しないようにしてください。)",
IF(AND(AZ31&gt;=テーブル!$F$20,AZ31&lt;=テーブル!$F$21),"適切に入力がされました。")),"")))</f>
        <v>申請しない場合は入力不要です。</v>
      </c>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234"/>
      <c r="AW31" s="220" t="s">
        <v>246</v>
      </c>
      <c r="AX31" s="222" t="str">
        <f>Z42</f>
        <v>○</v>
      </c>
      <c r="AZ31" s="352" t="str">
        <f xml:space="preserve">
IF(COUNTA(G31,I31,K31)=0,"○",
IF(COUNTA(G31,I31,K31)&lt;&gt;3,"×",
IF(COUNTA(G31,I31,K31)=3,DATE(IF(G31=5,2023,IF(G31=6,2024)),I31,K31))))</f>
        <v>○</v>
      </c>
      <c r="BC31" s="352" t="str">
        <f>IF(Z67="◎",AZ67,"")</f>
        <v/>
      </c>
      <c r="BD31" s="51"/>
      <c r="BE31" s="51"/>
    </row>
    <row r="32" spans="1:57" ht="19.3" x14ac:dyDescent="0.65">
      <c r="A32" s="234"/>
      <c r="B32" s="604" t="s">
        <v>178</v>
      </c>
      <c r="C32" s="878"/>
      <c r="D32" s="878"/>
      <c r="E32" s="878"/>
      <c r="F32" s="878"/>
      <c r="G32" s="878"/>
      <c r="H32" s="878"/>
      <c r="I32" s="879"/>
      <c r="J32" s="596" t="s">
        <v>346</v>
      </c>
      <c r="K32" s="858"/>
      <c r="L32" s="858"/>
      <c r="M32" s="880"/>
      <c r="N32" s="596" t="s">
        <v>251</v>
      </c>
      <c r="O32" s="858"/>
      <c r="P32" s="858"/>
      <c r="Q32" s="880"/>
      <c r="R32" s="596" t="s">
        <v>174</v>
      </c>
      <c r="S32" s="858"/>
      <c r="T32" s="858"/>
      <c r="U32" s="880"/>
      <c r="V32" s="604" t="s">
        <v>175</v>
      </c>
      <c r="W32" s="878"/>
      <c r="X32" s="878"/>
      <c r="Y32" s="879"/>
      <c r="Z32" s="604" t="s">
        <v>182</v>
      </c>
      <c r="AA32" s="878"/>
      <c r="AB32" s="878"/>
      <c r="AC32" s="879"/>
      <c r="AD32" s="604" t="s">
        <v>43</v>
      </c>
      <c r="AE32" s="879"/>
      <c r="AF32" s="892" t="s">
        <v>70</v>
      </c>
      <c r="AG32" s="893"/>
      <c r="AH32" s="893"/>
      <c r="AI32" s="893"/>
      <c r="AJ32" s="893"/>
      <c r="AK32" s="893"/>
      <c r="AL32" s="893"/>
      <c r="AM32" s="893"/>
      <c r="AN32" s="893"/>
      <c r="AO32" s="893"/>
      <c r="AP32" s="893"/>
      <c r="AQ32" s="893"/>
      <c r="AR32" s="893"/>
      <c r="AS32" s="893"/>
      <c r="AT32" s="893"/>
      <c r="AU32" s="894"/>
      <c r="AV32" s="234"/>
      <c r="AW32" s="220" t="s">
        <v>355</v>
      </c>
      <c r="AX32" s="222" t="str">
        <f>Z55</f>
        <v>○</v>
      </c>
      <c r="AZ32" s="341"/>
      <c r="BB32" s="355" t="s">
        <v>456</v>
      </c>
      <c r="BC32" s="354" t="str">
        <f>IF(AND(BC28="",BC29="",BC30="",BC31=""),"",
IF(AZ2="◎",MAX(BC28:BC31),""))</f>
        <v/>
      </c>
      <c r="BD32" s="51"/>
      <c r="BE32" s="51"/>
    </row>
    <row r="33" spans="1:57" ht="19.3" x14ac:dyDescent="0.65">
      <c r="A33" s="234"/>
      <c r="B33" s="864" t="s">
        <v>173</v>
      </c>
      <c r="C33" s="865"/>
      <c r="D33" s="865"/>
      <c r="E33" s="865"/>
      <c r="F33" s="865"/>
      <c r="G33" s="865"/>
      <c r="H33" s="865"/>
      <c r="I33" s="866"/>
      <c r="J33" s="884"/>
      <c r="K33" s="885"/>
      <c r="L33" s="885"/>
      <c r="M33" s="885"/>
      <c r="N33" s="884"/>
      <c r="O33" s="885"/>
      <c r="P33" s="885"/>
      <c r="Q33" s="885"/>
      <c r="R33" s="870">
        <f>ROUNDDOWN(J33*N33/(100*100),2)</f>
        <v>0</v>
      </c>
      <c r="S33" s="871"/>
      <c r="T33" s="871"/>
      <c r="U33" s="871"/>
      <c r="V33" s="875" t="s">
        <v>176</v>
      </c>
      <c r="W33" s="876"/>
      <c r="X33" s="876"/>
      <c r="Y33" s="877"/>
      <c r="Z33" s="875" t="s">
        <v>176</v>
      </c>
      <c r="AA33" s="876"/>
      <c r="AB33" s="876"/>
      <c r="AC33" s="877"/>
      <c r="AD33" s="875" t="str">
        <f xml:space="preserve">
IF(COUNTA(J33:Q33)=0,"○",
IF(COUNTA(J33:Q33)=2,"◎",
IF(COUNTA(J33:Q33)=1,"×")))</f>
        <v>○</v>
      </c>
      <c r="AE33" s="877"/>
      <c r="AF33" s="864" t="str">
        <f xml:space="preserve">
IF(COUNTA(J33:Q33)=0,"申請しない場合は入力不要です。",
IF(COUNTA(J33:Q33)=2,"適切に入力がされました。",
IF(COUNTA(J33:Q33)=1,"【要修正】縦横の寸法をいずれも入力してください。")))</f>
        <v>申請しない場合は入力不要です。</v>
      </c>
      <c r="AG33" s="865"/>
      <c r="AH33" s="865"/>
      <c r="AI33" s="865"/>
      <c r="AJ33" s="865"/>
      <c r="AK33" s="865"/>
      <c r="AL33" s="865"/>
      <c r="AM33" s="865"/>
      <c r="AN33" s="865"/>
      <c r="AO33" s="865"/>
      <c r="AP33" s="865"/>
      <c r="AQ33" s="865"/>
      <c r="AR33" s="865"/>
      <c r="AS33" s="865"/>
      <c r="AT33" s="865"/>
      <c r="AU33" s="866"/>
      <c r="AV33" s="234"/>
      <c r="AW33" s="220" t="s">
        <v>356</v>
      </c>
      <c r="AX33" s="222" t="str">
        <f>Z67</f>
        <v>○</v>
      </c>
      <c r="BB33" s="220" t="s">
        <v>457</v>
      </c>
      <c r="BC33" s="220" t="str">
        <f>IF(BC32="","",
IF(BD33=2023,5,
IF(BD33=2024,6)))</f>
        <v/>
      </c>
      <c r="BD33" s="51" t="e">
        <f>YEAR(BC32)</f>
        <v>#VALUE!</v>
      </c>
      <c r="BE33" s="51"/>
    </row>
    <row r="34" spans="1:57" ht="19.3" x14ac:dyDescent="0.65">
      <c r="A34" s="234"/>
      <c r="B34" s="864" t="s">
        <v>177</v>
      </c>
      <c r="C34" s="865"/>
      <c r="D34" s="865"/>
      <c r="E34" s="865"/>
      <c r="F34" s="865"/>
      <c r="G34" s="865"/>
      <c r="H34" s="865"/>
      <c r="I34" s="866"/>
      <c r="J34" s="884"/>
      <c r="K34" s="885"/>
      <c r="L34" s="885"/>
      <c r="M34" s="885"/>
      <c r="N34" s="884"/>
      <c r="O34" s="885"/>
      <c r="P34" s="885"/>
      <c r="Q34" s="885"/>
      <c r="R34" s="870">
        <f>ROUNDDOWN(J34*N34/(100*100),2)</f>
        <v>0</v>
      </c>
      <c r="S34" s="871"/>
      <c r="T34" s="871"/>
      <c r="U34" s="871"/>
      <c r="V34" s="872">
        <f>IFERROR(R34/$R$33,0)</f>
        <v>0</v>
      </c>
      <c r="W34" s="873"/>
      <c r="X34" s="873"/>
      <c r="Y34" s="874"/>
      <c r="Z34" s="872">
        <v>0.1</v>
      </c>
      <c r="AA34" s="873"/>
      <c r="AB34" s="873"/>
      <c r="AC34" s="874"/>
      <c r="AD34" s="875" t="str">
        <f xml:space="preserve">
IF(COUNTA(J34:Q34)=0,"○",
IF(COUNTA(J34:Q34)=1,"×",
IF(AND($AZ$31&lt;DATE(2023,7,12),R34=0),"×",
IF(AND($AZ$31&lt;DATE(2023,7,12),R34&gt;0),"◎",
IF(AND($AZ$31&gt;=DATE(2023,7,12),COUNTA(J34:Q34)=2,V34&gt;=Z34),"◎",
IF(AND($AZ$31&gt;=DATE(2023,7,12),COUNTA(J34:Q34)=2,V34&lt;Z34),"×"))))))</f>
        <v>○</v>
      </c>
      <c r="AE34" s="877"/>
      <c r="AF34" s="864" t="str">
        <f xml:space="preserve">
IF(COUNTA(J34:Q34)=0,"申請しない場合は入力不要です。",
IF(COUNTA(J34:Q34)=1,"【要修正】縦横の寸法をいずれも入力してください。",
IF(AND($AZ$31&lt;DATE(2023,7,12),R34=0),"【要修正】縦横の寸法をいずれも入力してください。",
IF(AND($AZ$31&lt;DATE(2023,7,12),R34&gt;0),"適切に入力がされました。",
IF(AND($AZ$31&gt;=DATE(2023,7,12),COUNTA(J34:Q34)=2,V34&gt;=Z34),"適切に入力がされました。",
IF(AND($AZ$31&gt;=DATE(2023,7,12),COUNTA(J34:Q34)=2,V34&lt;Z34),"【要修正】「発熱外来の明示部分」の専有割合が必要割合を下回っています。"))))))</f>
        <v>申請しない場合は入力不要です。</v>
      </c>
      <c r="AG34" s="865"/>
      <c r="AH34" s="865"/>
      <c r="AI34" s="865"/>
      <c r="AJ34" s="865"/>
      <c r="AK34" s="865"/>
      <c r="AL34" s="865"/>
      <c r="AM34" s="865"/>
      <c r="AN34" s="865"/>
      <c r="AO34" s="865"/>
      <c r="AP34" s="865"/>
      <c r="AQ34" s="865"/>
      <c r="AR34" s="865"/>
      <c r="AS34" s="865"/>
      <c r="AT34" s="865"/>
      <c r="AU34" s="866"/>
      <c r="AV34" s="234"/>
      <c r="BB34" s="220" t="s">
        <v>458</v>
      </c>
      <c r="BC34" s="220" t="str">
        <f>IF(BC32="","",MONTH(BC32))</f>
        <v/>
      </c>
    </row>
    <row r="35" spans="1:57" ht="19.3" x14ac:dyDescent="0.65">
      <c r="A35" s="234"/>
      <c r="B35" s="864" t="s">
        <v>181</v>
      </c>
      <c r="C35" s="865"/>
      <c r="D35" s="865"/>
      <c r="E35" s="865"/>
      <c r="F35" s="865"/>
      <c r="G35" s="865"/>
      <c r="H35" s="865"/>
      <c r="I35" s="866"/>
      <c r="J35" s="884"/>
      <c r="K35" s="885"/>
      <c r="L35" s="885"/>
      <c r="M35" s="885"/>
      <c r="N35" s="884"/>
      <c r="O35" s="885"/>
      <c r="P35" s="885"/>
      <c r="Q35" s="885"/>
      <c r="R35" s="870">
        <f t="shared" ref="R35:R37" si="1">ROUNDDOWN(J35*N35/(100*100),2)</f>
        <v>0</v>
      </c>
      <c r="S35" s="871"/>
      <c r="T35" s="871"/>
      <c r="U35" s="871"/>
      <c r="V35" s="872">
        <f t="shared" ref="V35:V37" si="2">IFERROR(R35/$R$33,0)</f>
        <v>0</v>
      </c>
      <c r="W35" s="873"/>
      <c r="X35" s="873"/>
      <c r="Y35" s="874"/>
      <c r="Z35" s="872">
        <v>0.25</v>
      </c>
      <c r="AA35" s="873"/>
      <c r="AB35" s="873"/>
      <c r="AC35" s="874"/>
      <c r="AD35" s="875" t="str">
        <f xml:space="preserve">
IF(COUNTA(J35:Q35)=0,"○",
IF(COUNTA(J35:Q35)=1,"×",
IF(AND($AZ$31&lt;DATE(2023,7,12),R35=0),"×",
IF(AND($AZ$31&lt;DATE(2023,7,12),R35&gt;0),"◎",
IF(AND($AZ$31&gt;=DATE(2023,7,12),COUNTA(J35:Q35)=2,V35&gt;=Z35),"◎",
IF(AND($AZ$31&gt;=DATE(2023,7,12),COUNTA(J35:Q35)=2,V35&lt;Z35),"×"))))))</f>
        <v>○</v>
      </c>
      <c r="AE35" s="877"/>
      <c r="AF35" s="864" t="str">
        <f t="shared" ref="AF35:AF37" si="3" xml:space="preserve">
IF(COUNTA(J35:Q35)=0,"申請しない場合は入力不要です。",
IF(COUNTA(J35:Q35)=1,"【要修正】縦横の寸法をいずれも入力してください。",
IF(AND($AZ$31&lt;DATE(2023,7,12),R35=0),"【要修正】縦横の寸法をいずれも入力してください。",
IF(AND($AZ$31&lt;DATE(2023,7,12),R35&gt;0),"適切に入力がされました。",
IF(AND($AZ$31&gt;=DATE(2023,7,12),COUNTA(J35:Q35)=2,V35&gt;=Z35),"適切に入力がされました。",
IF(AND($AZ$31&gt;=DATE(2023,7,12),COUNTA(J35:Q35)=2,V35&lt;Z35),"【要修正】「発熱外来の明示部分」の専有割合が必要割合を下回っています。"))))))</f>
        <v>申請しない場合は入力不要です。</v>
      </c>
      <c r="AG35" s="865"/>
      <c r="AH35" s="865"/>
      <c r="AI35" s="865"/>
      <c r="AJ35" s="865"/>
      <c r="AK35" s="865"/>
      <c r="AL35" s="865"/>
      <c r="AM35" s="865"/>
      <c r="AN35" s="865"/>
      <c r="AO35" s="865"/>
      <c r="AP35" s="865"/>
      <c r="AQ35" s="865"/>
      <c r="AR35" s="865"/>
      <c r="AS35" s="865"/>
      <c r="AT35" s="865"/>
      <c r="AU35" s="866"/>
      <c r="AV35" s="234"/>
      <c r="BB35" s="220" t="s">
        <v>459</v>
      </c>
      <c r="BC35" s="220" t="str">
        <f>IF(BC32="","",DAY(BC32))</f>
        <v/>
      </c>
    </row>
    <row r="36" spans="1:57" ht="19.3" x14ac:dyDescent="0.65">
      <c r="A36" s="234"/>
      <c r="B36" s="864" t="s">
        <v>179</v>
      </c>
      <c r="C36" s="865"/>
      <c r="D36" s="865"/>
      <c r="E36" s="865"/>
      <c r="F36" s="865"/>
      <c r="G36" s="865"/>
      <c r="H36" s="865"/>
      <c r="I36" s="866"/>
      <c r="J36" s="884"/>
      <c r="K36" s="885"/>
      <c r="L36" s="885"/>
      <c r="M36" s="885"/>
      <c r="N36" s="884"/>
      <c r="O36" s="885"/>
      <c r="P36" s="885"/>
      <c r="Q36" s="885"/>
      <c r="R36" s="870">
        <f t="shared" si="1"/>
        <v>0</v>
      </c>
      <c r="S36" s="871"/>
      <c r="T36" s="871"/>
      <c r="U36" s="871"/>
      <c r="V36" s="872">
        <f t="shared" si="2"/>
        <v>0</v>
      </c>
      <c r="W36" s="873"/>
      <c r="X36" s="873"/>
      <c r="Y36" s="874"/>
      <c r="Z36" s="872">
        <v>0.2</v>
      </c>
      <c r="AA36" s="873"/>
      <c r="AB36" s="873"/>
      <c r="AC36" s="874"/>
      <c r="AD36" s="875" t="str">
        <f t="shared" ref="AD36:AD37" si="4" xml:space="preserve">
IF(COUNTA(J36:Q36)=0,"○",
IF(COUNTA(J36:Q36)=1,"×",
IF(AND($AZ$31&lt;DATE(2023,7,12),R36=0),"×",
IF(AND($AZ$31&lt;DATE(2023,7,12),R36&gt;0),"◎",
IF(AND($AZ$31&gt;=DATE(2023,7,12),COUNTA(J36:Q36)=2,V36&gt;=Z36),"◎",
IF(AND($AZ$31&gt;=DATE(2023,7,12),COUNTA(J36:Q36)=2,V36&lt;Z36),"×"))))))</f>
        <v>○</v>
      </c>
      <c r="AE36" s="877"/>
      <c r="AF36" s="864" t="str">
        <f t="shared" si="3"/>
        <v>申請しない場合は入力不要です。</v>
      </c>
      <c r="AG36" s="865"/>
      <c r="AH36" s="865"/>
      <c r="AI36" s="865"/>
      <c r="AJ36" s="865"/>
      <c r="AK36" s="865"/>
      <c r="AL36" s="865"/>
      <c r="AM36" s="865"/>
      <c r="AN36" s="865"/>
      <c r="AO36" s="865"/>
      <c r="AP36" s="865"/>
      <c r="AQ36" s="865"/>
      <c r="AR36" s="865"/>
      <c r="AS36" s="865"/>
      <c r="AT36" s="865"/>
      <c r="AU36" s="866"/>
      <c r="AV36" s="234"/>
    </row>
    <row r="37" spans="1:57" ht="19.3" x14ac:dyDescent="0.65">
      <c r="A37" s="234"/>
      <c r="B37" s="864" t="s">
        <v>180</v>
      </c>
      <c r="C37" s="865"/>
      <c r="D37" s="865"/>
      <c r="E37" s="865"/>
      <c r="F37" s="865"/>
      <c r="G37" s="865"/>
      <c r="H37" s="865"/>
      <c r="I37" s="866"/>
      <c r="J37" s="884"/>
      <c r="K37" s="885"/>
      <c r="L37" s="885"/>
      <c r="M37" s="885"/>
      <c r="N37" s="884"/>
      <c r="O37" s="885"/>
      <c r="P37" s="885"/>
      <c r="Q37" s="885"/>
      <c r="R37" s="870">
        <f t="shared" si="1"/>
        <v>0</v>
      </c>
      <c r="S37" s="871"/>
      <c r="T37" s="871"/>
      <c r="U37" s="871"/>
      <c r="V37" s="872">
        <f t="shared" si="2"/>
        <v>0</v>
      </c>
      <c r="W37" s="873"/>
      <c r="X37" s="873"/>
      <c r="Y37" s="874"/>
      <c r="Z37" s="872">
        <v>0.2</v>
      </c>
      <c r="AA37" s="873"/>
      <c r="AB37" s="873"/>
      <c r="AC37" s="874"/>
      <c r="AD37" s="875" t="str">
        <f t="shared" si="4"/>
        <v>○</v>
      </c>
      <c r="AE37" s="877"/>
      <c r="AF37" s="864" t="str">
        <f t="shared" si="3"/>
        <v>申請しない場合は入力不要です。</v>
      </c>
      <c r="AG37" s="865"/>
      <c r="AH37" s="865"/>
      <c r="AI37" s="865"/>
      <c r="AJ37" s="865"/>
      <c r="AK37" s="865"/>
      <c r="AL37" s="865"/>
      <c r="AM37" s="865"/>
      <c r="AN37" s="865"/>
      <c r="AO37" s="865"/>
      <c r="AP37" s="865"/>
      <c r="AQ37" s="865"/>
      <c r="AR37" s="865"/>
      <c r="AS37" s="865"/>
      <c r="AT37" s="865"/>
      <c r="AU37" s="866"/>
      <c r="AV37" s="234"/>
    </row>
    <row r="38" spans="1:57" ht="19.3" x14ac:dyDescent="0.65">
      <c r="A38" s="234"/>
      <c r="B38" s="864" t="s">
        <v>102</v>
      </c>
      <c r="C38" s="865"/>
      <c r="D38" s="865"/>
      <c r="E38" s="865"/>
      <c r="F38" s="865"/>
      <c r="G38" s="865"/>
      <c r="H38" s="865"/>
      <c r="I38" s="866"/>
      <c r="J38" s="867" t="s">
        <v>176</v>
      </c>
      <c r="K38" s="868"/>
      <c r="L38" s="868"/>
      <c r="M38" s="869"/>
      <c r="N38" s="867" t="s">
        <v>176</v>
      </c>
      <c r="O38" s="868"/>
      <c r="P38" s="868"/>
      <c r="Q38" s="869"/>
      <c r="R38" s="870">
        <f>R33-SUM(R34:U37)</f>
        <v>0</v>
      </c>
      <c r="S38" s="871"/>
      <c r="T38" s="871"/>
      <c r="U38" s="871"/>
      <c r="V38" s="872">
        <f>IFERROR(R38/$R$33,0)</f>
        <v>0</v>
      </c>
      <c r="W38" s="873"/>
      <c r="X38" s="873"/>
      <c r="Y38" s="874"/>
      <c r="Z38" s="875" t="s">
        <v>176</v>
      </c>
      <c r="AA38" s="876"/>
      <c r="AB38" s="876"/>
      <c r="AC38" s="877"/>
      <c r="AD38" s="875" t="str">
        <f xml:space="preserve">
IF(COUNTIF(AD33:AE37,"○")=5,"○",
IF(COUNTIF(AD33:AE37,"×")&gt;=1,"×",
IF(AND(COUNTIF(AD33:AE37,"◎")=5,R38&lt;0),"×",
IF(AND(COUNTIF(AD33:AE37,"◎")=5,R38&gt;=0),"◎",
IF(AND(COUNTIF(AD33:AE37,"◎")&lt;&gt;5,R38&lt;0),"×",
IF(AND(COUNTIF(AD33:AE37,"◎")&lt;&gt;5,R38&gt;=0),"×"
))))))</f>
        <v>○</v>
      </c>
      <c r="AE38" s="877"/>
      <c r="AF38" s="864" t="str">
        <f xml:space="preserve">
IF(COUNTIF(AD33:AE37,"○")=5,"申請しない場合は入力不要です。",
IF(COUNTIF(AD33:AE37,"×")&gt;=1,"【要修正】入力不十分の箇所があります。",
IF(AND(COUNTIF(AD33:AE37,"◎")=5,R38&lt;0),"【要修正】各部分の面積の和が総面積を上回っています。",
IF(AND(COUNTIF(AD33:AE37,"◎")=5,R38&gt;=0),"適切に入力がされました。",
IF(AND(COUNTIF(AD33:AE37,"◎")&lt;&gt;5,R38&lt;0),"【要修正】入力不十分かつ各部分の面積の和が総面積を上回っています。",
IF(AND(COUNTIF(AD33:AE37,"◎")&lt;&gt;5,R38&gt;=0),"【要修正】入力不十分な箇所があります。"
))))))</f>
        <v>申請しない場合は入力不要です。</v>
      </c>
      <c r="AG38" s="865"/>
      <c r="AH38" s="865"/>
      <c r="AI38" s="865"/>
      <c r="AJ38" s="865"/>
      <c r="AK38" s="865"/>
      <c r="AL38" s="865"/>
      <c r="AM38" s="865"/>
      <c r="AN38" s="865"/>
      <c r="AO38" s="865"/>
      <c r="AP38" s="865"/>
      <c r="AQ38" s="865"/>
      <c r="AR38" s="865"/>
      <c r="AS38" s="865"/>
      <c r="AT38" s="865"/>
      <c r="AU38" s="866"/>
      <c r="AV38" s="234"/>
    </row>
    <row r="39" spans="1:57" ht="19.3" hidden="1" x14ac:dyDescent="0.65">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row>
    <row r="40" spans="1:57" ht="19.3" x14ac:dyDescent="0.65">
      <c r="A40" s="234"/>
      <c r="B40" s="234" t="s">
        <v>244</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row>
    <row r="41" spans="1:57" ht="19.3" x14ac:dyDescent="0.65">
      <c r="A41" s="234"/>
      <c r="B41" s="596" t="s">
        <v>183</v>
      </c>
      <c r="C41" s="858"/>
      <c r="D41" s="858"/>
      <c r="E41" s="858"/>
      <c r="F41" s="596" t="s">
        <v>43</v>
      </c>
      <c r="G41" s="858"/>
      <c r="H41" s="596" t="s">
        <v>70</v>
      </c>
      <c r="I41" s="858"/>
      <c r="J41" s="858"/>
      <c r="K41" s="858"/>
      <c r="L41" s="858"/>
      <c r="M41" s="858"/>
      <c r="N41" s="858"/>
      <c r="O41" s="858"/>
      <c r="P41" s="858"/>
      <c r="Q41" s="858"/>
      <c r="R41" s="234"/>
      <c r="S41" s="234"/>
      <c r="T41" s="234"/>
      <c r="U41" s="234"/>
      <c r="V41" s="234"/>
      <c r="W41" s="234"/>
      <c r="X41" s="234"/>
      <c r="Y41" s="234"/>
      <c r="Z41" s="596" t="s">
        <v>184</v>
      </c>
      <c r="AA41" s="858"/>
      <c r="AB41" s="858"/>
      <c r="AC41" s="858"/>
      <c r="AD41" s="596" t="s">
        <v>70</v>
      </c>
      <c r="AE41" s="858"/>
      <c r="AF41" s="858"/>
      <c r="AG41" s="858"/>
      <c r="AH41" s="858"/>
      <c r="AI41" s="858"/>
      <c r="AJ41" s="858"/>
      <c r="AK41" s="858"/>
      <c r="AL41" s="858"/>
      <c r="AM41" s="858"/>
      <c r="AN41" s="858"/>
      <c r="AO41" s="858"/>
      <c r="AP41" s="858"/>
      <c r="AQ41" s="858"/>
      <c r="AR41" s="858"/>
      <c r="AS41" s="858"/>
      <c r="AT41" s="858"/>
      <c r="AU41" s="858"/>
      <c r="AV41" s="234"/>
    </row>
    <row r="42" spans="1:57" ht="19.3" x14ac:dyDescent="0.65">
      <c r="A42" s="234"/>
      <c r="B42" s="888"/>
      <c r="C42" s="889"/>
      <c r="D42" s="889"/>
      <c r="E42" s="889"/>
      <c r="F42" s="596" t="str">
        <f>IF(COUNTA(B42)=1,"◎","○")</f>
        <v>○</v>
      </c>
      <c r="G42" s="858"/>
      <c r="H42" s="883" t="str">
        <f>IF(COUNTA(B42)=1,"適切に入力がされました。","申請しない場合は入力不要です。")</f>
        <v>申請しない場合は入力不要です。</v>
      </c>
      <c r="I42" s="880"/>
      <c r="J42" s="880"/>
      <c r="K42" s="880"/>
      <c r="L42" s="880"/>
      <c r="M42" s="880"/>
      <c r="N42" s="880"/>
      <c r="O42" s="880"/>
      <c r="P42" s="880"/>
      <c r="Q42" s="880"/>
      <c r="R42" s="234"/>
      <c r="S42" s="234"/>
      <c r="T42" s="234"/>
      <c r="U42" s="234"/>
      <c r="V42" s="234"/>
      <c r="W42" s="234"/>
      <c r="X42" s="234"/>
      <c r="Y42" s="234"/>
      <c r="Z42" s="596" t="str">
        <f xml:space="preserve">
IF(SUM(COUNTIF(F42,"○"),COUNTIF(P43,"○"),COUNTIF(AD45:AE50,"○"))=8,"○",
IF(SUM(COUNTIF(F42,"×"),COUNTIF(P43,"×"),COUNTIF(AD45:AE50,"×"))&gt;=1,"×",
IF(SUM(COUNTIF(F42,"◎"),COUNTIF(P43,"◎"),COUNTIF(AD45:AE50,"◎"))&lt;&gt;8,"×",
IF(SUM(COUNTIF(F42,"◎"),COUNTIF(P43,"◎"),COUNTIF(AD45:AE50,"◎"))=8,"◎"))))</f>
        <v>○</v>
      </c>
      <c r="AA42" s="858"/>
      <c r="AB42" s="858"/>
      <c r="AC42" s="858"/>
      <c r="AD42" s="890" t="str">
        <f xml:space="preserve">
IF(SUM(COUNTIF(F42,"○"),COUNTIF(P43,"○"),COUNTIF(AD45:AE50,"○"))=8,"申請しない場合は入力不要です。",
IF(SUM(COUNTIF(F42,"×"),COUNTIF(P43,"×"),COUNTIF(AD45:AE50,"×"))&gt;=1,"【要修正】入力不十分な箇所があります。（「×」表示の箇所を確認。）",
IF(SUM(COUNTIF(F42,"◎"),COUNTIF(P43,"◎"),COUNTIF(AD45:AE50,"◎"))&lt;&gt;8,"【要修正】入力不十分な箇所があります。（全て「◎」であるか確認。）",
IF(SUM(COUNTIF(F42,"◎"),COUNTIF(P43,"◎"),COUNTIF(AD45:AE50,"◎"))=8,"適切に入力がされました。"))))</f>
        <v>申請しない場合は入力不要です。</v>
      </c>
      <c r="AE42" s="891"/>
      <c r="AF42" s="891"/>
      <c r="AG42" s="891"/>
      <c r="AH42" s="891"/>
      <c r="AI42" s="891"/>
      <c r="AJ42" s="891"/>
      <c r="AK42" s="891"/>
      <c r="AL42" s="891"/>
      <c r="AM42" s="891"/>
      <c r="AN42" s="891"/>
      <c r="AO42" s="891"/>
      <c r="AP42" s="891"/>
      <c r="AQ42" s="891"/>
      <c r="AR42" s="891"/>
      <c r="AS42" s="891"/>
      <c r="AT42" s="891"/>
      <c r="AU42" s="891"/>
      <c r="AV42" s="234"/>
    </row>
    <row r="43" spans="1:57" ht="22.4" customHeight="1" x14ac:dyDescent="0.65">
      <c r="A43" s="234"/>
      <c r="B43" s="596" t="s">
        <v>435</v>
      </c>
      <c r="C43" s="596"/>
      <c r="D43" s="596"/>
      <c r="E43" s="596"/>
      <c r="F43" s="360" t="s">
        <v>431</v>
      </c>
      <c r="G43" s="385"/>
      <c r="H43" s="360" t="s">
        <v>432</v>
      </c>
      <c r="I43" s="385"/>
      <c r="J43" s="360" t="s">
        <v>433</v>
      </c>
      <c r="K43" s="385"/>
      <c r="L43" s="360" t="s">
        <v>434</v>
      </c>
      <c r="M43" s="604" t="s">
        <v>441</v>
      </c>
      <c r="N43" s="653"/>
      <c r="O43" s="654"/>
      <c r="P43" s="944" t="str">
        <f xml:space="preserve">
IF(COUNTA(G43,I43,K43)=0,"○",
IF(COUNTA(G43,I43,K43)&lt;&gt;3,"×",
IF(はじめに入力してください!$H$33="事前協議なし",
IF(OR(AZ43&lt;テーブル!$D$31,AZ43&gt;テーブル!$D$32),"×",
IF(AND(AZ43&gt;=テーブル!$D$31,AZ43&lt;=テーブル!$D$32),"◎")),"")&amp;
IF(はじめに入力してください!$H$33="事前協議あり",
IF(OR(AZ43&lt;テーブル!$F$20,AZ43&gt;テーブル!$F$21),"×",
IF(AND(AZ43&gt;=テーブル!$F$20,AZ43&lt;=テーブル!$F$21),"◎")),"")))</f>
        <v>○</v>
      </c>
      <c r="Q43" s="945"/>
      <c r="R43" s="886" t="str">
        <f xml:space="preserve">
IF(COUNTA(G43,I43,K43)=0,"申請しない場合は入力不要です。",
IF(COUNTA(G43,I43,K43)&lt;&gt;3,"【要修正】入力が不十分です。",
IF(はじめに入力してください!$H$33="事前協議なし",
IF(OR(AZ43&lt;テーブル!$D$31,AZ43&gt;テーブル!$D$32),"【注意】整備完了日が補助対象期間外であるため、補助対象外となります。（本項目は入力しないようにしてください。)",
IF(AND(AZ43&gt;=テーブル!$D$31,AZ43&lt;=テーブル!$D$32),"適切に入力がされました。")),"")&amp;
IF(はじめに入力してください!$H$33="事前協議あり",
IF(OR(AZ43&lt;テーブル!$F$20,AZ43&gt;テーブル!$F$21),"【注意】整備完了日が補助対象期間外であるため、補助対象外となります。（本項目は入力しないようにしてください。)",
IF(AND(AZ43&gt;=テーブル!$F$20,AZ43&lt;=テーブル!$F$21),"適切に入力がされました。")),"")))</f>
        <v>申請しない場合は入力不要です。</v>
      </c>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234"/>
      <c r="AZ43" s="352" t="str">
        <f xml:space="preserve">
IF(COUNTA(G43,I43,K43)=0,"○",
IF(COUNTA(G43,I43,K43)&lt;&gt;3,"×",
IF(COUNTA(G43,I43,K43)=3,DATE(IF(G43=5,2023,IF(G43=6,2024)),I43,K43))))</f>
        <v>○</v>
      </c>
    </row>
    <row r="44" spans="1:57" ht="19.3" x14ac:dyDescent="0.65">
      <c r="A44" s="234"/>
      <c r="B44" s="604" t="s">
        <v>178</v>
      </c>
      <c r="C44" s="878"/>
      <c r="D44" s="878"/>
      <c r="E44" s="878"/>
      <c r="F44" s="878"/>
      <c r="G44" s="878"/>
      <c r="H44" s="878"/>
      <c r="I44" s="879"/>
      <c r="J44" s="596" t="s">
        <v>346</v>
      </c>
      <c r="K44" s="858"/>
      <c r="L44" s="858"/>
      <c r="M44" s="880"/>
      <c r="N44" s="596" t="s">
        <v>251</v>
      </c>
      <c r="O44" s="858"/>
      <c r="P44" s="858"/>
      <c r="Q44" s="880"/>
      <c r="R44" s="596" t="s">
        <v>174</v>
      </c>
      <c r="S44" s="858"/>
      <c r="T44" s="858"/>
      <c r="U44" s="880"/>
      <c r="V44" s="604" t="s">
        <v>175</v>
      </c>
      <c r="W44" s="878"/>
      <c r="X44" s="878"/>
      <c r="Y44" s="879"/>
      <c r="Z44" s="604" t="s">
        <v>182</v>
      </c>
      <c r="AA44" s="878"/>
      <c r="AB44" s="878"/>
      <c r="AC44" s="879"/>
      <c r="AD44" s="604" t="s">
        <v>43</v>
      </c>
      <c r="AE44" s="879"/>
      <c r="AF44" s="892" t="s">
        <v>70</v>
      </c>
      <c r="AG44" s="893"/>
      <c r="AH44" s="893"/>
      <c r="AI44" s="893"/>
      <c r="AJ44" s="893"/>
      <c r="AK44" s="893"/>
      <c r="AL44" s="893"/>
      <c r="AM44" s="893"/>
      <c r="AN44" s="893"/>
      <c r="AO44" s="893"/>
      <c r="AP44" s="893"/>
      <c r="AQ44" s="893"/>
      <c r="AR44" s="893"/>
      <c r="AS44" s="893"/>
      <c r="AT44" s="893"/>
      <c r="AU44" s="894"/>
      <c r="AV44" s="234"/>
    </row>
    <row r="45" spans="1:57" ht="19.3" x14ac:dyDescent="0.65">
      <c r="A45" s="234"/>
      <c r="B45" s="864" t="s">
        <v>173</v>
      </c>
      <c r="C45" s="865"/>
      <c r="D45" s="865"/>
      <c r="E45" s="865"/>
      <c r="F45" s="865"/>
      <c r="G45" s="865"/>
      <c r="H45" s="865"/>
      <c r="I45" s="866"/>
      <c r="J45" s="884"/>
      <c r="K45" s="885"/>
      <c r="L45" s="885"/>
      <c r="M45" s="885"/>
      <c r="N45" s="884"/>
      <c r="O45" s="885"/>
      <c r="P45" s="885"/>
      <c r="Q45" s="885"/>
      <c r="R45" s="870">
        <f>ROUNDDOWN(J45*N45/(100*100),2)</f>
        <v>0</v>
      </c>
      <c r="S45" s="871"/>
      <c r="T45" s="871"/>
      <c r="U45" s="871"/>
      <c r="V45" s="875" t="s">
        <v>176</v>
      </c>
      <c r="W45" s="876"/>
      <c r="X45" s="876"/>
      <c r="Y45" s="877"/>
      <c r="Z45" s="875" t="s">
        <v>176</v>
      </c>
      <c r="AA45" s="876"/>
      <c r="AB45" s="876"/>
      <c r="AC45" s="877"/>
      <c r="AD45" s="875" t="str">
        <f xml:space="preserve">
IF(COUNTA(J45:Q45)=0,"○",
IF(COUNTA(J45:Q45)=2,"◎",
IF(COUNTA(J45:Q45)=1,"×")))</f>
        <v>○</v>
      </c>
      <c r="AE45" s="877"/>
      <c r="AF45" s="864" t="str">
        <f xml:space="preserve">
IF(COUNTA(J45:Q45)=0,"申請しない場合は入力不要です。",
IF(COUNTA(J45:Q45)=2,"適切に入力がされました。",
IF(COUNTA(J45:Q45)=1,"【要修正】縦横の寸法をいずれも入力してください。")))</f>
        <v>申請しない場合は入力不要です。</v>
      </c>
      <c r="AG45" s="865"/>
      <c r="AH45" s="865"/>
      <c r="AI45" s="865"/>
      <c r="AJ45" s="865"/>
      <c r="AK45" s="865"/>
      <c r="AL45" s="865"/>
      <c r="AM45" s="865"/>
      <c r="AN45" s="865"/>
      <c r="AO45" s="865"/>
      <c r="AP45" s="865"/>
      <c r="AQ45" s="865"/>
      <c r="AR45" s="865"/>
      <c r="AS45" s="865"/>
      <c r="AT45" s="865"/>
      <c r="AU45" s="866"/>
      <c r="AV45" s="234"/>
    </row>
    <row r="46" spans="1:57" ht="19.3" x14ac:dyDescent="0.65">
      <c r="A46" s="234"/>
      <c r="B46" s="864" t="s">
        <v>177</v>
      </c>
      <c r="C46" s="865"/>
      <c r="D46" s="865"/>
      <c r="E46" s="865"/>
      <c r="F46" s="865"/>
      <c r="G46" s="865"/>
      <c r="H46" s="865"/>
      <c r="I46" s="866"/>
      <c r="J46" s="884"/>
      <c r="K46" s="885"/>
      <c r="L46" s="885"/>
      <c r="M46" s="885"/>
      <c r="N46" s="884"/>
      <c r="O46" s="885"/>
      <c r="P46" s="885"/>
      <c r="Q46" s="885"/>
      <c r="R46" s="870">
        <f t="shared" ref="R46:R49" si="5">ROUNDDOWN(J46*N46/(100*100),2)</f>
        <v>0</v>
      </c>
      <c r="S46" s="871"/>
      <c r="T46" s="871"/>
      <c r="U46" s="871"/>
      <c r="V46" s="872">
        <f>IFERROR(R46/$R$45,0)</f>
        <v>0</v>
      </c>
      <c r="W46" s="873"/>
      <c r="X46" s="873"/>
      <c r="Y46" s="874"/>
      <c r="Z46" s="872">
        <v>0.1</v>
      </c>
      <c r="AA46" s="873"/>
      <c r="AB46" s="873"/>
      <c r="AC46" s="874"/>
      <c r="AD46" s="875" t="str">
        <f xml:space="preserve">
IF(COUNTA(J46:Q46)=0,"○",
IF(COUNTA(J46:Q46)=1,"×",
IF(AND($AZ$43&lt;DATE(2023,7,12),R46=0),"×",
IF(AND($AZ$43&lt;DATE(2023,7,12),R46&gt;0),"◎",
IF(AND($AZ$43&gt;=DATE(2023,7,12),COUNTA(J46:Q46)=2,V46&gt;=Z46),"◎",
IF(AND($AZ$43&gt;=DATE(2023,7,12),COUNTA(J46:Q46)=2,V46&lt;Z46),"×"))))))</f>
        <v>○</v>
      </c>
      <c r="AE46" s="877"/>
      <c r="AF46" s="864" t="str">
        <f xml:space="preserve">
IF(COUNTA(J46:Q46)=0,"申請しない場合は入力不要です。",
IF(COUNTA(J46:Q46)=1,"【要修正】縦横の寸法をいずれも入力してください。",
IF(AND($AZ$43&lt;DATE(2023,7,12),R46=0),"【要修正】縦横の寸法をいずれも入力してください。",
IF(AND($AZ$43&lt;DATE(2023,7,12),R46&gt;0),"適切に入力がされました。",
IF(AND($AZ$43&gt;=DATE(2023,7,12),COUNTA(J46:Q46)=2,V46&gt;=Z46),"適切に入力がされました。",
IF(AND($AZ$43&gt;=DATE(2023,7,12),COUNTA(J46:Q46)=2,V46&lt;Z46),"【要修正】「発熱外来の明示部分」の専有割合が必要割合を下回っています。"))))))</f>
        <v>申請しない場合は入力不要です。</v>
      </c>
      <c r="AG46" s="865"/>
      <c r="AH46" s="865"/>
      <c r="AI46" s="865"/>
      <c r="AJ46" s="865"/>
      <c r="AK46" s="865"/>
      <c r="AL46" s="865"/>
      <c r="AM46" s="865"/>
      <c r="AN46" s="865"/>
      <c r="AO46" s="865"/>
      <c r="AP46" s="865"/>
      <c r="AQ46" s="865"/>
      <c r="AR46" s="865"/>
      <c r="AS46" s="865"/>
      <c r="AT46" s="865"/>
      <c r="AU46" s="866"/>
      <c r="AV46" s="234"/>
    </row>
    <row r="47" spans="1:57" ht="19.3" x14ac:dyDescent="0.65">
      <c r="A47" s="234"/>
      <c r="B47" s="864" t="s">
        <v>181</v>
      </c>
      <c r="C47" s="865"/>
      <c r="D47" s="865"/>
      <c r="E47" s="865"/>
      <c r="F47" s="865"/>
      <c r="G47" s="865"/>
      <c r="H47" s="865"/>
      <c r="I47" s="866"/>
      <c r="J47" s="884"/>
      <c r="K47" s="885"/>
      <c r="L47" s="885"/>
      <c r="M47" s="885"/>
      <c r="N47" s="884"/>
      <c r="O47" s="885"/>
      <c r="P47" s="885"/>
      <c r="Q47" s="885"/>
      <c r="R47" s="870">
        <f t="shared" si="5"/>
        <v>0</v>
      </c>
      <c r="S47" s="871"/>
      <c r="T47" s="871"/>
      <c r="U47" s="871"/>
      <c r="V47" s="872">
        <f t="shared" ref="V47:V50" si="6">IFERROR(R47/$R$45,0)</f>
        <v>0</v>
      </c>
      <c r="W47" s="873"/>
      <c r="X47" s="873"/>
      <c r="Y47" s="874"/>
      <c r="Z47" s="872">
        <v>0.25</v>
      </c>
      <c r="AA47" s="873"/>
      <c r="AB47" s="873"/>
      <c r="AC47" s="874"/>
      <c r="AD47" s="875" t="str">
        <f t="shared" ref="AD47:AD49" si="7" xml:space="preserve">
IF(COUNTA(J47:Q47)=0,"○",
IF(COUNTA(J47:Q47)=1,"×",
IF(AND($AZ$43&lt;DATE(2023,7,12),R47=0),"×",
IF(AND($AZ$43&lt;DATE(2023,7,12),R47&gt;0),"◎",
IF(AND($AZ$43&gt;=DATE(2023,7,12),COUNTA(J47:Q47)=2,V47&gt;=Z47),"◎",
IF(AND($AZ$43&gt;=DATE(2023,7,12),COUNTA(J47:Q47)=2,V47&lt;Z47),"×"))))))</f>
        <v>○</v>
      </c>
      <c r="AE47" s="877"/>
      <c r="AF47" s="864" t="str">
        <f t="shared" ref="AF47:AF49" si="8" xml:space="preserve">
IF(COUNTA(J47:Q47)=0,"申請しない場合は入力不要です。",
IF(COUNTA(J47:Q47)=1,"【要修正】縦横の寸法をいずれも入力してください。",
IF(AND($AZ$43&lt;DATE(2023,7,12),R47=0),"【要修正】縦横の寸法をいずれも入力してください。",
IF(AND($AZ$43&lt;DATE(2023,7,12),R47&gt;0),"適切に入力がされました。",
IF(AND($AZ$43&gt;=DATE(2023,7,12),COUNTA(J47:Q47)=2,V47&gt;=Z47),"適切に入力がされました。",
IF(AND($AZ$43&gt;=DATE(2023,7,12),COUNTA(J47:Q47)=2,V47&lt;Z47),"【要修正】「発熱外来の明示部分」の専有割合が必要割合を下回っています。"))))))</f>
        <v>申請しない場合は入力不要です。</v>
      </c>
      <c r="AG47" s="865"/>
      <c r="AH47" s="865"/>
      <c r="AI47" s="865"/>
      <c r="AJ47" s="865"/>
      <c r="AK47" s="865"/>
      <c r="AL47" s="865"/>
      <c r="AM47" s="865"/>
      <c r="AN47" s="865"/>
      <c r="AO47" s="865"/>
      <c r="AP47" s="865"/>
      <c r="AQ47" s="865"/>
      <c r="AR47" s="865"/>
      <c r="AS47" s="865"/>
      <c r="AT47" s="865"/>
      <c r="AU47" s="866"/>
      <c r="AV47" s="234"/>
    </row>
    <row r="48" spans="1:57" ht="19.3" x14ac:dyDescent="0.65">
      <c r="A48" s="234"/>
      <c r="B48" s="864" t="s">
        <v>179</v>
      </c>
      <c r="C48" s="865"/>
      <c r="D48" s="865"/>
      <c r="E48" s="865"/>
      <c r="F48" s="865"/>
      <c r="G48" s="865"/>
      <c r="H48" s="865"/>
      <c r="I48" s="866"/>
      <c r="J48" s="884"/>
      <c r="K48" s="885"/>
      <c r="L48" s="885"/>
      <c r="M48" s="885"/>
      <c r="N48" s="884"/>
      <c r="O48" s="885"/>
      <c r="P48" s="885"/>
      <c r="Q48" s="885"/>
      <c r="R48" s="870">
        <f t="shared" si="5"/>
        <v>0</v>
      </c>
      <c r="S48" s="871"/>
      <c r="T48" s="871"/>
      <c r="U48" s="871"/>
      <c r="V48" s="872">
        <f t="shared" si="6"/>
        <v>0</v>
      </c>
      <c r="W48" s="873"/>
      <c r="X48" s="873"/>
      <c r="Y48" s="874"/>
      <c r="Z48" s="872">
        <v>0.2</v>
      </c>
      <c r="AA48" s="873"/>
      <c r="AB48" s="873"/>
      <c r="AC48" s="874"/>
      <c r="AD48" s="875" t="str">
        <f t="shared" si="7"/>
        <v>○</v>
      </c>
      <c r="AE48" s="877"/>
      <c r="AF48" s="864" t="str">
        <f t="shared" si="8"/>
        <v>申請しない場合は入力不要です。</v>
      </c>
      <c r="AG48" s="865"/>
      <c r="AH48" s="865"/>
      <c r="AI48" s="865"/>
      <c r="AJ48" s="865"/>
      <c r="AK48" s="865"/>
      <c r="AL48" s="865"/>
      <c r="AM48" s="865"/>
      <c r="AN48" s="865"/>
      <c r="AO48" s="865"/>
      <c r="AP48" s="865"/>
      <c r="AQ48" s="865"/>
      <c r="AR48" s="865"/>
      <c r="AS48" s="865"/>
      <c r="AT48" s="865"/>
      <c r="AU48" s="866"/>
      <c r="AV48" s="234"/>
    </row>
    <row r="49" spans="1:52" ht="19.3" x14ac:dyDescent="0.65">
      <c r="A49" s="234"/>
      <c r="B49" s="864" t="s">
        <v>180</v>
      </c>
      <c r="C49" s="865"/>
      <c r="D49" s="865"/>
      <c r="E49" s="865"/>
      <c r="F49" s="865"/>
      <c r="G49" s="865"/>
      <c r="H49" s="865"/>
      <c r="I49" s="866"/>
      <c r="J49" s="884"/>
      <c r="K49" s="885"/>
      <c r="L49" s="885"/>
      <c r="M49" s="885"/>
      <c r="N49" s="884"/>
      <c r="O49" s="885"/>
      <c r="P49" s="885"/>
      <c r="Q49" s="885"/>
      <c r="R49" s="870">
        <f t="shared" si="5"/>
        <v>0</v>
      </c>
      <c r="S49" s="871"/>
      <c r="T49" s="871"/>
      <c r="U49" s="871"/>
      <c r="V49" s="872">
        <f>IFERROR(R49/$R$45,0)</f>
        <v>0</v>
      </c>
      <c r="W49" s="873"/>
      <c r="X49" s="873"/>
      <c r="Y49" s="874"/>
      <c r="Z49" s="872">
        <v>0.2</v>
      </c>
      <c r="AA49" s="873"/>
      <c r="AB49" s="873"/>
      <c r="AC49" s="874"/>
      <c r="AD49" s="875" t="str">
        <f t="shared" si="7"/>
        <v>○</v>
      </c>
      <c r="AE49" s="877"/>
      <c r="AF49" s="864" t="str">
        <f t="shared" si="8"/>
        <v>申請しない場合は入力不要です。</v>
      </c>
      <c r="AG49" s="865"/>
      <c r="AH49" s="865"/>
      <c r="AI49" s="865"/>
      <c r="AJ49" s="865"/>
      <c r="AK49" s="865"/>
      <c r="AL49" s="865"/>
      <c r="AM49" s="865"/>
      <c r="AN49" s="865"/>
      <c r="AO49" s="865"/>
      <c r="AP49" s="865"/>
      <c r="AQ49" s="865"/>
      <c r="AR49" s="865"/>
      <c r="AS49" s="865"/>
      <c r="AT49" s="865"/>
      <c r="AU49" s="866"/>
      <c r="AV49" s="234"/>
    </row>
    <row r="50" spans="1:52" ht="18.45" customHeight="1" x14ac:dyDescent="0.65">
      <c r="A50" s="234"/>
      <c r="B50" s="864" t="s">
        <v>102</v>
      </c>
      <c r="C50" s="865"/>
      <c r="D50" s="865"/>
      <c r="E50" s="865"/>
      <c r="F50" s="865"/>
      <c r="G50" s="865"/>
      <c r="H50" s="865"/>
      <c r="I50" s="866"/>
      <c r="J50" s="867" t="s">
        <v>176</v>
      </c>
      <c r="K50" s="868"/>
      <c r="L50" s="868"/>
      <c r="M50" s="869"/>
      <c r="N50" s="867" t="s">
        <v>176</v>
      </c>
      <c r="O50" s="868"/>
      <c r="P50" s="868"/>
      <c r="Q50" s="869"/>
      <c r="R50" s="870">
        <f>R45-SUM(R46:U49)</f>
        <v>0</v>
      </c>
      <c r="S50" s="871"/>
      <c r="T50" s="871"/>
      <c r="U50" s="871"/>
      <c r="V50" s="872">
        <f t="shared" si="6"/>
        <v>0</v>
      </c>
      <c r="W50" s="873"/>
      <c r="X50" s="873"/>
      <c r="Y50" s="874"/>
      <c r="Z50" s="875" t="s">
        <v>176</v>
      </c>
      <c r="AA50" s="876"/>
      <c r="AB50" s="876"/>
      <c r="AC50" s="877"/>
      <c r="AD50" s="875" t="str">
        <f xml:space="preserve">
IF(COUNTIF(AD45:AE49,"○")=5,"○",
IF(COUNTIF(AD45:AE49,"×")&gt;=1,"×",
IF(AND(COUNTIF(AD45:AE49,"◎")=5,R50&lt;0),"×",
IF(AND(COUNTIF(AD45:AE49,"◎")=5,R50&gt;=0),"◎",
IF(AND(COUNTIF(AD45:AE49,"◎")&lt;&gt;5,R50&lt;0),"×",
IF(AND(COUNTIF(AD45:AE49,"◎")&lt;&gt;5,R50&gt;=0),"×"
))))))</f>
        <v>○</v>
      </c>
      <c r="AE50" s="877"/>
      <c r="AF50" s="864" t="str">
        <f xml:space="preserve">
IF(COUNTIF(AD45:AE49,"○")=5,"申請しない場合は入力不要です。",
IF(COUNTIF(AD45:AE49,"×")&gt;=1,"【要修正】入力不十分の箇所があります。",
IF(AND(COUNTIF(AD45:AE49,"◎")=5,R50&lt;0),"【要修正】各部分の面積の和が総面積を上回っています。",
IF(AND(COUNTIF(AD45:AE49,"◎")=5,R50&gt;=0),"適切に入力がされました。",
IF(AND(COUNTIF(AD45:AE49,"◎")&lt;&gt;5,R50&lt;0),"【要修正】入力不十分かつ各部分の面積の和が総面積を上回っています。",
IF(AND(COUNTIF(AD45:AE49,"◎")&lt;&gt;5,R50&gt;=0),"【要修正】入力不十分な箇所があります。"
))))))</f>
        <v>申請しない場合は入力不要です。</v>
      </c>
      <c r="AG50" s="865"/>
      <c r="AH50" s="865"/>
      <c r="AI50" s="865"/>
      <c r="AJ50" s="865"/>
      <c r="AK50" s="865"/>
      <c r="AL50" s="865"/>
      <c r="AM50" s="865"/>
      <c r="AN50" s="865"/>
      <c r="AO50" s="865"/>
      <c r="AP50" s="865"/>
      <c r="AQ50" s="865"/>
      <c r="AR50" s="865"/>
      <c r="AS50" s="865"/>
      <c r="AT50" s="865"/>
      <c r="AU50" s="866"/>
      <c r="AV50" s="234"/>
    </row>
    <row r="51" spans="1:52" ht="19.3" x14ac:dyDescent="0.65">
      <c r="R51" s="239"/>
      <c r="S51" s="239"/>
      <c r="T51" s="240"/>
      <c r="U51" s="240"/>
      <c r="V51" s="241"/>
      <c r="W51" s="242"/>
      <c r="X51" s="242"/>
      <c r="Y51" s="242"/>
      <c r="Z51" s="243"/>
      <c r="AA51" s="244"/>
      <c r="AB51" s="244"/>
      <c r="AC51" s="244"/>
      <c r="AD51" s="243"/>
      <c r="AE51" s="244"/>
      <c r="AF51" s="245"/>
      <c r="AG51" s="246"/>
      <c r="AH51" s="246"/>
      <c r="AI51" s="246"/>
      <c r="AJ51" s="246"/>
      <c r="AK51" s="246"/>
      <c r="AL51" s="246"/>
      <c r="AM51" s="246"/>
      <c r="AN51" s="246"/>
      <c r="AO51" s="246"/>
      <c r="AP51" s="246"/>
      <c r="AQ51" s="246"/>
      <c r="AR51" s="246"/>
      <c r="AS51" s="246"/>
      <c r="AT51" s="246"/>
      <c r="AU51" s="246"/>
      <c r="AV51" s="239"/>
    </row>
    <row r="52" spans="1:52" ht="19.3" x14ac:dyDescent="0.65">
      <c r="A52" s="234"/>
      <c r="B52" s="622" t="str">
        <f>"イ．電柱広告の場合　【総合判定】"&amp;Z55&amp;"："&amp;AD55</f>
        <v>イ．電柱広告の場合　【総合判定】○：申請しない場合は入力不要です。</v>
      </c>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234"/>
    </row>
    <row r="53" spans="1:52" ht="10" hidden="1" customHeight="1" x14ac:dyDescent="0.6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row>
    <row r="54" spans="1:52" ht="19.3" x14ac:dyDescent="0.65">
      <c r="A54" s="234"/>
      <c r="B54" s="596" t="s">
        <v>183</v>
      </c>
      <c r="C54" s="858"/>
      <c r="D54" s="858"/>
      <c r="E54" s="858"/>
      <c r="F54" s="596" t="s">
        <v>43</v>
      </c>
      <c r="G54" s="858"/>
      <c r="H54" s="596" t="s">
        <v>70</v>
      </c>
      <c r="I54" s="858"/>
      <c r="J54" s="858"/>
      <c r="K54" s="858"/>
      <c r="L54" s="858"/>
      <c r="M54" s="858"/>
      <c r="N54" s="858"/>
      <c r="O54" s="858"/>
      <c r="P54" s="858"/>
      <c r="Q54" s="858"/>
      <c r="R54" s="234"/>
      <c r="S54" s="234"/>
      <c r="T54" s="234"/>
      <c r="U54" s="234"/>
      <c r="V54" s="234"/>
      <c r="W54" s="234"/>
      <c r="X54" s="234"/>
      <c r="Y54" s="234"/>
      <c r="Z54" s="596" t="s">
        <v>184</v>
      </c>
      <c r="AA54" s="858"/>
      <c r="AB54" s="858"/>
      <c r="AC54" s="858"/>
      <c r="AD54" s="596" t="s">
        <v>70</v>
      </c>
      <c r="AE54" s="858"/>
      <c r="AF54" s="858"/>
      <c r="AG54" s="858"/>
      <c r="AH54" s="858"/>
      <c r="AI54" s="858"/>
      <c r="AJ54" s="858"/>
      <c r="AK54" s="858"/>
      <c r="AL54" s="858"/>
      <c r="AM54" s="858"/>
      <c r="AN54" s="858"/>
      <c r="AO54" s="858"/>
      <c r="AP54" s="858"/>
      <c r="AQ54" s="858"/>
      <c r="AR54" s="858"/>
      <c r="AS54" s="858"/>
      <c r="AT54" s="858"/>
      <c r="AU54" s="858"/>
      <c r="AV54" s="234"/>
    </row>
    <row r="55" spans="1:52" ht="19.3" x14ac:dyDescent="0.65">
      <c r="A55" s="234"/>
      <c r="B55" s="888"/>
      <c r="C55" s="889"/>
      <c r="D55" s="889"/>
      <c r="E55" s="889"/>
      <c r="F55" s="596" t="str">
        <f>IF(COUNTA(B55)=1,"◎","○")</f>
        <v>○</v>
      </c>
      <c r="G55" s="858"/>
      <c r="H55" s="883" t="str">
        <f>IF(COUNTA(B55)=1,"適切に入力がされました。","申請しない場合は入力不要です。")</f>
        <v>申請しない場合は入力不要です。</v>
      </c>
      <c r="I55" s="880"/>
      <c r="J55" s="880"/>
      <c r="K55" s="880"/>
      <c r="L55" s="880"/>
      <c r="M55" s="880"/>
      <c r="N55" s="880"/>
      <c r="O55" s="880"/>
      <c r="P55" s="880"/>
      <c r="Q55" s="880"/>
      <c r="R55" s="234"/>
      <c r="S55" s="234"/>
      <c r="T55" s="234"/>
      <c r="U55" s="234"/>
      <c r="V55" s="234"/>
      <c r="W55" s="234"/>
      <c r="X55" s="234"/>
      <c r="Y55" s="234"/>
      <c r="Z55" s="596" t="str">
        <f xml:space="preserve">
IF(SUM(COUNTIF(F55,"○"),COUNTIF(P56,"○"),COUNTIF(AD58:AE62,"○"))=7,"○",
IF(SUM(COUNTIF(F55,"×"),COUNTIF(P56,"×"),COUNTIF(AD58:AE62,"×"))&gt;=1,"×",
IF(SUM(COUNTIF(F55,"◎"),COUNTIF(P56,"◎"),COUNTIF(AD58:AE62,"◎"))&lt;&gt;7,"×",
IF(SUM(COUNTIF(F55,"◎"),COUNTIF(P56,"◎"),COUNTIF(AD58:AE62,"◎"))=7,"◎"))))</f>
        <v>○</v>
      </c>
      <c r="AA55" s="858"/>
      <c r="AB55" s="858"/>
      <c r="AC55" s="858"/>
      <c r="AD55" s="890" t="str">
        <f xml:space="preserve">
IF(SUM(COUNTIF(F55,"○"),COUNTIF(P56,"○"),COUNTIF(AD58:AE62,"○"))=7,"申請しない場合は入力不要です。",
IF(SUM(COUNTIF(F55,"×"),COUNTIF(P56,"×"),COUNTIF(AD58:AE62,"×"))&gt;=1,"【要修正】入力不十分な箇所があります。（「×」表示の箇所を確認。）",
IF(SUM(COUNTIF(F55,"◎"),COUNTIF(P56,"◎"),COUNTIF(AD58:AE62,"◎"))&lt;&gt;7,"【要修正】入力不十分な箇所があります。（全て「◎」であるか確認。）",
IF(SUM(COUNTIF(F55,"◎"),COUNTIF(P56,"◎"),COUNTIF(AD58:AE62,"◎"))=7,"適切に入力がされました。"))))</f>
        <v>申請しない場合は入力不要です。</v>
      </c>
      <c r="AE55" s="891"/>
      <c r="AF55" s="891"/>
      <c r="AG55" s="891"/>
      <c r="AH55" s="891"/>
      <c r="AI55" s="891"/>
      <c r="AJ55" s="891"/>
      <c r="AK55" s="891"/>
      <c r="AL55" s="891"/>
      <c r="AM55" s="891"/>
      <c r="AN55" s="891"/>
      <c r="AO55" s="891"/>
      <c r="AP55" s="891"/>
      <c r="AQ55" s="891"/>
      <c r="AR55" s="891"/>
      <c r="AS55" s="891"/>
      <c r="AT55" s="891"/>
      <c r="AU55" s="891"/>
      <c r="AV55" s="234"/>
    </row>
    <row r="56" spans="1:52" ht="23.15" customHeight="1" x14ac:dyDescent="0.65">
      <c r="A56" s="234"/>
      <c r="B56" s="596" t="s">
        <v>435</v>
      </c>
      <c r="C56" s="596"/>
      <c r="D56" s="596"/>
      <c r="E56" s="596"/>
      <c r="F56" s="360" t="s">
        <v>431</v>
      </c>
      <c r="G56" s="385"/>
      <c r="H56" s="360" t="s">
        <v>432</v>
      </c>
      <c r="I56" s="385"/>
      <c r="J56" s="360" t="s">
        <v>433</v>
      </c>
      <c r="K56" s="385"/>
      <c r="L56" s="360" t="s">
        <v>434</v>
      </c>
      <c r="M56" s="596" t="s">
        <v>441</v>
      </c>
      <c r="N56" s="596"/>
      <c r="O56" s="596"/>
      <c r="P56" s="596" t="str">
        <f xml:space="preserve">
IF(COUNTA(G56,I56,K56)=0,"○",
IF(COUNTA(G56,I56,K56)&lt;&gt;3,"×",
IF(はじめに入力してください!$H$33="事前協議なし",
IF(OR(AZ56&lt;テーブル!$D$31,AZ56&gt;テーブル!$D$32),"×",
IF(AND(AZ56&gt;=テーブル!$D$31,AZ56&lt;=テーブル!$D$32),"◎")),"")&amp;
IF(はじめに入力してください!$H$33="事前協議あり",
IF(OR(AZ56&lt;テーブル!$F$20,AZ56&gt;テーブル!$F$21),"×",
IF(AND(AZ56&gt;=テーブル!$F$20,AZ56&lt;=テーブル!$F$21),"◎")),"")))</f>
        <v>○</v>
      </c>
      <c r="Q56" s="596"/>
      <c r="R56" s="886" t="str">
        <f xml:space="preserve">
IF(COUNTA(G56,I56,K56)=0,"申請しない場合は入力不要です。",
IF(COUNTA(G56,I56,K56)&lt;&gt;3,"【要修正】入力が不十分です。",
IF(はじめに入力してください!$H$33="事前協議なし",
IF(OR(AZ56&lt;テーブル!$D$31,AZ56&gt;テーブル!$D$32),"【注意】整備完了日が補助対象期間外であるため、補助対象外となります。（本項目は入力しないようにしてください。)",
IF(AND(AZ56&gt;=テーブル!$D$31,AZ56&lt;=テーブル!$D$32),"適切に入力がされました。")),"")&amp;
IF(はじめに入力してください!$H$33="事前協議あり",
IF(OR(AZ56&lt;テーブル!$F$20,AZ56&gt;テーブル!$F$21),"【注意】整備完了日が補助対象期間外であるため、補助対象外となります。（本項目は入力しないようにしてください。)",
IF(AND(AZ56&gt;=テーブル!$F$20,AZ56&lt;=テーブル!$F$21),"適切に入力がされました。")),"")))</f>
        <v>申請しない場合は入力不要です。</v>
      </c>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234"/>
      <c r="AZ56" s="348" t="str">
        <f xml:space="preserve">
IF(COUNTA(G56,I56,K56)=0,"○",
IF(COUNTA(G56,I56,K56)&lt;&gt;3,"×",
IF(COUNTA(G56,I56,K56)=3,DATE(IF(G56=5,2023,IF(G56=6,2024)),I56,K56))))</f>
        <v>○</v>
      </c>
    </row>
    <row r="57" spans="1:52" ht="19.3" x14ac:dyDescent="0.65">
      <c r="A57" s="234"/>
      <c r="B57" s="604" t="s">
        <v>178</v>
      </c>
      <c r="C57" s="878"/>
      <c r="D57" s="878"/>
      <c r="E57" s="878"/>
      <c r="F57" s="878"/>
      <c r="G57" s="878"/>
      <c r="H57" s="878"/>
      <c r="I57" s="879"/>
      <c r="J57" s="596" t="s">
        <v>346</v>
      </c>
      <c r="K57" s="858"/>
      <c r="L57" s="858"/>
      <c r="M57" s="880"/>
      <c r="N57" s="596" t="s">
        <v>251</v>
      </c>
      <c r="O57" s="858"/>
      <c r="P57" s="858"/>
      <c r="Q57" s="880"/>
      <c r="R57" s="596" t="s">
        <v>174</v>
      </c>
      <c r="S57" s="858"/>
      <c r="T57" s="858"/>
      <c r="U57" s="880"/>
      <c r="V57" s="604" t="s">
        <v>175</v>
      </c>
      <c r="W57" s="878"/>
      <c r="X57" s="878"/>
      <c r="Y57" s="879"/>
      <c r="Z57" s="604" t="s">
        <v>182</v>
      </c>
      <c r="AA57" s="878"/>
      <c r="AB57" s="878"/>
      <c r="AC57" s="879"/>
      <c r="AD57" s="604" t="s">
        <v>43</v>
      </c>
      <c r="AE57" s="879"/>
      <c r="AF57" s="892" t="s">
        <v>70</v>
      </c>
      <c r="AG57" s="893"/>
      <c r="AH57" s="893"/>
      <c r="AI57" s="893"/>
      <c r="AJ57" s="893"/>
      <c r="AK57" s="893"/>
      <c r="AL57" s="893"/>
      <c r="AM57" s="893"/>
      <c r="AN57" s="893"/>
      <c r="AO57" s="893"/>
      <c r="AP57" s="893"/>
      <c r="AQ57" s="893"/>
      <c r="AR57" s="893"/>
      <c r="AS57" s="893"/>
      <c r="AT57" s="893"/>
      <c r="AU57" s="894"/>
      <c r="AV57" s="234"/>
    </row>
    <row r="58" spans="1:52" ht="19.3" x14ac:dyDescent="0.65">
      <c r="A58" s="234"/>
      <c r="B58" s="864" t="s">
        <v>173</v>
      </c>
      <c r="C58" s="865"/>
      <c r="D58" s="865"/>
      <c r="E58" s="865"/>
      <c r="F58" s="865"/>
      <c r="G58" s="865"/>
      <c r="H58" s="865"/>
      <c r="I58" s="866"/>
      <c r="J58" s="884"/>
      <c r="K58" s="885"/>
      <c r="L58" s="885"/>
      <c r="M58" s="885"/>
      <c r="N58" s="884"/>
      <c r="O58" s="885"/>
      <c r="P58" s="885"/>
      <c r="Q58" s="885"/>
      <c r="R58" s="870">
        <f>ROUNDDOWN(J58*N58/(100*100),2)</f>
        <v>0</v>
      </c>
      <c r="S58" s="871"/>
      <c r="T58" s="871"/>
      <c r="U58" s="871"/>
      <c r="V58" s="875" t="s">
        <v>176</v>
      </c>
      <c r="W58" s="876"/>
      <c r="X58" s="876"/>
      <c r="Y58" s="877"/>
      <c r="Z58" s="875" t="s">
        <v>176</v>
      </c>
      <c r="AA58" s="876"/>
      <c r="AB58" s="876"/>
      <c r="AC58" s="877"/>
      <c r="AD58" s="875" t="str">
        <f xml:space="preserve">
IF(COUNTA(J58:Q58)=0,"○",
IF(COUNTA(J58:Q58)=2,"◎",
IF(COUNTA(J58:Q58)=1,"×")))</f>
        <v>○</v>
      </c>
      <c r="AE58" s="877"/>
      <c r="AF58" s="864" t="str">
        <f xml:space="preserve">
IF(COUNTA(J58:Q58)=0,"申請しない場合は入力不要です。",
IF(COUNTA(J58:Q58)=2,"適切に入力がされました。",
IF(COUNTA(J58:Q58)=1,"【要修正】縦横の寸法をいずれも入力してください。")))</f>
        <v>申請しない場合は入力不要です。</v>
      </c>
      <c r="AG58" s="865"/>
      <c r="AH58" s="865"/>
      <c r="AI58" s="865"/>
      <c r="AJ58" s="865"/>
      <c r="AK58" s="865"/>
      <c r="AL58" s="865"/>
      <c r="AM58" s="865"/>
      <c r="AN58" s="865"/>
      <c r="AO58" s="865"/>
      <c r="AP58" s="865"/>
      <c r="AQ58" s="865"/>
      <c r="AR58" s="865"/>
      <c r="AS58" s="865"/>
      <c r="AT58" s="865"/>
      <c r="AU58" s="866"/>
      <c r="AV58" s="234"/>
    </row>
    <row r="59" spans="1:52" ht="19.3" x14ac:dyDescent="0.65">
      <c r="A59" s="234"/>
      <c r="B59" s="864" t="s">
        <v>177</v>
      </c>
      <c r="C59" s="865"/>
      <c r="D59" s="865"/>
      <c r="E59" s="865"/>
      <c r="F59" s="865"/>
      <c r="G59" s="865"/>
      <c r="H59" s="865"/>
      <c r="I59" s="866"/>
      <c r="J59" s="884"/>
      <c r="K59" s="885"/>
      <c r="L59" s="885"/>
      <c r="M59" s="885"/>
      <c r="N59" s="884"/>
      <c r="O59" s="885"/>
      <c r="P59" s="885"/>
      <c r="Q59" s="885"/>
      <c r="R59" s="870">
        <f>ROUNDDOWN(J59*N59/(100*100),2)</f>
        <v>0</v>
      </c>
      <c r="S59" s="871"/>
      <c r="T59" s="871"/>
      <c r="U59" s="871"/>
      <c r="V59" s="872">
        <f>IFERROR(R59/$R$58,0)</f>
        <v>0</v>
      </c>
      <c r="W59" s="873"/>
      <c r="X59" s="873"/>
      <c r="Y59" s="874"/>
      <c r="Z59" s="872">
        <v>0.15</v>
      </c>
      <c r="AA59" s="873"/>
      <c r="AB59" s="873"/>
      <c r="AC59" s="874"/>
      <c r="AD59" s="875" t="str">
        <f xml:space="preserve">
IF(COUNTA(J59:Q59)=0,"○",
IF(COUNTA(J59:Q59)=1,"×",
IF(AND($AZ$56&lt;DATE(2023,7,12),R59=0),"×",
IF(AND($AZ$56&lt;DATE(2023,7,12),R59&gt;0),"◎",
IF(AND($AZ$56&gt;=DATE(2023,7,12),COUNTA(J59:Q59)=2,V59&gt;=Z59),"◎",
IF(AND($AZ$56&gt;=DATE(2023,7,12),COUNTA(J59:Q59)=2,V59&lt;Z59),"×"))))))</f>
        <v>○</v>
      </c>
      <c r="AE59" s="945"/>
      <c r="AF59" s="864" t="str">
        <f xml:space="preserve">
IF(COUNTA(J59:Q59)=0,"申請しない場合は入力不要です。",
IF(COUNTA(J59:Q59)=1,"【要修正】縦横の寸法をいずれも入力してください。",
IF(AND($AZ$56&lt;DATE(2023,7,12),R59=0),"【要修正】縦横の寸法をいずれも入力してください。",
IF(AND($AZ$56&lt;DATE(2023,7,12),R59&gt;0),"適切に入力がされました。",
IF(AND($AZ$56&gt;=DATE(2023,7,12),COUNTA(J59:Q59)=2,V59&gt;=Z59),"適切に入力がされました。",
IF(AND($AZ$56&gt;=DATE(2023,7,12),COUNTA(J59:Q59)=2,V59&lt;Z59),"【要修正】「発熱外来の明示部分」の専有割合が必要割合を下回っています。"))))))</f>
        <v>申請しない場合は入力不要です。</v>
      </c>
      <c r="AG59" s="865"/>
      <c r="AH59" s="865"/>
      <c r="AI59" s="865"/>
      <c r="AJ59" s="865"/>
      <c r="AK59" s="865"/>
      <c r="AL59" s="865"/>
      <c r="AM59" s="865"/>
      <c r="AN59" s="865"/>
      <c r="AO59" s="865"/>
      <c r="AP59" s="865"/>
      <c r="AQ59" s="865"/>
      <c r="AR59" s="865"/>
      <c r="AS59" s="865"/>
      <c r="AT59" s="865"/>
      <c r="AU59" s="866"/>
      <c r="AV59" s="234"/>
    </row>
    <row r="60" spans="1:52" ht="19.3" x14ac:dyDescent="0.65">
      <c r="A60" s="234"/>
      <c r="B60" s="864" t="s">
        <v>366</v>
      </c>
      <c r="C60" s="865"/>
      <c r="D60" s="865"/>
      <c r="E60" s="865"/>
      <c r="F60" s="865"/>
      <c r="G60" s="865"/>
      <c r="H60" s="865"/>
      <c r="I60" s="866"/>
      <c r="J60" s="884"/>
      <c r="K60" s="885"/>
      <c r="L60" s="885"/>
      <c r="M60" s="885"/>
      <c r="N60" s="884"/>
      <c r="O60" s="885"/>
      <c r="P60" s="885"/>
      <c r="Q60" s="885"/>
      <c r="R60" s="870">
        <f t="shared" ref="R60:R61" si="9">ROUNDDOWN(J60*N60/(100*100),2)</f>
        <v>0</v>
      </c>
      <c r="S60" s="871"/>
      <c r="T60" s="871"/>
      <c r="U60" s="871"/>
      <c r="V60" s="872">
        <f t="shared" ref="V60:V61" si="10">IFERROR(R60/$R$58,0)</f>
        <v>0</v>
      </c>
      <c r="W60" s="873"/>
      <c r="X60" s="873"/>
      <c r="Y60" s="874"/>
      <c r="Z60" s="872">
        <v>0.15</v>
      </c>
      <c r="AA60" s="873"/>
      <c r="AB60" s="873"/>
      <c r="AC60" s="874"/>
      <c r="AD60" s="875" t="str">
        <f t="shared" ref="AD60:AD61" si="11" xml:space="preserve">
IF(COUNTA(J60:Q60)=0,"○",
IF(COUNTA(J60:Q60)=1,"×",
IF(AND($AZ$56&lt;DATE(2023,7,12),R60=0),"×",
IF(AND($AZ$56&lt;DATE(2023,7,12),R60&gt;0),"◎",
IF(AND($AZ$56&gt;=DATE(2023,7,12),COUNTA(J60:Q60)=2,V60&gt;=Z60),"◎",
IF(AND($AZ$56&gt;=DATE(2023,7,12),COUNTA(J60:Q60)=2,V60&lt;Z60),"×"))))))</f>
        <v>○</v>
      </c>
      <c r="AE60" s="877"/>
      <c r="AF60" s="864" t="str">
        <f t="shared" ref="AF60:AF61" si="12" xml:space="preserve">
IF(COUNTA(J60:Q60)=0,"申請しない場合は入力不要です。",
IF(COUNTA(J60:Q60)=1,"【要修正】縦横の寸法をいずれも入力してください。",
IF(AND($AZ$56&lt;DATE(2023,7,12),R60=0),"【要修正】縦横の寸法をいずれも入力してください。",
IF(AND($AZ$56&lt;DATE(2023,7,12),R60&gt;0),"適切に入力がされました。",
IF(AND($AZ$56&gt;=DATE(2023,7,12),COUNTA(J60:Q60)=2,V60&gt;=Z60),"適切に入力がされました。",
IF(AND($AZ$56&gt;=DATE(2023,7,12),COUNTA(J60:Q60)=2,V60&lt;Z60),"【要修正】「発熱外来の明示部分」の専有割合が必要割合を下回っています。"))))))</f>
        <v>申請しない場合は入力不要です。</v>
      </c>
      <c r="AG60" s="865"/>
      <c r="AH60" s="865"/>
      <c r="AI60" s="865"/>
      <c r="AJ60" s="865"/>
      <c r="AK60" s="865"/>
      <c r="AL60" s="865"/>
      <c r="AM60" s="865"/>
      <c r="AN60" s="865"/>
      <c r="AO60" s="865"/>
      <c r="AP60" s="865"/>
      <c r="AQ60" s="865"/>
      <c r="AR60" s="865"/>
      <c r="AS60" s="865"/>
      <c r="AT60" s="865"/>
      <c r="AU60" s="866"/>
      <c r="AV60" s="234"/>
    </row>
    <row r="61" spans="1:52" ht="19.3" x14ac:dyDescent="0.65">
      <c r="A61" s="234"/>
      <c r="B61" s="864" t="s">
        <v>367</v>
      </c>
      <c r="C61" s="865"/>
      <c r="D61" s="865"/>
      <c r="E61" s="865"/>
      <c r="F61" s="865"/>
      <c r="G61" s="865"/>
      <c r="H61" s="865"/>
      <c r="I61" s="866"/>
      <c r="J61" s="884"/>
      <c r="K61" s="885"/>
      <c r="L61" s="885"/>
      <c r="M61" s="885"/>
      <c r="N61" s="884"/>
      <c r="O61" s="885"/>
      <c r="P61" s="885"/>
      <c r="Q61" s="885"/>
      <c r="R61" s="870">
        <f t="shared" si="9"/>
        <v>0</v>
      </c>
      <c r="S61" s="871"/>
      <c r="T61" s="871"/>
      <c r="U61" s="871"/>
      <c r="V61" s="872">
        <f t="shared" si="10"/>
        <v>0</v>
      </c>
      <c r="W61" s="873"/>
      <c r="X61" s="873"/>
      <c r="Y61" s="874"/>
      <c r="Z61" s="872">
        <v>0.3</v>
      </c>
      <c r="AA61" s="873"/>
      <c r="AB61" s="873"/>
      <c r="AC61" s="874"/>
      <c r="AD61" s="875" t="str">
        <f t="shared" si="11"/>
        <v>○</v>
      </c>
      <c r="AE61" s="877"/>
      <c r="AF61" s="864" t="str">
        <f t="shared" si="12"/>
        <v>申請しない場合は入力不要です。</v>
      </c>
      <c r="AG61" s="865"/>
      <c r="AH61" s="865"/>
      <c r="AI61" s="865"/>
      <c r="AJ61" s="865"/>
      <c r="AK61" s="865"/>
      <c r="AL61" s="865"/>
      <c r="AM61" s="865"/>
      <c r="AN61" s="865"/>
      <c r="AO61" s="865"/>
      <c r="AP61" s="865"/>
      <c r="AQ61" s="865"/>
      <c r="AR61" s="865"/>
      <c r="AS61" s="865"/>
      <c r="AT61" s="865"/>
      <c r="AU61" s="866"/>
      <c r="AV61" s="234"/>
    </row>
    <row r="62" spans="1:52" ht="19.3" x14ac:dyDescent="0.65">
      <c r="A62" s="234"/>
      <c r="B62" s="864" t="s">
        <v>102</v>
      </c>
      <c r="C62" s="865"/>
      <c r="D62" s="865"/>
      <c r="E62" s="865"/>
      <c r="F62" s="865"/>
      <c r="G62" s="865"/>
      <c r="H62" s="865"/>
      <c r="I62" s="866"/>
      <c r="J62" s="867" t="s">
        <v>176</v>
      </c>
      <c r="K62" s="868"/>
      <c r="L62" s="868"/>
      <c r="M62" s="869"/>
      <c r="N62" s="867" t="s">
        <v>176</v>
      </c>
      <c r="O62" s="868"/>
      <c r="P62" s="868"/>
      <c r="Q62" s="869"/>
      <c r="R62" s="870">
        <f>R58-SUM(R59:U61)</f>
        <v>0</v>
      </c>
      <c r="S62" s="871"/>
      <c r="T62" s="871"/>
      <c r="U62" s="871"/>
      <c r="V62" s="872">
        <f>IFERROR(R62/$R$58,0)</f>
        <v>0</v>
      </c>
      <c r="W62" s="873"/>
      <c r="X62" s="873"/>
      <c r="Y62" s="874"/>
      <c r="Z62" s="875" t="s">
        <v>176</v>
      </c>
      <c r="AA62" s="876"/>
      <c r="AB62" s="876"/>
      <c r="AC62" s="877"/>
      <c r="AD62" s="875" t="str">
        <f xml:space="preserve">
IF(COUNTIF(AD58:AE61,"○")=4,"○",
IF(COUNTIF(AD58:AE61,"×")&gt;=1,"×",
IF(AND(COUNTIF(AD58:AE61,"◎")=4,R62&lt;0),"×",
IF(AND(COUNTIF(AD58:AE61,"◎")=4,R62&gt;=0),"◎",
IF(AND(COUNTIF(AD58:AE61,"◎")&lt;&gt;4,R62&lt;0),"×",
IF(AND(COUNTIF(AD58:AE61,"◎")&lt;&gt;4,R62&gt;=0),"×"
))))))</f>
        <v>○</v>
      </c>
      <c r="AE62" s="877"/>
      <c r="AF62" s="864" t="str">
        <f xml:space="preserve">
IF(COUNTIF(AD58:AE61,"○")=4,"申請しない場合は入力不要です。",
IF(COUNTIF(AD58:AE61,"×")&gt;=1,"【要修正】入力不十分の箇所があります。",
IF(AND(COUNTIF(AD58:AE61,"◎")=4,R62&lt;0),"【要修正】各部分の面積の和が総面積を上回っています。",
IF(AND(COUNTIF(AD58:AE61,"◎")=4,R62&gt;=0),"適切に入力がされました。",
IF(AND(COUNTIF(AD58:AE61,"◎")&lt;&gt;4,R62&lt;0),"【要修正】入力不十分かつ各部分の面積の和が総面積を上回っています。",
IF(AND(COUNTIF(AD58:AE61,"◎")&lt;&gt;4,R62&gt;=0),"【要修正】入力不十分な箇所があります。"
))))))</f>
        <v>申請しない場合は入力不要です。</v>
      </c>
      <c r="AG62" s="865"/>
      <c r="AH62" s="865"/>
      <c r="AI62" s="865"/>
      <c r="AJ62" s="865"/>
      <c r="AK62" s="865"/>
      <c r="AL62" s="865"/>
      <c r="AM62" s="865"/>
      <c r="AN62" s="865"/>
      <c r="AO62" s="865"/>
      <c r="AP62" s="865"/>
      <c r="AQ62" s="865"/>
      <c r="AR62" s="865"/>
      <c r="AS62" s="865"/>
      <c r="AT62" s="865"/>
      <c r="AU62" s="866"/>
      <c r="AV62" s="234"/>
    </row>
    <row r="63" spans="1:52" ht="19.3" x14ac:dyDescent="0.65">
      <c r="A63" s="234"/>
      <c r="B63" s="247"/>
      <c r="C63" s="248"/>
      <c r="D63" s="248"/>
      <c r="E63" s="248"/>
      <c r="F63" s="248"/>
      <c r="G63" s="248"/>
      <c r="H63" s="248"/>
      <c r="I63" s="248"/>
      <c r="J63" s="249"/>
      <c r="K63" s="250"/>
      <c r="L63" s="250"/>
      <c r="M63" s="251"/>
      <c r="N63" s="249"/>
      <c r="O63" s="250"/>
      <c r="P63" s="250"/>
      <c r="Q63" s="251"/>
      <c r="R63" s="252"/>
      <c r="S63" s="253"/>
      <c r="T63" s="253"/>
      <c r="U63" s="253"/>
      <c r="V63" s="254"/>
      <c r="W63" s="255"/>
      <c r="X63" s="255"/>
      <c r="Y63" s="255"/>
      <c r="Z63" s="256"/>
      <c r="AA63" s="251"/>
      <c r="AB63" s="251"/>
      <c r="AC63" s="251"/>
      <c r="AD63" s="256"/>
      <c r="AE63" s="251"/>
      <c r="AF63" s="247"/>
      <c r="AG63" s="248"/>
      <c r="AH63" s="248"/>
      <c r="AI63" s="248"/>
      <c r="AJ63" s="248"/>
      <c r="AK63" s="248"/>
      <c r="AL63" s="248"/>
      <c r="AM63" s="248"/>
      <c r="AN63" s="248"/>
      <c r="AO63" s="248"/>
      <c r="AP63" s="248"/>
      <c r="AQ63" s="248"/>
      <c r="AR63" s="248"/>
      <c r="AS63" s="248"/>
      <c r="AT63" s="248"/>
      <c r="AU63" s="248"/>
      <c r="AV63" s="234"/>
    </row>
    <row r="64" spans="1:52" ht="19.3" x14ac:dyDescent="0.65">
      <c r="A64" s="234"/>
      <c r="B64" s="622" t="str">
        <f>"ウ．敷地内看板の場合　【総合判定】"&amp;Z67&amp;"："&amp;AD67</f>
        <v>ウ．敷地内看板の場合　【総合判定】○：申請しない場合は入力不要です。</v>
      </c>
      <c r="C64" s="859"/>
      <c r="D64" s="859"/>
      <c r="E64" s="859"/>
      <c r="F64" s="859"/>
      <c r="G64" s="859"/>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234"/>
    </row>
    <row r="65" spans="1:52" ht="19.3" hidden="1" x14ac:dyDescent="0.65">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row>
    <row r="66" spans="1:52" ht="19.3" x14ac:dyDescent="0.65">
      <c r="A66" s="234"/>
      <c r="B66" s="596" t="s">
        <v>183</v>
      </c>
      <c r="C66" s="858"/>
      <c r="D66" s="858"/>
      <c r="E66" s="858"/>
      <c r="F66" s="596" t="s">
        <v>43</v>
      </c>
      <c r="G66" s="858"/>
      <c r="H66" s="596" t="s">
        <v>70</v>
      </c>
      <c r="I66" s="858"/>
      <c r="J66" s="858"/>
      <c r="K66" s="858"/>
      <c r="L66" s="858"/>
      <c r="M66" s="858"/>
      <c r="N66" s="858"/>
      <c r="O66" s="858"/>
      <c r="P66" s="858"/>
      <c r="Q66" s="858"/>
      <c r="R66" s="234"/>
      <c r="S66" s="234"/>
      <c r="T66" s="234"/>
      <c r="U66" s="234"/>
      <c r="V66" s="234"/>
      <c r="W66" s="234"/>
      <c r="X66" s="234"/>
      <c r="Y66" s="234"/>
      <c r="Z66" s="596" t="s">
        <v>184</v>
      </c>
      <c r="AA66" s="858"/>
      <c r="AB66" s="858"/>
      <c r="AC66" s="858"/>
      <c r="AD66" s="596" t="s">
        <v>70</v>
      </c>
      <c r="AE66" s="858"/>
      <c r="AF66" s="858"/>
      <c r="AG66" s="858"/>
      <c r="AH66" s="858"/>
      <c r="AI66" s="858"/>
      <c r="AJ66" s="858"/>
      <c r="AK66" s="858"/>
      <c r="AL66" s="858"/>
      <c r="AM66" s="858"/>
      <c r="AN66" s="858"/>
      <c r="AO66" s="858"/>
      <c r="AP66" s="858"/>
      <c r="AQ66" s="858"/>
      <c r="AR66" s="858"/>
      <c r="AS66" s="858"/>
      <c r="AT66" s="858"/>
      <c r="AU66" s="858"/>
      <c r="AV66" s="234"/>
    </row>
    <row r="67" spans="1:52" ht="19.3" x14ac:dyDescent="0.65">
      <c r="A67" s="234"/>
      <c r="B67" s="888"/>
      <c r="C67" s="889"/>
      <c r="D67" s="889"/>
      <c r="E67" s="889"/>
      <c r="F67" s="596" t="str">
        <f>IF(COUNTA(B67)=1,"◎","○")</f>
        <v>○</v>
      </c>
      <c r="G67" s="858"/>
      <c r="H67" s="883" t="str">
        <f>IF(COUNTA(B67)=1,"適切に入力がされました。","申請しない場合は入力不要です。")</f>
        <v>申請しない場合は入力不要です。</v>
      </c>
      <c r="I67" s="880"/>
      <c r="J67" s="880"/>
      <c r="K67" s="880"/>
      <c r="L67" s="880"/>
      <c r="M67" s="880"/>
      <c r="N67" s="880"/>
      <c r="O67" s="880"/>
      <c r="P67" s="880"/>
      <c r="Q67" s="880"/>
      <c r="R67" s="234"/>
      <c r="S67" s="234"/>
      <c r="T67" s="234"/>
      <c r="U67" s="234"/>
      <c r="V67" s="234"/>
      <c r="W67" s="234"/>
      <c r="X67" s="234"/>
      <c r="Y67" s="234"/>
      <c r="Z67" s="596" t="str">
        <f xml:space="preserve">
IF(SUM(COUNTIF(F67,"○"),COUNTIF(P68,"○"),COUNTIF(AD70:AE74,"○"))=7,"○",
IF(SUM(COUNTIF(F67,"×"),COUNTIF(P68,"×"),COUNTIF(AD70:AE74,"×"))&gt;=1,"×",
IF(SUM(COUNTIF(F67,"◎"),COUNTIF(P68,"◎"),COUNTIF(AD70:AE74,"◎"))&lt;&gt;7,"×",
IF(SUM(COUNTIF(F67,"◎"),COUNTIF(P68,"◎"),COUNTIF(AD70:AE74,"◎"))=7,"◎"))))</f>
        <v>○</v>
      </c>
      <c r="AA67" s="858"/>
      <c r="AB67" s="858"/>
      <c r="AC67" s="858"/>
      <c r="AD67" s="890" t="str">
        <f xml:space="preserve">
IF(SUM(COUNTIF(F67,"○"),COUNTIF(P68,"○"),COUNTIF(AD70:AE74,"○"))=7,"申請しない場合は入力不要です。",
IF(SUM(COUNTIF(F67,"×"),COUNTIF(P68,"×"),COUNTIF(AD70:AE74,"×"))&gt;=1,"【要修正】入力不十分な箇所があります。（「×」表示の箇所を確認。）",
IF(SUM(COUNTIF(F67,"◎"),COUNTIF(P68,"◎"),COUNTIF(AD70:AE74,"◎"))&lt;&gt;7,"【要修正】入力不十分な箇所があります。（全て「◎」であるか確認。）",
IF(SUM(COUNTIF(F67,"◎"),COUNTIF(P68,"◎"),COUNTIF(AD70:AE74,"◎"))=7,"適切に入力がされました。"))))</f>
        <v>申請しない場合は入力不要です。</v>
      </c>
      <c r="AE67" s="891"/>
      <c r="AF67" s="891"/>
      <c r="AG67" s="891"/>
      <c r="AH67" s="891"/>
      <c r="AI67" s="891"/>
      <c r="AJ67" s="891"/>
      <c r="AK67" s="891"/>
      <c r="AL67" s="891"/>
      <c r="AM67" s="891"/>
      <c r="AN67" s="891"/>
      <c r="AO67" s="891"/>
      <c r="AP67" s="891"/>
      <c r="AQ67" s="891"/>
      <c r="AR67" s="891"/>
      <c r="AS67" s="891"/>
      <c r="AT67" s="891"/>
      <c r="AU67" s="891"/>
      <c r="AV67" s="234"/>
      <c r="AZ67" s="348"/>
    </row>
    <row r="68" spans="1:52" ht="21.45" customHeight="1" x14ac:dyDescent="0.65">
      <c r="A68" s="234"/>
      <c r="B68" s="596" t="s">
        <v>435</v>
      </c>
      <c r="C68" s="596"/>
      <c r="D68" s="596"/>
      <c r="E68" s="596"/>
      <c r="F68" s="360" t="s">
        <v>431</v>
      </c>
      <c r="G68" s="385"/>
      <c r="H68" s="360" t="s">
        <v>432</v>
      </c>
      <c r="I68" s="385"/>
      <c r="J68" s="360" t="s">
        <v>433</v>
      </c>
      <c r="K68" s="385"/>
      <c r="L68" s="360" t="s">
        <v>434</v>
      </c>
      <c r="M68" s="596" t="s">
        <v>441</v>
      </c>
      <c r="N68" s="596"/>
      <c r="O68" s="596"/>
      <c r="P68" s="596" t="str">
        <f xml:space="preserve">
IF(COUNTA(G68,I68,K68)=0,"○",
IF(COUNTA(G68,I68,K68)&lt;&gt;3,"×",
IF(はじめに入力してください!$H$33="事前協議なし",
IF(OR(AZ68&lt;テーブル!$D$31,AZ68&gt;テーブル!$D$32),"×",
IF(AND(AZ68&gt;=テーブル!$D$31,AZ68&lt;=テーブル!$D$32),"◎")),"")&amp;
IF(はじめに入力してください!$H$33="事前協議あり",
IF(OR(AZ68&lt;テーブル!$F$20,AZ68&gt;テーブル!$F$21),"×",
IF(AND(AZ68&gt;=テーブル!$F$20,AZ68&lt;=テーブル!$F$21),"◎")),"")))</f>
        <v>○</v>
      </c>
      <c r="Q68" s="596"/>
      <c r="R68" s="886" t="str">
        <f xml:space="preserve">
IF(COUNTA(G68,I68,K68)=0,"申請しない場合は入力不要です。",
IF(COUNTA(G68,I68,K68)&lt;&gt;3,"【要修正】入力が不十分です。",
IF(はじめに入力してください!$H$33="事前協議なし",
IF(OR(AZ68&lt;テーブル!$D$31,AZ68&gt;テーブル!$D$32),"【注意】整備完了日が補助対象期間外であるため、補助対象外となります。（本項目は入力しないようにしてください。)",
IF(AND(AZ68&gt;=テーブル!$D$31,AZ68&lt;=テーブル!$D$32),"適切に入力がされました。")),"")&amp;
IF(はじめに入力してください!$H$33="事前協議あり",
IF(OR(AZ68&lt;テーブル!$F$20,AZ68&gt;テーブル!$F$21),"【注意】整備完了日が補助対象期間外であるため、補助対象外となります。（本項目は入力しないようにしてください。)",
IF(AND(AZ68&gt;=テーブル!$F$20,AZ68&lt;=テーブル!$F$21),"適切に入力がされました。")),"")))</f>
        <v>申請しない場合は入力不要です。</v>
      </c>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7"/>
      <c r="AQ68" s="887"/>
      <c r="AR68" s="887"/>
      <c r="AS68" s="887"/>
      <c r="AT68" s="887"/>
      <c r="AU68" s="887"/>
      <c r="AV68" s="234"/>
      <c r="AZ68" s="348" t="str">
        <f xml:space="preserve">
IF(COUNTA(G68,I68,K68)=0,"○",
IF(COUNTA(G68,I68,K68)&lt;&gt;3,"×",
IF(COUNTA(G68,I68,K68)=3,DATE(IF(G68=5,2023,IF(G68=6,2024)),I68,K68))))</f>
        <v>○</v>
      </c>
    </row>
    <row r="69" spans="1:52" ht="19.3" x14ac:dyDescent="0.65">
      <c r="A69" s="234"/>
      <c r="B69" s="604" t="s">
        <v>178</v>
      </c>
      <c r="C69" s="878"/>
      <c r="D69" s="878"/>
      <c r="E69" s="878"/>
      <c r="F69" s="878"/>
      <c r="G69" s="878"/>
      <c r="H69" s="878"/>
      <c r="I69" s="879"/>
      <c r="J69" s="596" t="s">
        <v>346</v>
      </c>
      <c r="K69" s="858"/>
      <c r="L69" s="858"/>
      <c r="M69" s="880"/>
      <c r="N69" s="596" t="s">
        <v>251</v>
      </c>
      <c r="O69" s="858"/>
      <c r="P69" s="858"/>
      <c r="Q69" s="880"/>
      <c r="R69" s="596" t="s">
        <v>174</v>
      </c>
      <c r="S69" s="858"/>
      <c r="T69" s="858"/>
      <c r="U69" s="880"/>
      <c r="V69" s="604" t="s">
        <v>175</v>
      </c>
      <c r="W69" s="878"/>
      <c r="X69" s="878"/>
      <c r="Y69" s="879"/>
      <c r="Z69" s="604" t="s">
        <v>182</v>
      </c>
      <c r="AA69" s="878"/>
      <c r="AB69" s="878"/>
      <c r="AC69" s="879"/>
      <c r="AD69" s="604" t="s">
        <v>43</v>
      </c>
      <c r="AE69" s="879"/>
      <c r="AF69" s="892" t="s">
        <v>70</v>
      </c>
      <c r="AG69" s="893"/>
      <c r="AH69" s="893"/>
      <c r="AI69" s="893"/>
      <c r="AJ69" s="893"/>
      <c r="AK69" s="893"/>
      <c r="AL69" s="893"/>
      <c r="AM69" s="893"/>
      <c r="AN69" s="893"/>
      <c r="AO69" s="893"/>
      <c r="AP69" s="893"/>
      <c r="AQ69" s="893"/>
      <c r="AR69" s="893"/>
      <c r="AS69" s="893"/>
      <c r="AT69" s="893"/>
      <c r="AU69" s="894"/>
      <c r="AV69" s="234"/>
    </row>
    <row r="70" spans="1:52" ht="19.3" x14ac:dyDescent="0.65">
      <c r="A70" s="234"/>
      <c r="B70" s="864" t="s">
        <v>173</v>
      </c>
      <c r="C70" s="865"/>
      <c r="D70" s="865"/>
      <c r="E70" s="865"/>
      <c r="F70" s="865"/>
      <c r="G70" s="865"/>
      <c r="H70" s="865"/>
      <c r="I70" s="866"/>
      <c r="J70" s="884"/>
      <c r="K70" s="885"/>
      <c r="L70" s="885"/>
      <c r="M70" s="885"/>
      <c r="N70" s="884"/>
      <c r="O70" s="885"/>
      <c r="P70" s="885"/>
      <c r="Q70" s="885"/>
      <c r="R70" s="870">
        <f>ROUNDDOWN(J70*N70/(100*100),2)</f>
        <v>0</v>
      </c>
      <c r="S70" s="871"/>
      <c r="T70" s="871"/>
      <c r="U70" s="871"/>
      <c r="V70" s="875" t="s">
        <v>176</v>
      </c>
      <c r="W70" s="876"/>
      <c r="X70" s="876"/>
      <c r="Y70" s="877"/>
      <c r="Z70" s="875" t="s">
        <v>176</v>
      </c>
      <c r="AA70" s="876"/>
      <c r="AB70" s="876"/>
      <c r="AC70" s="877"/>
      <c r="AD70" s="875" t="str">
        <f xml:space="preserve">
IF(COUNTA(J70:Q70)=0,"○",
IF(COUNTA(J70:Q70)=2,"◎",
IF(COUNTA(J70:Q70)=1,"×")))</f>
        <v>○</v>
      </c>
      <c r="AE70" s="877"/>
      <c r="AF70" s="864" t="str">
        <f xml:space="preserve">
IF(COUNTA(J70:Q70)=0,"申請しない場合は入力不要です。",
IF(COUNTA(J70:Q70)=2,"適切に入力がされました。",
IF(COUNTA(J70:Q70)=1,"【要修正】縦横の寸法をいずれも入力してください。")))</f>
        <v>申請しない場合は入力不要です。</v>
      </c>
      <c r="AG70" s="865"/>
      <c r="AH70" s="865"/>
      <c r="AI70" s="865"/>
      <c r="AJ70" s="865"/>
      <c r="AK70" s="865"/>
      <c r="AL70" s="865"/>
      <c r="AM70" s="865"/>
      <c r="AN70" s="865"/>
      <c r="AO70" s="865"/>
      <c r="AP70" s="865"/>
      <c r="AQ70" s="865"/>
      <c r="AR70" s="865"/>
      <c r="AS70" s="865"/>
      <c r="AT70" s="865"/>
      <c r="AU70" s="866"/>
      <c r="AV70" s="234"/>
    </row>
    <row r="71" spans="1:52" ht="19.3" x14ac:dyDescent="0.65">
      <c r="A71" s="234"/>
      <c r="B71" s="864" t="s">
        <v>177</v>
      </c>
      <c r="C71" s="865"/>
      <c r="D71" s="865"/>
      <c r="E71" s="865"/>
      <c r="F71" s="865"/>
      <c r="G71" s="865"/>
      <c r="H71" s="865"/>
      <c r="I71" s="866"/>
      <c r="J71" s="884"/>
      <c r="K71" s="885"/>
      <c r="L71" s="885"/>
      <c r="M71" s="885"/>
      <c r="N71" s="884"/>
      <c r="O71" s="885"/>
      <c r="P71" s="885"/>
      <c r="Q71" s="885"/>
      <c r="R71" s="870">
        <f>ROUNDDOWN(J71*N71/(100*100),2)</f>
        <v>0</v>
      </c>
      <c r="S71" s="871"/>
      <c r="T71" s="871"/>
      <c r="U71" s="871"/>
      <c r="V71" s="872">
        <f>IFERROR(R71/$R$70,0)</f>
        <v>0</v>
      </c>
      <c r="W71" s="873"/>
      <c r="X71" s="873"/>
      <c r="Y71" s="874"/>
      <c r="Z71" s="872">
        <v>0.15</v>
      </c>
      <c r="AA71" s="873"/>
      <c r="AB71" s="873"/>
      <c r="AC71" s="874"/>
      <c r="AD71" s="875" t="str">
        <f xml:space="preserve">
IF(COUNTA(J71:Q71)=0,"○",
IF(COUNTA(J71:Q71)=1,"×",
IF(AND($AZ$68&lt;DATE(2023,7,12),R71=0),"×",
IF(AND($AZ$68&lt;DATE(2023,7,12),R71&gt;0),"◎",
IF(AND($AZ$68&gt;=DATE(2023,7,12),COUNTA(J71:Q71)=2,V71&gt;=Z71),"◎",
IF(AND($AZ$68&gt;=DATE(2023,7,12),COUNTA(J71:Q71)=2,V71&lt;Z71),"×"))))))</f>
        <v>○</v>
      </c>
      <c r="AE71" s="877"/>
      <c r="AF71" s="864" t="str">
        <f xml:space="preserve">
IF(COUNTA(J71:Q71)=0,"申請しない場合は入力不要です。",
IF(COUNTA(J71:Q71)=1,"【要修正】縦横の寸法をいずれも入力してください。",
IF(AND($AZ$68&lt;DATE(2023,7,12),R71=0),"【要修正】縦横の寸法をいずれも入力してください。",
IF(AND($AZ$68&lt;DATE(2023,7,12),R71&gt;0),"適切に入力がされました。",
IF(AND($AZ$68&gt;=DATE(2023,7,12),COUNTA(J71:Q71)=2,V71&gt;=Z71),"適切に入力がされました。",
IF(AND($AZ$68&gt;=DATE(2023,7,12),COUNTA(J71:Q71)=2,V71&lt;Z71),"【要修正】「発熱外来の明示部分」の専有割合が必要割合を下回っています。"))))))</f>
        <v>申請しない場合は入力不要です。</v>
      </c>
      <c r="AG71" s="865"/>
      <c r="AH71" s="865"/>
      <c r="AI71" s="865"/>
      <c r="AJ71" s="865"/>
      <c r="AK71" s="865"/>
      <c r="AL71" s="865"/>
      <c r="AM71" s="865"/>
      <c r="AN71" s="865"/>
      <c r="AO71" s="865"/>
      <c r="AP71" s="865"/>
      <c r="AQ71" s="865"/>
      <c r="AR71" s="865"/>
      <c r="AS71" s="865"/>
      <c r="AT71" s="865"/>
      <c r="AU71" s="866"/>
      <c r="AV71" s="234"/>
    </row>
    <row r="72" spans="1:52" ht="19.3" x14ac:dyDescent="0.65">
      <c r="A72" s="234"/>
      <c r="B72" s="864" t="s">
        <v>181</v>
      </c>
      <c r="C72" s="865"/>
      <c r="D72" s="865"/>
      <c r="E72" s="865"/>
      <c r="F72" s="865"/>
      <c r="G72" s="865"/>
      <c r="H72" s="865"/>
      <c r="I72" s="866"/>
      <c r="J72" s="884"/>
      <c r="K72" s="885"/>
      <c r="L72" s="885"/>
      <c r="M72" s="885"/>
      <c r="N72" s="884"/>
      <c r="O72" s="885"/>
      <c r="P72" s="885"/>
      <c r="Q72" s="885"/>
      <c r="R72" s="870">
        <f t="shared" ref="R72:R73" si="13">ROUNDDOWN(J72*N72/(100*100),2)</f>
        <v>0</v>
      </c>
      <c r="S72" s="871"/>
      <c r="T72" s="871"/>
      <c r="U72" s="871"/>
      <c r="V72" s="872">
        <f t="shared" ref="V72:V74" si="14">IFERROR(R72/$R$70,0)</f>
        <v>0</v>
      </c>
      <c r="W72" s="873"/>
      <c r="X72" s="873"/>
      <c r="Y72" s="874"/>
      <c r="Z72" s="872">
        <v>0.3</v>
      </c>
      <c r="AA72" s="873"/>
      <c r="AB72" s="873"/>
      <c r="AC72" s="874"/>
      <c r="AD72" s="875" t="str">
        <f t="shared" ref="AD72:AD73" si="15" xml:space="preserve">
IF(COUNTA(J72:Q72)=0,"○",
IF(COUNTA(J72:Q72)=1,"×",
IF(AND($AZ$68&lt;DATE(2023,7,12),R72=0),"×",
IF(AND($AZ$68&lt;DATE(2023,7,12),R72&gt;0),"◎",
IF(AND($AZ$68&gt;=DATE(2023,7,12),COUNTA(J72:Q72)=2,V72&gt;=Z72),"◎",
IF(AND($AZ$68&gt;=DATE(2023,7,12),COUNTA(J72:Q72)=2,V72&lt;Z72),"×"))))))</f>
        <v>○</v>
      </c>
      <c r="AE72" s="877"/>
      <c r="AF72" s="864" t="str">
        <f t="shared" ref="AF72:AF73" si="16" xml:space="preserve">
IF(COUNTA(J72:Q72)=0,"申請しない場合は入力不要です。",
IF(COUNTA(J72:Q72)=1,"【要修正】縦横の寸法をいずれも入力してください。",
IF(AND($AZ$68&lt;DATE(2023,7,12),R72=0),"【要修正】縦横の寸法をいずれも入力してください。",
IF(AND($AZ$68&lt;DATE(2023,7,12),R72&gt;0),"適切に入力がされました。",
IF(AND($AZ$68&gt;=DATE(2023,7,12),COUNTA(J72:Q72)=2,V72&gt;=Z72),"適切に入力がされました。",
IF(AND($AZ$68&gt;=DATE(2023,7,12),COUNTA(J72:Q72)=2,V72&lt;Z72),"【要修正】「発熱外来の明示部分」の専有割合が必要割合を下回っています。"))))))</f>
        <v>申請しない場合は入力不要です。</v>
      </c>
      <c r="AG72" s="865"/>
      <c r="AH72" s="865"/>
      <c r="AI72" s="865"/>
      <c r="AJ72" s="865"/>
      <c r="AK72" s="865"/>
      <c r="AL72" s="865"/>
      <c r="AM72" s="865"/>
      <c r="AN72" s="865"/>
      <c r="AO72" s="865"/>
      <c r="AP72" s="865"/>
      <c r="AQ72" s="865"/>
      <c r="AR72" s="865"/>
      <c r="AS72" s="865"/>
      <c r="AT72" s="865"/>
      <c r="AU72" s="866"/>
      <c r="AV72" s="234"/>
    </row>
    <row r="73" spans="1:52" ht="19.3" x14ac:dyDescent="0.65">
      <c r="A73" s="234"/>
      <c r="B73" s="864" t="s">
        <v>180</v>
      </c>
      <c r="C73" s="865"/>
      <c r="D73" s="865"/>
      <c r="E73" s="865"/>
      <c r="F73" s="865"/>
      <c r="G73" s="865"/>
      <c r="H73" s="865"/>
      <c r="I73" s="866"/>
      <c r="J73" s="884"/>
      <c r="K73" s="885"/>
      <c r="L73" s="885"/>
      <c r="M73" s="885"/>
      <c r="N73" s="884"/>
      <c r="O73" s="885"/>
      <c r="P73" s="885"/>
      <c r="Q73" s="885"/>
      <c r="R73" s="870">
        <f t="shared" si="13"/>
        <v>0</v>
      </c>
      <c r="S73" s="871"/>
      <c r="T73" s="871"/>
      <c r="U73" s="871"/>
      <c r="V73" s="872">
        <f t="shared" si="14"/>
        <v>0</v>
      </c>
      <c r="W73" s="873"/>
      <c r="X73" s="873"/>
      <c r="Y73" s="874"/>
      <c r="Z73" s="872">
        <v>0.3</v>
      </c>
      <c r="AA73" s="873"/>
      <c r="AB73" s="873"/>
      <c r="AC73" s="874"/>
      <c r="AD73" s="875" t="str">
        <f t="shared" si="15"/>
        <v>○</v>
      </c>
      <c r="AE73" s="877"/>
      <c r="AF73" s="864" t="str">
        <f t="shared" si="16"/>
        <v>申請しない場合は入力不要です。</v>
      </c>
      <c r="AG73" s="865"/>
      <c r="AH73" s="865"/>
      <c r="AI73" s="865"/>
      <c r="AJ73" s="865"/>
      <c r="AK73" s="865"/>
      <c r="AL73" s="865"/>
      <c r="AM73" s="865"/>
      <c r="AN73" s="865"/>
      <c r="AO73" s="865"/>
      <c r="AP73" s="865"/>
      <c r="AQ73" s="865"/>
      <c r="AR73" s="865"/>
      <c r="AS73" s="865"/>
      <c r="AT73" s="865"/>
      <c r="AU73" s="866"/>
      <c r="AV73" s="234"/>
    </row>
    <row r="74" spans="1:52" ht="19.3" x14ac:dyDescent="0.65">
      <c r="A74" s="234"/>
      <c r="B74" s="864" t="s">
        <v>102</v>
      </c>
      <c r="C74" s="865"/>
      <c r="D74" s="865"/>
      <c r="E74" s="865"/>
      <c r="F74" s="865"/>
      <c r="G74" s="865"/>
      <c r="H74" s="865"/>
      <c r="I74" s="866"/>
      <c r="J74" s="867" t="s">
        <v>176</v>
      </c>
      <c r="K74" s="868"/>
      <c r="L74" s="868"/>
      <c r="M74" s="869"/>
      <c r="N74" s="867" t="s">
        <v>176</v>
      </c>
      <c r="O74" s="868"/>
      <c r="P74" s="868"/>
      <c r="Q74" s="869"/>
      <c r="R74" s="870">
        <f>R70-SUM(R71:U73)</f>
        <v>0</v>
      </c>
      <c r="S74" s="871"/>
      <c r="T74" s="871"/>
      <c r="U74" s="871"/>
      <c r="V74" s="872">
        <f t="shared" si="14"/>
        <v>0</v>
      </c>
      <c r="W74" s="873"/>
      <c r="X74" s="873"/>
      <c r="Y74" s="874"/>
      <c r="Z74" s="875" t="s">
        <v>176</v>
      </c>
      <c r="AA74" s="876"/>
      <c r="AB74" s="876"/>
      <c r="AC74" s="877"/>
      <c r="AD74" s="875" t="str">
        <f xml:space="preserve">
IF(COUNTIF(AD70:AE73,"○")=4,"○",
IF(COUNTIF(AD70:AE73,"×")&gt;=1,"×",
IF(AND(COUNTIF(AD70:AE73,"◎")=4,R74&lt;0),"×",
IF(AND(COUNTIF(AD70:AE73,"◎")=4,R74&gt;=0),"◎",
IF(AND(COUNTIF(AD70:AE73,"◎")&lt;&gt;4,R74&lt;0),"×",
IF(AND(COUNTIF(AD70:AE73,"◎")&lt;&gt;4,R74&gt;=0),"×"
))))))</f>
        <v>○</v>
      </c>
      <c r="AE74" s="877"/>
      <c r="AF74" s="864" t="str">
        <f xml:space="preserve">
IF(COUNTIF(AD70:AE73,"○")=4,"申請しない場合は入力不要です。",
IF(COUNTIF(AD70:AE73,"×")&gt;=1,"【要修正】入力不十分の箇所があります。",
IF(AND(COUNTIF(AD70:AE73,"◎")=4,R74&lt;0),"【要修正】各部分の面積の和が総面積を上回っています。",
IF(AND(COUNTIF(AD70:AE73,"◎")=4,R74&gt;=0),"適切に入力がされました。",
IF(AND(COUNTIF(AD70:AE73,"◎")&lt;&gt;4,R74&lt;0),"【要修正】入力不十分かつ各部分の面積の和が総面積を上回っています。",
IF(AND(COUNTIF(AD70:AE73,"◎")&lt;&gt;4,R74&gt;=0),"【要修正】入力不十分な箇所があります。"
))))))</f>
        <v>申請しない場合は入力不要です。</v>
      </c>
      <c r="AG74" s="865"/>
      <c r="AH74" s="865"/>
      <c r="AI74" s="865"/>
      <c r="AJ74" s="865"/>
      <c r="AK74" s="865"/>
      <c r="AL74" s="865"/>
      <c r="AM74" s="865"/>
      <c r="AN74" s="865"/>
      <c r="AO74" s="865"/>
      <c r="AP74" s="865"/>
      <c r="AQ74" s="865"/>
      <c r="AR74" s="865"/>
      <c r="AS74" s="865"/>
      <c r="AT74" s="865"/>
      <c r="AU74" s="866"/>
      <c r="AV74" s="234"/>
    </row>
    <row r="75" spans="1:52" ht="11.7" customHeight="1" x14ac:dyDescent="0.65">
      <c r="A75" s="234"/>
      <c r="B75" s="247"/>
      <c r="C75" s="248"/>
      <c r="D75" s="248"/>
      <c r="E75" s="248"/>
      <c r="F75" s="248"/>
      <c r="G75" s="248"/>
      <c r="H75" s="248"/>
      <c r="I75" s="248"/>
      <c r="J75" s="249"/>
      <c r="K75" s="250"/>
      <c r="L75" s="250"/>
      <c r="M75" s="251"/>
      <c r="N75" s="249"/>
      <c r="O75" s="250"/>
      <c r="P75" s="250"/>
      <c r="Q75" s="251"/>
      <c r="R75" s="252"/>
      <c r="S75" s="253"/>
      <c r="T75" s="253"/>
      <c r="U75" s="253"/>
      <c r="V75" s="254"/>
      <c r="W75" s="255"/>
      <c r="X75" s="255"/>
      <c r="Y75" s="255"/>
      <c r="Z75" s="256"/>
      <c r="AA75" s="251"/>
      <c r="AB75" s="251"/>
      <c r="AC75" s="251"/>
      <c r="AD75" s="256"/>
      <c r="AE75" s="251"/>
      <c r="AF75" s="247"/>
      <c r="AG75" s="248"/>
      <c r="AH75" s="248"/>
      <c r="AI75" s="248"/>
      <c r="AJ75" s="248"/>
      <c r="AK75" s="248"/>
      <c r="AL75" s="248"/>
      <c r="AM75" s="248"/>
      <c r="AN75" s="248"/>
      <c r="AO75" s="248"/>
      <c r="AP75" s="248"/>
      <c r="AQ75" s="248"/>
      <c r="AR75" s="248"/>
      <c r="AS75" s="248"/>
      <c r="AT75" s="248"/>
      <c r="AU75" s="248"/>
      <c r="AV75" s="234"/>
    </row>
    <row r="76" spans="1:52" ht="19.3" x14ac:dyDescent="0.65">
      <c r="A76" s="622" t="str">
        <f ca="1">"（２）経費等内訳　【総合判定】"&amp;AH85</f>
        <v>（２）経費等内訳　【総合判定】○</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258"/>
    </row>
    <row r="77" spans="1:52" ht="10" customHeight="1" x14ac:dyDescent="0.65">
      <c r="A77" s="257"/>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row>
    <row r="78" spans="1:52" ht="19.3" x14ac:dyDescent="0.65">
      <c r="A78" s="234"/>
      <c r="B78" s="596" t="s">
        <v>185</v>
      </c>
      <c r="C78" s="858"/>
      <c r="D78" s="858"/>
      <c r="E78" s="858"/>
      <c r="F78" s="858"/>
      <c r="G78" s="596" t="s">
        <v>187</v>
      </c>
      <c r="H78" s="858"/>
      <c r="I78" s="858"/>
      <c r="J78" s="596" t="s">
        <v>347</v>
      </c>
      <c r="K78" s="858"/>
      <c r="L78" s="858"/>
      <c r="M78" s="858"/>
      <c r="N78" s="596" t="s">
        <v>284</v>
      </c>
      <c r="O78" s="858"/>
      <c r="P78" s="858"/>
      <c r="Q78" s="858"/>
      <c r="R78" s="604" t="s">
        <v>369</v>
      </c>
      <c r="S78" s="654"/>
      <c r="T78" s="604" t="s">
        <v>43</v>
      </c>
      <c r="U78" s="879"/>
      <c r="V78" s="234"/>
      <c r="W78" s="234"/>
      <c r="X78" s="596" t="s">
        <v>185</v>
      </c>
      <c r="Y78" s="858"/>
      <c r="Z78" s="858"/>
      <c r="AA78" s="858"/>
      <c r="AB78" s="596" t="s">
        <v>188</v>
      </c>
      <c r="AC78" s="858"/>
      <c r="AD78" s="858"/>
      <c r="AE78" s="596" t="s">
        <v>190</v>
      </c>
      <c r="AF78" s="858"/>
      <c r="AG78" s="858"/>
      <c r="AH78" s="596" t="s">
        <v>43</v>
      </c>
      <c r="AI78" s="858"/>
      <c r="AJ78" s="604" t="s">
        <v>70</v>
      </c>
      <c r="AK78" s="653"/>
      <c r="AL78" s="653"/>
      <c r="AM78" s="653"/>
      <c r="AN78" s="653"/>
      <c r="AO78" s="653"/>
      <c r="AP78" s="653"/>
      <c r="AQ78" s="653"/>
      <c r="AR78" s="653"/>
      <c r="AS78" s="653"/>
      <c r="AT78" s="653"/>
      <c r="AU78" s="654"/>
      <c r="AV78" s="298"/>
      <c r="AX78" s="234"/>
      <c r="AY78" s="220" t="s">
        <v>247</v>
      </c>
    </row>
    <row r="79" spans="1:52" ht="19.399999999999999" customHeight="1" x14ac:dyDescent="0.65">
      <c r="A79" s="234"/>
      <c r="B79" s="910"/>
      <c r="C79" s="911"/>
      <c r="D79" s="911"/>
      <c r="E79" s="911"/>
      <c r="F79" s="912"/>
      <c r="G79" s="902"/>
      <c r="H79" s="903"/>
      <c r="I79" s="903"/>
      <c r="J79" s="917"/>
      <c r="K79" s="918"/>
      <c r="L79" s="918"/>
      <c r="M79" s="918"/>
      <c r="N79" s="913">
        <f>ROUNDDOWN(J79*1.1,0)</f>
        <v>0</v>
      </c>
      <c r="O79" s="914"/>
      <c r="P79" s="914"/>
      <c r="Q79" s="914"/>
      <c r="R79" s="937">
        <f>G79*N79</f>
        <v>0</v>
      </c>
      <c r="S79" s="938"/>
      <c r="T79" s="604" t="str">
        <f xml:space="preserve">
IF(COUNTA(B79:M79)=0,"○",
IF(AND(COUNTA(B79:M79)&gt;=1,COUNTA(B79:M79)&lt;3),"×",
IF(COUNTA(B79:M79)=3,"◎")))</f>
        <v>○</v>
      </c>
      <c r="U79" s="879"/>
      <c r="V79" s="259">
        <f t="shared" ref="V79:V85" si="17">IF(T79="◎",G79,0)</f>
        <v>0</v>
      </c>
      <c r="W79" s="234"/>
      <c r="X79" s="883" t="s">
        <v>189</v>
      </c>
      <c r="Y79" s="880"/>
      <c r="Z79" s="880"/>
      <c r="AA79" s="880"/>
      <c r="AB79" s="881">
        <f>SUM(B30,B42)</f>
        <v>0</v>
      </c>
      <c r="AC79" s="635"/>
      <c r="AD79" s="635"/>
      <c r="AE79" s="881">
        <f ca="1">SUMIF(B79:F85,"道路看板",V79:V85)</f>
        <v>0</v>
      </c>
      <c r="AF79" s="635"/>
      <c r="AG79" s="635"/>
      <c r="AH79" s="596" t="str">
        <f ca="1" xml:space="preserve">
IF(AND(AB79=0,AE79=0),"○",
IF(OR(AE79&lt;&gt;AB79),"×",
IF(AND(AB79&lt;&gt;0,AE79&lt;&gt;0,AE79=AB79),"◎")))</f>
        <v>○</v>
      </c>
      <c r="AI79" s="624"/>
      <c r="AJ79" s="929" t="str">
        <f ca="1" xml:space="preserve">
IF(AND(AB79=0,AE79=0),"申請しない場合は入力不要です。",
IF(OR(AE79&lt;&gt;AB79),"【要修正】（１）で入力の道路看板の個所数と一致しません。",
IF(AND(AB79&lt;&gt;0,AE79&lt;&gt;0,AE79=AB79),"（１）で入力の道路看板の個所数と一致しました。")))</f>
        <v>申請しない場合は入力不要です。</v>
      </c>
      <c r="AK79" s="930"/>
      <c r="AL79" s="930"/>
      <c r="AM79" s="930"/>
      <c r="AN79" s="930"/>
      <c r="AO79" s="930"/>
      <c r="AP79" s="930"/>
      <c r="AQ79" s="930"/>
      <c r="AR79" s="930"/>
      <c r="AS79" s="930"/>
      <c r="AT79" s="930"/>
      <c r="AU79" s="931"/>
      <c r="AV79" s="299"/>
      <c r="AW79" s="244"/>
      <c r="AX79" s="234"/>
      <c r="AY79" s="220" t="s">
        <v>248</v>
      </c>
    </row>
    <row r="80" spans="1:52" ht="19.3" x14ac:dyDescent="0.65">
      <c r="A80" s="234"/>
      <c r="B80" s="900"/>
      <c r="C80" s="901"/>
      <c r="D80" s="901"/>
      <c r="E80" s="901"/>
      <c r="F80" s="901"/>
      <c r="G80" s="902"/>
      <c r="H80" s="903"/>
      <c r="I80" s="903"/>
      <c r="J80" s="917"/>
      <c r="K80" s="918"/>
      <c r="L80" s="918"/>
      <c r="M80" s="918"/>
      <c r="N80" s="913">
        <f t="shared" ref="N80:N85" si="18">ROUNDDOWN(J80*1.1,0)</f>
        <v>0</v>
      </c>
      <c r="O80" s="914"/>
      <c r="P80" s="914"/>
      <c r="Q80" s="914"/>
      <c r="R80" s="937">
        <f t="shared" ref="R80:R85" si="19">G80*N80</f>
        <v>0</v>
      </c>
      <c r="S80" s="938"/>
      <c r="T80" s="604" t="str">
        <f t="shared" ref="T80:T85" si="20" xml:space="preserve">
IF(COUNTA(B80:M80)=0,"○",
IF(AND(COUNTA(B80:M80)&gt;=1,COUNTA(B80:M80)&lt;3),"×",
IF(COUNTA(B80:M80)=3,"◎")))</f>
        <v>○</v>
      </c>
      <c r="U80" s="879"/>
      <c r="V80" s="259">
        <f t="shared" si="17"/>
        <v>0</v>
      </c>
      <c r="W80" s="234"/>
      <c r="X80" s="635"/>
      <c r="Y80" s="635"/>
      <c r="Z80" s="635"/>
      <c r="AA80" s="635"/>
      <c r="AB80" s="635"/>
      <c r="AC80" s="635"/>
      <c r="AD80" s="635"/>
      <c r="AE80" s="635"/>
      <c r="AF80" s="635"/>
      <c r="AG80" s="635"/>
      <c r="AH80" s="624"/>
      <c r="AI80" s="624"/>
      <c r="AJ80" s="932"/>
      <c r="AK80" s="933"/>
      <c r="AL80" s="933"/>
      <c r="AM80" s="933"/>
      <c r="AN80" s="933"/>
      <c r="AO80" s="933"/>
      <c r="AP80" s="933"/>
      <c r="AQ80" s="933"/>
      <c r="AR80" s="933"/>
      <c r="AS80" s="933"/>
      <c r="AT80" s="933"/>
      <c r="AU80" s="934"/>
      <c r="AV80" s="299"/>
      <c r="AW80" s="300"/>
      <c r="AX80" s="234"/>
      <c r="AY80" s="220" t="s">
        <v>354</v>
      </c>
    </row>
    <row r="81" spans="1:52" ht="19.399999999999999" customHeight="1" x14ac:dyDescent="0.65">
      <c r="A81" s="234"/>
      <c r="B81" s="900"/>
      <c r="C81" s="901"/>
      <c r="D81" s="901"/>
      <c r="E81" s="901"/>
      <c r="F81" s="901"/>
      <c r="G81" s="902"/>
      <c r="H81" s="903"/>
      <c r="I81" s="903"/>
      <c r="J81" s="917"/>
      <c r="K81" s="918"/>
      <c r="L81" s="918"/>
      <c r="M81" s="918"/>
      <c r="N81" s="913">
        <f t="shared" si="18"/>
        <v>0</v>
      </c>
      <c r="O81" s="914"/>
      <c r="P81" s="914"/>
      <c r="Q81" s="914"/>
      <c r="R81" s="937">
        <f t="shared" si="19"/>
        <v>0</v>
      </c>
      <c r="S81" s="938"/>
      <c r="T81" s="604" t="str">
        <f t="shared" si="20"/>
        <v>○</v>
      </c>
      <c r="U81" s="879"/>
      <c r="V81" s="259">
        <f t="shared" si="17"/>
        <v>0</v>
      </c>
      <c r="W81" s="234"/>
      <c r="X81" s="883" t="s">
        <v>186</v>
      </c>
      <c r="Y81" s="883"/>
      <c r="Z81" s="883"/>
      <c r="AA81" s="883"/>
      <c r="AB81" s="881">
        <f>B55</f>
        <v>0</v>
      </c>
      <c r="AC81" s="882"/>
      <c r="AD81" s="882"/>
      <c r="AE81" s="881">
        <f ca="1">SUMIF(B79:F85,"電柱広告",V79:V85)</f>
        <v>0</v>
      </c>
      <c r="AF81" s="882"/>
      <c r="AG81" s="882"/>
      <c r="AH81" s="596" t="str">
        <f ca="1" xml:space="preserve">
IF(AND(AB81=0,AE81=0,AE81=AB81),"○",
IF(OR(AE81&lt;&gt;AB81),"×",
IF(AND(AB81&lt;&gt;0,AE81&lt;&gt;0,AE81=AB81),"◎")))</f>
        <v>○</v>
      </c>
      <c r="AI81" s="624"/>
      <c r="AJ81" s="929" t="str">
        <f ca="1" xml:space="preserve">
IF(AND(AB81=0,AE81=0),"申請しない場合は入力不要です。",
IF(OR(AE81&lt;&gt;AB81),"【要修正】（１）で入力の電柱広告の個所数と一致しません。",
IF(AND(AB81&lt;&gt;0,AE81&lt;&gt;0,AE81=AB81),"（１）で入力の電柱広告の個所数と一致しました。")))</f>
        <v>申請しない場合は入力不要です。</v>
      </c>
      <c r="AK81" s="930"/>
      <c r="AL81" s="930"/>
      <c r="AM81" s="930"/>
      <c r="AN81" s="930"/>
      <c r="AO81" s="930"/>
      <c r="AP81" s="930"/>
      <c r="AQ81" s="930"/>
      <c r="AR81" s="930"/>
      <c r="AS81" s="930"/>
      <c r="AT81" s="930"/>
      <c r="AU81" s="931"/>
      <c r="AV81" s="299"/>
      <c r="AW81" s="300"/>
      <c r="AX81" s="234"/>
    </row>
    <row r="82" spans="1:52" ht="19.3" x14ac:dyDescent="0.65">
      <c r="A82" s="234"/>
      <c r="B82" s="900"/>
      <c r="C82" s="901"/>
      <c r="D82" s="901"/>
      <c r="E82" s="901"/>
      <c r="F82" s="901"/>
      <c r="G82" s="904"/>
      <c r="H82" s="905"/>
      <c r="I82" s="906"/>
      <c r="J82" s="920"/>
      <c r="K82" s="921"/>
      <c r="L82" s="921"/>
      <c r="M82" s="922"/>
      <c r="N82" s="913">
        <f t="shared" si="18"/>
        <v>0</v>
      </c>
      <c r="O82" s="914"/>
      <c r="P82" s="914"/>
      <c r="Q82" s="914"/>
      <c r="R82" s="937">
        <f t="shared" si="19"/>
        <v>0</v>
      </c>
      <c r="S82" s="938"/>
      <c r="T82" s="604" t="str">
        <f t="shared" si="20"/>
        <v>○</v>
      </c>
      <c r="U82" s="879"/>
      <c r="V82" s="259">
        <f t="shared" si="17"/>
        <v>0</v>
      </c>
      <c r="W82" s="234"/>
      <c r="X82" s="882"/>
      <c r="Y82" s="882"/>
      <c r="Z82" s="882"/>
      <c r="AA82" s="882"/>
      <c r="AB82" s="882"/>
      <c r="AC82" s="882"/>
      <c r="AD82" s="882"/>
      <c r="AE82" s="882"/>
      <c r="AF82" s="882"/>
      <c r="AG82" s="882"/>
      <c r="AH82" s="624"/>
      <c r="AI82" s="624"/>
      <c r="AJ82" s="932"/>
      <c r="AK82" s="933"/>
      <c r="AL82" s="933"/>
      <c r="AM82" s="933"/>
      <c r="AN82" s="933"/>
      <c r="AO82" s="933"/>
      <c r="AP82" s="933"/>
      <c r="AQ82" s="933"/>
      <c r="AR82" s="933"/>
      <c r="AS82" s="933"/>
      <c r="AT82" s="933"/>
      <c r="AU82" s="934"/>
      <c r="AV82" s="299"/>
      <c r="AW82" s="300"/>
      <c r="AX82" s="372"/>
      <c r="AY82" s="370"/>
      <c r="AZ82" s="325" t="s">
        <v>489</v>
      </c>
    </row>
    <row r="83" spans="1:52" ht="19.399999999999999" customHeight="1" x14ac:dyDescent="0.65">
      <c r="A83" s="234"/>
      <c r="B83" s="900"/>
      <c r="C83" s="901"/>
      <c r="D83" s="901"/>
      <c r="E83" s="901"/>
      <c r="F83" s="901"/>
      <c r="G83" s="904"/>
      <c r="H83" s="905"/>
      <c r="I83" s="906"/>
      <c r="J83" s="920"/>
      <c r="K83" s="921"/>
      <c r="L83" s="921"/>
      <c r="M83" s="922"/>
      <c r="N83" s="913">
        <f t="shared" si="18"/>
        <v>0</v>
      </c>
      <c r="O83" s="914"/>
      <c r="P83" s="914"/>
      <c r="Q83" s="914"/>
      <c r="R83" s="937">
        <f t="shared" si="19"/>
        <v>0</v>
      </c>
      <c r="S83" s="938"/>
      <c r="T83" s="604" t="str">
        <f t="shared" si="20"/>
        <v>○</v>
      </c>
      <c r="U83" s="879"/>
      <c r="V83" s="259">
        <f t="shared" si="17"/>
        <v>0</v>
      </c>
      <c r="W83" s="234"/>
      <c r="X83" s="850" t="s">
        <v>354</v>
      </c>
      <c r="Y83" s="851"/>
      <c r="Z83" s="851"/>
      <c r="AA83" s="852"/>
      <c r="AB83" s="856">
        <f>B67</f>
        <v>0</v>
      </c>
      <c r="AC83" s="857"/>
      <c r="AD83" s="857"/>
      <c r="AE83" s="856">
        <f ca="1">SUMIF(B79:F85,"敷地内看板",V79:V85)</f>
        <v>0</v>
      </c>
      <c r="AF83" s="856"/>
      <c r="AG83" s="856"/>
      <c r="AH83" s="596" t="str">
        <f ca="1" xml:space="preserve">
IF(AND(AB83=0,AE83=0,AE83=AB83),"○",
IF(OR(AE83&lt;&gt;AB83),"×",
IF(AND(AB83&lt;&gt;0,AE83&lt;&gt;0,AE83=AB83),"◎")))</f>
        <v>○</v>
      </c>
      <c r="AI83" s="624"/>
      <c r="AJ83" s="929" t="str">
        <f ca="1" xml:space="preserve">
IF(AND(AB83=0,AE83=0),"申請しない場合は入力不要です。",
IF(OR(AE83&lt;&gt;AB83),"【要修正】（１）で入力の敷地内看板の個所数と一致しません。",
IF(AND(AB83&lt;&gt;0,AE83&lt;&gt;0,AE83=AB83),"（１）で入力の敷地内看板の個所数と一致しました。")))</f>
        <v>申請しない場合は入力不要です。</v>
      </c>
      <c r="AK83" s="930"/>
      <c r="AL83" s="930"/>
      <c r="AM83" s="930"/>
      <c r="AN83" s="930"/>
      <c r="AO83" s="930"/>
      <c r="AP83" s="930"/>
      <c r="AQ83" s="930"/>
      <c r="AR83" s="930"/>
      <c r="AS83" s="930"/>
      <c r="AT83" s="930"/>
      <c r="AU83" s="931"/>
      <c r="AV83" s="299"/>
      <c r="AW83" s="300"/>
      <c r="AX83" s="369" t="s">
        <v>485</v>
      </c>
      <c r="AY83" s="371"/>
      <c r="AZ83" s="325"/>
    </row>
    <row r="84" spans="1:52" ht="19.3" x14ac:dyDescent="0.65">
      <c r="A84" s="234"/>
      <c r="B84" s="900"/>
      <c r="C84" s="901"/>
      <c r="D84" s="901"/>
      <c r="E84" s="901"/>
      <c r="F84" s="901"/>
      <c r="G84" s="904"/>
      <c r="H84" s="905"/>
      <c r="I84" s="906"/>
      <c r="J84" s="920"/>
      <c r="K84" s="921"/>
      <c r="L84" s="921"/>
      <c r="M84" s="922"/>
      <c r="N84" s="913">
        <f t="shared" si="18"/>
        <v>0</v>
      </c>
      <c r="O84" s="914"/>
      <c r="P84" s="914"/>
      <c r="Q84" s="914"/>
      <c r="R84" s="937">
        <f t="shared" si="19"/>
        <v>0</v>
      </c>
      <c r="S84" s="938"/>
      <c r="T84" s="604" t="str">
        <f t="shared" si="20"/>
        <v>○</v>
      </c>
      <c r="U84" s="879"/>
      <c r="V84" s="259">
        <f t="shared" si="17"/>
        <v>0</v>
      </c>
      <c r="W84" s="234"/>
      <c r="X84" s="853"/>
      <c r="Y84" s="854"/>
      <c r="Z84" s="854"/>
      <c r="AA84" s="855"/>
      <c r="AB84" s="857"/>
      <c r="AC84" s="857"/>
      <c r="AD84" s="857"/>
      <c r="AE84" s="856"/>
      <c r="AF84" s="856"/>
      <c r="AG84" s="856"/>
      <c r="AH84" s="624"/>
      <c r="AI84" s="624"/>
      <c r="AJ84" s="932"/>
      <c r="AK84" s="933"/>
      <c r="AL84" s="933"/>
      <c r="AM84" s="933"/>
      <c r="AN84" s="933"/>
      <c r="AO84" s="933"/>
      <c r="AP84" s="933"/>
      <c r="AQ84" s="933"/>
      <c r="AR84" s="933"/>
      <c r="AS84" s="933"/>
      <c r="AT84" s="933"/>
      <c r="AU84" s="934"/>
      <c r="AV84" s="299"/>
      <c r="AW84" s="300"/>
      <c r="AX84" s="369" t="s">
        <v>486</v>
      </c>
      <c r="AY84" s="371"/>
      <c r="AZ84" s="325"/>
    </row>
    <row r="85" spans="1:52" ht="19.75" thickBot="1" x14ac:dyDescent="0.7">
      <c r="A85" s="234"/>
      <c r="B85" s="900"/>
      <c r="C85" s="901"/>
      <c r="D85" s="901"/>
      <c r="E85" s="901"/>
      <c r="F85" s="901"/>
      <c r="G85" s="907"/>
      <c r="H85" s="908"/>
      <c r="I85" s="909"/>
      <c r="J85" s="897"/>
      <c r="K85" s="898"/>
      <c r="L85" s="898"/>
      <c r="M85" s="899"/>
      <c r="N85" s="915">
        <f t="shared" si="18"/>
        <v>0</v>
      </c>
      <c r="O85" s="916"/>
      <c r="P85" s="916"/>
      <c r="Q85" s="916"/>
      <c r="R85" s="937">
        <f t="shared" si="19"/>
        <v>0</v>
      </c>
      <c r="S85" s="938"/>
      <c r="T85" s="826" t="str">
        <f t="shared" si="20"/>
        <v>○</v>
      </c>
      <c r="U85" s="919"/>
      <c r="V85" s="259">
        <f t="shared" si="17"/>
        <v>0</v>
      </c>
      <c r="W85" s="234"/>
      <c r="X85" s="596" t="s">
        <v>193</v>
      </c>
      <c r="Y85" s="858"/>
      <c r="Z85" s="858"/>
      <c r="AA85" s="858"/>
      <c r="AB85" s="858"/>
      <c r="AC85" s="858"/>
      <c r="AD85" s="858"/>
      <c r="AE85" s="858"/>
      <c r="AF85" s="858"/>
      <c r="AG85" s="858"/>
      <c r="AH85" s="596" t="str">
        <f ca="1" xml:space="preserve">
IF(COUNTIF(AH79:AI84,"○")=3,"○",
IF(COUNTIF(AH79:AI84,"×")&gt;=1,"×",
IF(AND(COUNTIF(AH79:AI84,"◎")&gt;=1,COUNTIF(AH79:AI84,"×")=0),"◎")))</f>
        <v>○</v>
      </c>
      <c r="AI85" s="858"/>
      <c r="AJ85" s="925"/>
      <c r="AK85" s="926"/>
      <c r="AL85" s="926"/>
      <c r="AM85" s="926"/>
      <c r="AN85" s="926"/>
      <c r="AO85" s="926"/>
      <c r="AP85" s="926"/>
      <c r="AQ85" s="926"/>
      <c r="AR85" s="926"/>
      <c r="AS85" s="926"/>
      <c r="AT85" s="926"/>
      <c r="AU85" s="927"/>
      <c r="AV85" s="301"/>
      <c r="AW85" s="300"/>
      <c r="AX85" s="369" t="s">
        <v>487</v>
      </c>
      <c r="AY85" s="371"/>
      <c r="AZ85" s="325"/>
    </row>
    <row r="86" spans="1:52" ht="19.75" thickTop="1" x14ac:dyDescent="0.65">
      <c r="A86" s="234"/>
      <c r="B86" s="895" t="s">
        <v>2</v>
      </c>
      <c r="C86" s="896"/>
      <c r="D86" s="896"/>
      <c r="E86" s="896"/>
      <c r="F86" s="896"/>
      <c r="G86" s="896"/>
      <c r="H86" s="896"/>
      <c r="I86" s="896"/>
      <c r="J86" s="896"/>
      <c r="K86" s="896"/>
      <c r="L86" s="896"/>
      <c r="M86" s="896"/>
      <c r="N86" s="941">
        <f>SUM(N79:Q85)</f>
        <v>0</v>
      </c>
      <c r="O86" s="942"/>
      <c r="P86" s="942"/>
      <c r="Q86" s="942"/>
      <c r="R86" s="935">
        <f>SUM(R79:S85)</f>
        <v>0</v>
      </c>
      <c r="S86" s="936"/>
      <c r="T86" s="939" t="s">
        <v>176</v>
      </c>
      <c r="U86" s="940"/>
      <c r="V86" s="234"/>
      <c r="W86" s="234"/>
      <c r="X86" s="635"/>
      <c r="Y86" s="635"/>
      <c r="Z86" s="635"/>
      <c r="AA86" s="635"/>
      <c r="AB86" s="635"/>
      <c r="AC86" s="635"/>
      <c r="AD86" s="635"/>
      <c r="AE86" s="635"/>
      <c r="AF86" s="635"/>
      <c r="AG86" s="635"/>
      <c r="AH86" s="635"/>
      <c r="AI86" s="635"/>
      <c r="AJ86" s="886"/>
      <c r="AK86" s="630"/>
      <c r="AL86" s="630"/>
      <c r="AM86" s="630"/>
      <c r="AN86" s="630"/>
      <c r="AO86" s="630"/>
      <c r="AP86" s="630"/>
      <c r="AQ86" s="630"/>
      <c r="AR86" s="630"/>
      <c r="AS86" s="630"/>
      <c r="AT86" s="630"/>
      <c r="AU86" s="928"/>
      <c r="AV86" s="302"/>
      <c r="AW86" s="297"/>
      <c r="AX86" s="369" t="s">
        <v>488</v>
      </c>
      <c r="AY86" s="371"/>
      <c r="AZ86" s="325"/>
    </row>
    <row r="87" spans="1:52" ht="19.3" hidden="1" x14ac:dyDescent="0.65">
      <c r="A87" s="234"/>
      <c r="B87" s="256"/>
      <c r="C87" s="251"/>
      <c r="D87" s="251"/>
      <c r="E87" s="251"/>
      <c r="F87" s="251"/>
      <c r="G87" s="251"/>
      <c r="H87" s="251"/>
      <c r="I87" s="251"/>
      <c r="J87" s="251"/>
      <c r="K87" s="251"/>
      <c r="L87" s="251"/>
      <c r="M87" s="251"/>
      <c r="N87" s="260"/>
      <c r="O87" s="248"/>
      <c r="P87" s="248"/>
      <c r="Q87" s="248"/>
      <c r="R87" s="243"/>
      <c r="S87" s="244"/>
      <c r="T87" s="234"/>
      <c r="U87" s="234"/>
      <c r="AV87" s="234"/>
      <c r="AW87" s="296"/>
      <c r="AX87" s="369"/>
      <c r="AY87" s="370"/>
    </row>
    <row r="88" spans="1:52" ht="19.3" hidden="1" x14ac:dyDescent="0.65">
      <c r="A88" s="234"/>
      <c r="B88" s="256"/>
      <c r="C88" s="251"/>
      <c r="D88" s="251"/>
      <c r="E88" s="251"/>
      <c r="F88" s="251"/>
      <c r="G88" s="251"/>
      <c r="H88" s="251"/>
      <c r="I88" s="251"/>
      <c r="J88" s="251"/>
      <c r="K88" s="251"/>
      <c r="L88" s="251"/>
      <c r="M88" s="251"/>
      <c r="N88" s="260"/>
      <c r="O88" s="248"/>
      <c r="P88" s="248"/>
      <c r="Q88" s="248"/>
      <c r="R88" s="243"/>
      <c r="S88" s="244"/>
      <c r="T88" s="234"/>
      <c r="U88" s="234"/>
      <c r="AV88" s="234"/>
      <c r="AX88" s="369" t="s">
        <v>488</v>
      </c>
      <c r="AY88" s="370"/>
    </row>
    <row r="89" spans="1:52" ht="11.7" customHeight="1" thickBot="1" x14ac:dyDescent="0.7">
      <c r="A89" s="234"/>
      <c r="B89" s="234"/>
      <c r="C89" s="234"/>
      <c r="D89" s="234"/>
      <c r="E89" s="234"/>
      <c r="F89" s="234"/>
      <c r="G89" s="234"/>
      <c r="H89" s="234"/>
      <c r="I89" s="234"/>
      <c r="J89" s="234"/>
      <c r="K89" s="234"/>
      <c r="L89" s="234"/>
      <c r="M89" s="234"/>
      <c r="N89" s="234"/>
      <c r="O89" s="234"/>
      <c r="P89" s="234"/>
      <c r="Q89" s="234"/>
      <c r="R89" s="234"/>
      <c r="S89" s="234"/>
      <c r="T89" s="234"/>
      <c r="U89" s="234"/>
      <c r="AV89" s="261"/>
    </row>
    <row r="90" spans="1:52" ht="23.6" thickTop="1" x14ac:dyDescent="0.65">
      <c r="B90" s="225" t="s">
        <v>253</v>
      </c>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7"/>
    </row>
    <row r="91" spans="1:52" ht="18.45" hidden="1" customHeight="1" x14ac:dyDescent="0.65">
      <c r="A91" s="261"/>
      <c r="B91" s="262"/>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29"/>
    </row>
    <row r="92" spans="1:52" ht="18.45" customHeight="1" x14ac:dyDescent="0.65">
      <c r="B92" s="228" t="s">
        <v>198</v>
      </c>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4"/>
    </row>
    <row r="93" spans="1:52" ht="18.45" hidden="1" customHeight="1" x14ac:dyDescent="0.65">
      <c r="B93" s="265"/>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4"/>
    </row>
    <row r="94" spans="1:52" ht="18.45" customHeight="1" x14ac:dyDescent="0.65">
      <c r="B94" s="228" t="s">
        <v>196</v>
      </c>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4"/>
    </row>
    <row r="95" spans="1:52" ht="18.45" hidden="1" customHeight="1" x14ac:dyDescent="0.65">
      <c r="B95" s="265"/>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4"/>
    </row>
    <row r="96" spans="1:52" ht="18.45" customHeight="1" x14ac:dyDescent="0.65">
      <c r="B96" s="228" t="s">
        <v>195</v>
      </c>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4"/>
    </row>
    <row r="97" spans="2:59" ht="18.45" hidden="1" customHeight="1" x14ac:dyDescent="0.65">
      <c r="B97" s="265"/>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4"/>
    </row>
    <row r="98" spans="2:59" ht="19" customHeight="1" thickBot="1" x14ac:dyDescent="0.7">
      <c r="B98" s="230" t="s">
        <v>197</v>
      </c>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7"/>
    </row>
    <row r="99" spans="2:59" ht="24" hidden="1" thickTop="1" thickBot="1" x14ac:dyDescent="0.7">
      <c r="B99" s="268"/>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7"/>
    </row>
    <row r="100" spans="2:59" ht="18.899999999999999" hidden="1" thickTop="1" x14ac:dyDescent="0.65"/>
    <row r="101" spans="2:59" ht="18.899999999999999" thickTop="1" x14ac:dyDescent="0.65">
      <c r="BG101" s="220">
        <v>5</v>
      </c>
    </row>
    <row r="102" spans="2:59" x14ac:dyDescent="0.65">
      <c r="BG102" s="220">
        <v>6</v>
      </c>
    </row>
  </sheetData>
  <sheetProtection algorithmName="SHA-512" hashValue="7+kv5ZFW8RTdR9L3lCOgrip4GKtB9ILCs4YWwGgewxyKXhqQ4ti8SRCATfsxaaBQ1ACl71l3ggLeIr0y+Ys8rA==" saltValue="BRZa1dtA20e6RmcHP0B/2A==" spinCount="100000" sheet="1" objects="1" scenarios="1"/>
  <mergeCells count="352">
    <mergeCell ref="R31:AU31"/>
    <mergeCell ref="M31:O31"/>
    <mergeCell ref="M43:O43"/>
    <mergeCell ref="P43:Q43"/>
    <mergeCell ref="M56:O56"/>
    <mergeCell ref="P56:Q56"/>
    <mergeCell ref="M68:O68"/>
    <mergeCell ref="P68:Q68"/>
    <mergeCell ref="B31:E31"/>
    <mergeCell ref="R33:U33"/>
    <mergeCell ref="R34:U34"/>
    <mergeCell ref="R36:U36"/>
    <mergeCell ref="Z32:AC32"/>
    <mergeCell ref="Z33:AC33"/>
    <mergeCell ref="Z34:AC34"/>
    <mergeCell ref="Z35:AC35"/>
    <mergeCell ref="Z36:AC36"/>
    <mergeCell ref="N34:Q34"/>
    <mergeCell ref="N36:Q36"/>
    <mergeCell ref="AF32:AU32"/>
    <mergeCell ref="AF33:AU33"/>
    <mergeCell ref="Z57:AC57"/>
    <mergeCell ref="AD57:AE57"/>
    <mergeCell ref="AF57:AU57"/>
    <mergeCell ref="AK2:AN2"/>
    <mergeCell ref="P31:Q31"/>
    <mergeCell ref="T8:AU8"/>
    <mergeCell ref="AD59:AE59"/>
    <mergeCell ref="AF59:AU59"/>
    <mergeCell ref="Z47:AC47"/>
    <mergeCell ref="V62:Y62"/>
    <mergeCell ref="AF34:AU34"/>
    <mergeCell ref="AF35:AU35"/>
    <mergeCell ref="AF36:AU36"/>
    <mergeCell ref="Z38:AC38"/>
    <mergeCell ref="AD32:AE32"/>
    <mergeCell ref="AD33:AE33"/>
    <mergeCell ref="AD34:AE34"/>
    <mergeCell ref="AD35:AE35"/>
    <mergeCell ref="AD36:AE36"/>
    <mergeCell ref="AF37:AU37"/>
    <mergeCell ref="AD37:AE37"/>
    <mergeCell ref="AD38:AE38"/>
    <mergeCell ref="Z37:AC37"/>
    <mergeCell ref="V38:Y38"/>
    <mergeCell ref="B3:P5"/>
    <mergeCell ref="AO3:AU5"/>
    <mergeCell ref="AK3:AN5"/>
    <mergeCell ref="AJ85:AU86"/>
    <mergeCell ref="AJ83:AU84"/>
    <mergeCell ref="AJ81:AU82"/>
    <mergeCell ref="AJ79:AU80"/>
    <mergeCell ref="AJ78:AU78"/>
    <mergeCell ref="A76:AU76"/>
    <mergeCell ref="R86:S86"/>
    <mergeCell ref="R85:S85"/>
    <mergeCell ref="R84:S84"/>
    <mergeCell ref="R83:S83"/>
    <mergeCell ref="R82:S82"/>
    <mergeCell ref="R81:S81"/>
    <mergeCell ref="R80:S80"/>
    <mergeCell ref="R79:S79"/>
    <mergeCell ref="R78:S78"/>
    <mergeCell ref="J80:M80"/>
    <mergeCell ref="J81:M81"/>
    <mergeCell ref="J82:M82"/>
    <mergeCell ref="J83:M83"/>
    <mergeCell ref="G78:I78"/>
    <mergeCell ref="B78:F78"/>
    <mergeCell ref="T78:U78"/>
    <mergeCell ref="T86:U86"/>
    <mergeCell ref="N86:Q86"/>
    <mergeCell ref="B29:E29"/>
    <mergeCell ref="F29:G29"/>
    <mergeCell ref="H29:Q29"/>
    <mergeCell ref="Z29:AC29"/>
    <mergeCell ref="AD29:AU29"/>
    <mergeCell ref="B30:E30"/>
    <mergeCell ref="F30:G30"/>
    <mergeCell ref="H30:Q30"/>
    <mergeCell ref="Z30:AC30"/>
    <mergeCell ref="N32:Q32"/>
    <mergeCell ref="Z55:AC55"/>
    <mergeCell ref="AD55:AU55"/>
    <mergeCell ref="AF47:AU47"/>
    <mergeCell ref="Z41:AC41"/>
    <mergeCell ref="AD41:AU41"/>
    <mergeCell ref="Z42:AC42"/>
    <mergeCell ref="AD42:AU42"/>
    <mergeCell ref="N38:Q38"/>
    <mergeCell ref="R43:AU43"/>
    <mergeCell ref="Z59:AC59"/>
    <mergeCell ref="V45:Y45"/>
    <mergeCell ref="N35:Q35"/>
    <mergeCell ref="R35:U35"/>
    <mergeCell ref="R57:U57"/>
    <mergeCell ref="R59:U59"/>
    <mergeCell ref="AF38:AU38"/>
    <mergeCell ref="V57:Y57"/>
    <mergeCell ref="Z58:AC58"/>
    <mergeCell ref="AD58:AE58"/>
    <mergeCell ref="AF58:AU58"/>
    <mergeCell ref="B57:I57"/>
    <mergeCell ref="J57:M57"/>
    <mergeCell ref="N57:Q57"/>
    <mergeCell ref="J38:M38"/>
    <mergeCell ref="F55:G55"/>
    <mergeCell ref="B41:E41"/>
    <mergeCell ref="F41:G41"/>
    <mergeCell ref="H41:Q41"/>
    <mergeCell ref="B42:E42"/>
    <mergeCell ref="F42:G42"/>
    <mergeCell ref="H42:Q42"/>
    <mergeCell ref="B38:I38"/>
    <mergeCell ref="B55:E55"/>
    <mergeCell ref="B43:E43"/>
    <mergeCell ref="B47:I47"/>
    <mergeCell ref="J47:M47"/>
    <mergeCell ref="N47:Q47"/>
    <mergeCell ref="T85:U85"/>
    <mergeCell ref="B82:F82"/>
    <mergeCell ref="B83:F83"/>
    <mergeCell ref="B84:F84"/>
    <mergeCell ref="J78:M78"/>
    <mergeCell ref="H55:Q55"/>
    <mergeCell ref="N70:Q70"/>
    <mergeCell ref="B74:I74"/>
    <mergeCell ref="J74:M74"/>
    <mergeCell ref="N74:Q74"/>
    <mergeCell ref="J84:M84"/>
    <mergeCell ref="N79:Q79"/>
    <mergeCell ref="N80:Q80"/>
    <mergeCell ref="N81:Q81"/>
    <mergeCell ref="B68:E68"/>
    <mergeCell ref="B56:E56"/>
    <mergeCell ref="B60:I60"/>
    <mergeCell ref="J60:M60"/>
    <mergeCell ref="N60:Q60"/>
    <mergeCell ref="J69:M69"/>
    <mergeCell ref="N69:Q69"/>
    <mergeCell ref="B61:I61"/>
    <mergeCell ref="J61:M61"/>
    <mergeCell ref="N61:Q61"/>
    <mergeCell ref="G82:I82"/>
    <mergeCell ref="G83:I83"/>
    <mergeCell ref="G84:I84"/>
    <mergeCell ref="G85:I85"/>
    <mergeCell ref="B79:F79"/>
    <mergeCell ref="B80:F80"/>
    <mergeCell ref="B81:F81"/>
    <mergeCell ref="N82:Q82"/>
    <mergeCell ref="N83:Q83"/>
    <mergeCell ref="N84:Q84"/>
    <mergeCell ref="N85:Q85"/>
    <mergeCell ref="J79:M79"/>
    <mergeCell ref="A25:AU25"/>
    <mergeCell ref="B26:AU26"/>
    <mergeCell ref="V32:Y32"/>
    <mergeCell ref="V33:Y33"/>
    <mergeCell ref="V34:Y34"/>
    <mergeCell ref="V36:Y36"/>
    <mergeCell ref="V37:Y37"/>
    <mergeCell ref="B32:I32"/>
    <mergeCell ref="B33:I33"/>
    <mergeCell ref="B34:I34"/>
    <mergeCell ref="V35:Y35"/>
    <mergeCell ref="N33:Q33"/>
    <mergeCell ref="B36:I36"/>
    <mergeCell ref="R37:U37"/>
    <mergeCell ref="J36:M36"/>
    <mergeCell ref="J37:M37"/>
    <mergeCell ref="N37:Q37"/>
    <mergeCell ref="J32:M32"/>
    <mergeCell ref="J33:M33"/>
    <mergeCell ref="J34:M34"/>
    <mergeCell ref="AD30:AU30"/>
    <mergeCell ref="R32:U32"/>
    <mergeCell ref="B35:I35"/>
    <mergeCell ref="J35:M35"/>
    <mergeCell ref="B37:I37"/>
    <mergeCell ref="B52:AU52"/>
    <mergeCell ref="B54:E54"/>
    <mergeCell ref="F54:G54"/>
    <mergeCell ref="H54:Q54"/>
    <mergeCell ref="Z54:AC54"/>
    <mergeCell ref="AD54:AU54"/>
    <mergeCell ref="AD46:AE46"/>
    <mergeCell ref="AF46:AU46"/>
    <mergeCell ref="V47:Y47"/>
    <mergeCell ref="N44:Q44"/>
    <mergeCell ref="R44:U44"/>
    <mergeCell ref="V44:Y44"/>
    <mergeCell ref="Z44:AC44"/>
    <mergeCell ref="AD44:AE44"/>
    <mergeCell ref="AF44:AU44"/>
    <mergeCell ref="B45:I45"/>
    <mergeCell ref="J45:M45"/>
    <mergeCell ref="N45:Q45"/>
    <mergeCell ref="R45:U45"/>
    <mergeCell ref="Z45:AC45"/>
    <mergeCell ref="AD45:AE45"/>
    <mergeCell ref="R38:U38"/>
    <mergeCell ref="AD47:AE47"/>
    <mergeCell ref="X85:AG86"/>
    <mergeCell ref="AH85:AI86"/>
    <mergeCell ref="B62:I62"/>
    <mergeCell ref="J62:M62"/>
    <mergeCell ref="B48:I48"/>
    <mergeCell ref="J48:M48"/>
    <mergeCell ref="N48:Q48"/>
    <mergeCell ref="R48:U48"/>
    <mergeCell ref="V48:Y48"/>
    <mergeCell ref="Z48:AC48"/>
    <mergeCell ref="AD48:AE48"/>
    <mergeCell ref="AF48:AU48"/>
    <mergeCell ref="B49:I49"/>
    <mergeCell ref="J49:M49"/>
    <mergeCell ref="N49:Q49"/>
    <mergeCell ref="R49:U49"/>
    <mergeCell ref="V49:Y49"/>
    <mergeCell ref="B86:M86"/>
    <mergeCell ref="J85:M85"/>
    <mergeCell ref="B85:F85"/>
    <mergeCell ref="T79:U79"/>
    <mergeCell ref="G79:I79"/>
    <mergeCell ref="G80:I80"/>
    <mergeCell ref="G81:I81"/>
    <mergeCell ref="B69:I69"/>
    <mergeCell ref="AF45:AU45"/>
    <mergeCell ref="B46:I46"/>
    <mergeCell ref="J46:M46"/>
    <mergeCell ref="N46:Q46"/>
    <mergeCell ref="R46:U46"/>
    <mergeCell ref="V46:Y46"/>
    <mergeCell ref="Z46:AC46"/>
    <mergeCell ref="R47:U47"/>
    <mergeCell ref="N62:Q62"/>
    <mergeCell ref="R62:U62"/>
    <mergeCell ref="F66:G66"/>
    <mergeCell ref="B67:E67"/>
    <mergeCell ref="F67:G67"/>
    <mergeCell ref="H67:Q67"/>
    <mergeCell ref="Z67:AC67"/>
    <mergeCell ref="AD67:AU67"/>
    <mergeCell ref="R69:U69"/>
    <mergeCell ref="V69:Y69"/>
    <mergeCell ref="AD69:AE69"/>
    <mergeCell ref="AF69:AU69"/>
    <mergeCell ref="R56:AU56"/>
    <mergeCell ref="H66:Q66"/>
    <mergeCell ref="R60:U60"/>
    <mergeCell ref="B70:I70"/>
    <mergeCell ref="J70:M70"/>
    <mergeCell ref="AD70:AE70"/>
    <mergeCell ref="AF70:AU70"/>
    <mergeCell ref="Z49:AC49"/>
    <mergeCell ref="AD49:AE49"/>
    <mergeCell ref="AF49:AU49"/>
    <mergeCell ref="B59:I59"/>
    <mergeCell ref="J59:M59"/>
    <mergeCell ref="N59:Q59"/>
    <mergeCell ref="Z69:AC69"/>
    <mergeCell ref="Z62:AC62"/>
    <mergeCell ref="AD62:AE62"/>
    <mergeCell ref="AF62:AU62"/>
    <mergeCell ref="V60:Y60"/>
    <mergeCell ref="Z60:AC60"/>
    <mergeCell ref="AD60:AE60"/>
    <mergeCell ref="AF60:AU60"/>
    <mergeCell ref="V59:Y59"/>
    <mergeCell ref="B58:I58"/>
    <mergeCell ref="J58:M58"/>
    <mergeCell ref="N58:Q58"/>
    <mergeCell ref="R58:U58"/>
    <mergeCell ref="V58:Y58"/>
    <mergeCell ref="N72:Q72"/>
    <mergeCell ref="R72:U72"/>
    <mergeCell ref="V72:Y72"/>
    <mergeCell ref="Z72:AC72"/>
    <mergeCell ref="AD72:AE72"/>
    <mergeCell ref="AF72:AU72"/>
    <mergeCell ref="N71:Q71"/>
    <mergeCell ref="R61:U61"/>
    <mergeCell ref="V61:Y61"/>
    <mergeCell ref="Z61:AC61"/>
    <mergeCell ref="AD61:AE61"/>
    <mergeCell ref="AF61:AU61"/>
    <mergeCell ref="R70:U70"/>
    <mergeCell ref="V70:Y70"/>
    <mergeCell ref="Z70:AC70"/>
    <mergeCell ref="R68:AU68"/>
    <mergeCell ref="R74:U74"/>
    <mergeCell ref="V74:Y74"/>
    <mergeCell ref="Z74:AC74"/>
    <mergeCell ref="AD74:AE74"/>
    <mergeCell ref="AF74:AU74"/>
    <mergeCell ref="J71:M71"/>
    <mergeCell ref="B72:I72"/>
    <mergeCell ref="J72:M72"/>
    <mergeCell ref="AB78:AD78"/>
    <mergeCell ref="J73:M73"/>
    <mergeCell ref="B71:I71"/>
    <mergeCell ref="N78:Q78"/>
    <mergeCell ref="B73:I73"/>
    <mergeCell ref="V73:Y73"/>
    <mergeCell ref="N73:Q73"/>
    <mergeCell ref="R73:U73"/>
    <mergeCell ref="Z73:AC73"/>
    <mergeCell ref="AD73:AE73"/>
    <mergeCell ref="AF73:AU73"/>
    <mergeCell ref="V71:Y71"/>
    <mergeCell ref="Z71:AC71"/>
    <mergeCell ref="AD71:AE71"/>
    <mergeCell ref="AF71:AU71"/>
    <mergeCell ref="R71:U71"/>
    <mergeCell ref="AB79:AD80"/>
    <mergeCell ref="T82:U82"/>
    <mergeCell ref="T83:U83"/>
    <mergeCell ref="T84:U84"/>
    <mergeCell ref="AB81:AD82"/>
    <mergeCell ref="AE81:AG82"/>
    <mergeCell ref="AE78:AG78"/>
    <mergeCell ref="AH78:AI78"/>
    <mergeCell ref="X78:AA78"/>
    <mergeCell ref="X81:AA82"/>
    <mergeCell ref="T80:U80"/>
    <mergeCell ref="T81:U81"/>
    <mergeCell ref="X79:AA80"/>
    <mergeCell ref="AZ2:AZ6"/>
    <mergeCell ref="T9:AU24"/>
    <mergeCell ref="AH83:AI84"/>
    <mergeCell ref="X83:AA84"/>
    <mergeCell ref="AE83:AG84"/>
    <mergeCell ref="AB83:AD84"/>
    <mergeCell ref="AH81:AI82"/>
    <mergeCell ref="Z66:AC66"/>
    <mergeCell ref="AD66:AU66"/>
    <mergeCell ref="B64:AU64"/>
    <mergeCell ref="B66:E66"/>
    <mergeCell ref="T6:AU7"/>
    <mergeCell ref="B50:I50"/>
    <mergeCell ref="J50:M50"/>
    <mergeCell ref="N50:Q50"/>
    <mergeCell ref="R50:U50"/>
    <mergeCell ref="V50:Y50"/>
    <mergeCell ref="Z50:AC50"/>
    <mergeCell ref="AD50:AE50"/>
    <mergeCell ref="AF50:AU50"/>
    <mergeCell ref="B44:I44"/>
    <mergeCell ref="J44:M44"/>
    <mergeCell ref="AE79:AG80"/>
    <mergeCell ref="AH79:AI80"/>
  </mergeCells>
  <phoneticPr fontId="1"/>
  <conditionalFormatting sqref="AH85:AI85 AH79 AH81 AH83 T79:U85 AD70:AE73">
    <cfRule type="containsText" dxfId="57" priority="70" operator="containsText" text="×">
      <formula>NOT(ISERROR(SEARCH("×",T70)))</formula>
    </cfRule>
  </conditionalFormatting>
  <conditionalFormatting sqref="Z30:AC30">
    <cfRule type="containsText" dxfId="56" priority="64" operator="containsText" text="×">
      <formula>NOT(ISERROR(SEARCH("×",Z30)))</formula>
    </cfRule>
  </conditionalFormatting>
  <conditionalFormatting sqref="AD30:AU30 AF70:AU73">
    <cfRule type="containsText" dxfId="55" priority="63" operator="containsText" text="要修正">
      <formula>NOT(ISERROR(SEARCH("要修正",AD30)))</formula>
    </cfRule>
  </conditionalFormatting>
  <conditionalFormatting sqref="T6">
    <cfRule type="containsText" dxfId="54" priority="59" operator="containsText" text="要修正">
      <formula>NOT(ISERROR(SEARCH("要修正",T6)))</formula>
    </cfRule>
  </conditionalFormatting>
  <conditionalFormatting sqref="B26:AU26">
    <cfRule type="containsText" dxfId="53" priority="57" operator="containsText" text="×">
      <formula>NOT(ISERROR(SEARCH("×",B26)))</formula>
    </cfRule>
  </conditionalFormatting>
  <conditionalFormatting sqref="A77:AV77 A76 AV76">
    <cfRule type="containsText" dxfId="52" priority="55" operator="containsText" text="×">
      <formula>NOT(ISERROR(SEARCH("×",A76)))</formula>
    </cfRule>
  </conditionalFormatting>
  <conditionalFormatting sqref="Z55:AC55">
    <cfRule type="containsText" dxfId="51" priority="51" operator="containsText" text="×">
      <formula>NOT(ISERROR(SEARCH("×",Z55)))</formula>
    </cfRule>
  </conditionalFormatting>
  <conditionalFormatting sqref="AD55:AU55">
    <cfRule type="containsText" dxfId="50" priority="50" operator="containsText" text="要修正">
      <formula>NOT(ISERROR(SEARCH("要修正",AD55)))</formula>
    </cfRule>
  </conditionalFormatting>
  <conditionalFormatting sqref="B52:AU52">
    <cfRule type="containsText" dxfId="49" priority="48" operator="containsText" text="×">
      <formula>NOT(ISERROR(SEARCH("×",B52)))</formula>
    </cfRule>
  </conditionalFormatting>
  <conditionalFormatting sqref="AD50:AE50">
    <cfRule type="containsText" dxfId="48" priority="47" operator="containsText" text="×">
      <formula>NOT(ISERROR(SEARCH("×",AD50)))</formula>
    </cfRule>
  </conditionalFormatting>
  <conditionalFormatting sqref="AD45:AE49">
    <cfRule type="containsText" dxfId="47" priority="46" operator="containsText" text="×">
      <formula>NOT(ISERROR(SEARCH("×",AD45)))</formula>
    </cfRule>
  </conditionalFormatting>
  <conditionalFormatting sqref="AF45:AU49">
    <cfRule type="containsText" dxfId="46" priority="45" operator="containsText" text="要修正">
      <formula>NOT(ISERROR(SEARCH("要修正",AF45)))</formula>
    </cfRule>
  </conditionalFormatting>
  <conditionalFormatting sqref="Z42:AC42">
    <cfRule type="containsText" dxfId="45" priority="44" operator="containsText" text="×">
      <formula>NOT(ISERROR(SEARCH("×",Z42)))</formula>
    </cfRule>
  </conditionalFormatting>
  <conditionalFormatting sqref="AD42:AU42">
    <cfRule type="containsText" dxfId="44" priority="43" operator="containsText" text="要修正">
      <formula>NOT(ISERROR(SEARCH("要修正",AD42)))</formula>
    </cfRule>
  </conditionalFormatting>
  <conditionalFormatting sqref="AF50:AU50">
    <cfRule type="containsText" dxfId="43" priority="42" operator="containsText" text="要修正">
      <formula>NOT(ISERROR(SEARCH("要修正",AF50)))</formula>
    </cfRule>
  </conditionalFormatting>
  <conditionalFormatting sqref="AD38:AE38">
    <cfRule type="containsText" dxfId="42" priority="41" operator="containsText" text="×">
      <formula>NOT(ISERROR(SEARCH("×",AD38)))</formula>
    </cfRule>
  </conditionalFormatting>
  <conditionalFormatting sqref="AD33:AE37">
    <cfRule type="containsText" dxfId="41" priority="40" operator="containsText" text="×">
      <formula>NOT(ISERROR(SEARCH("×",AD33)))</formula>
    </cfRule>
  </conditionalFormatting>
  <conditionalFormatting sqref="AF33:AU37">
    <cfRule type="containsText" dxfId="40" priority="39" operator="containsText" text="要修正">
      <formula>NOT(ISERROR(SEARCH("要修正",AF33)))</formula>
    </cfRule>
  </conditionalFormatting>
  <conditionalFormatting sqref="AF38:AU38">
    <cfRule type="containsText" dxfId="39" priority="38" operator="containsText" text="要修正">
      <formula>NOT(ISERROR(SEARCH("要修正",AF38)))</formula>
    </cfRule>
  </conditionalFormatting>
  <conditionalFormatting sqref="AD62:AE63">
    <cfRule type="containsText" dxfId="38" priority="37" operator="containsText" text="×">
      <formula>NOT(ISERROR(SEARCH("×",AD62)))</formula>
    </cfRule>
  </conditionalFormatting>
  <conditionalFormatting sqref="AD58:AE61">
    <cfRule type="containsText" dxfId="37" priority="36" operator="containsText" text="×">
      <formula>NOT(ISERROR(SEARCH("×",AD58)))</formula>
    </cfRule>
  </conditionalFormatting>
  <conditionalFormatting sqref="AF58:AU61">
    <cfRule type="containsText" dxfId="36" priority="35" operator="containsText" text="要修正">
      <formula>NOT(ISERROR(SEARCH("要修正",AF58)))</formula>
    </cfRule>
  </conditionalFormatting>
  <conditionalFormatting sqref="AF62:AU63">
    <cfRule type="containsText" dxfId="35" priority="34" operator="containsText" text="要修正">
      <formula>NOT(ISERROR(SEARCH("要修正",AF62)))</formula>
    </cfRule>
  </conditionalFormatting>
  <conditionalFormatting sqref="Z67:AC67">
    <cfRule type="containsText" dxfId="34" priority="33" operator="containsText" text="×">
      <formula>NOT(ISERROR(SEARCH("×",Z67)))</formula>
    </cfRule>
  </conditionalFormatting>
  <conditionalFormatting sqref="AD67:AU67">
    <cfRule type="containsText" dxfId="33" priority="32" operator="containsText" text="要修正">
      <formula>NOT(ISERROR(SEARCH("要修正",AD67)))</formula>
    </cfRule>
  </conditionalFormatting>
  <conditionalFormatting sqref="B64:AU64">
    <cfRule type="containsText" dxfId="32" priority="31" operator="containsText" text="×">
      <formula>NOT(ISERROR(SEARCH("×",B64)))</formula>
    </cfRule>
  </conditionalFormatting>
  <conditionalFormatting sqref="AD74:AE75">
    <cfRule type="containsText" dxfId="31" priority="30" operator="containsText" text="×">
      <formula>NOT(ISERROR(SEARCH("×",AD74)))</formula>
    </cfRule>
  </conditionalFormatting>
  <conditionalFormatting sqref="AF74:AU75">
    <cfRule type="containsText" dxfId="30" priority="27" operator="containsText" text="要修正">
      <formula>NOT(ISERROR(SEARCH("要修正",AF74)))</formula>
    </cfRule>
  </conditionalFormatting>
  <conditionalFormatting sqref="P31:Q31">
    <cfRule type="cellIs" dxfId="29" priority="26" operator="equal">
      <formula>"×"</formula>
    </cfRule>
  </conditionalFormatting>
  <conditionalFormatting sqref="P56:Q56 P68:Q68">
    <cfRule type="cellIs" dxfId="28" priority="25" operator="equal">
      <formula>"×"</formula>
    </cfRule>
  </conditionalFormatting>
  <conditionalFormatting sqref="R31">
    <cfRule type="containsText" dxfId="27" priority="23" operator="containsText" text="注意">
      <formula>NOT(ISERROR(SEARCH("注意",R31)))</formula>
    </cfRule>
    <cfRule type="containsText" dxfId="26" priority="24" operator="containsText" text="要修正">
      <formula>NOT(ISERROR(SEARCH("要修正",R31)))</formula>
    </cfRule>
  </conditionalFormatting>
  <conditionalFormatting sqref="R56">
    <cfRule type="containsText" dxfId="25" priority="17" operator="containsText" text="注意">
      <formula>NOT(ISERROR(SEARCH("注意",R56)))</formula>
    </cfRule>
    <cfRule type="containsText" dxfId="24" priority="18" operator="containsText" text="要修正">
      <formula>NOT(ISERROR(SEARCH("要修正",R56)))</formula>
    </cfRule>
  </conditionalFormatting>
  <conditionalFormatting sqref="R68">
    <cfRule type="containsText" dxfId="23" priority="13" operator="containsText" text="注意">
      <formula>NOT(ISERROR(SEARCH("注意",R68)))</formula>
    </cfRule>
    <cfRule type="containsText" dxfId="22" priority="14" operator="containsText" text="要修正">
      <formula>NOT(ISERROR(SEARCH("要修正",R68)))</formula>
    </cfRule>
  </conditionalFormatting>
  <conditionalFormatting sqref="P43:Q43">
    <cfRule type="cellIs" dxfId="21" priority="3" operator="equal">
      <formula>"×"</formula>
    </cfRule>
  </conditionalFormatting>
  <conditionalFormatting sqref="R43">
    <cfRule type="containsText" dxfId="20" priority="1" operator="containsText" text="注意">
      <formula>NOT(ISERROR(SEARCH("注意",R43)))</formula>
    </cfRule>
    <cfRule type="containsText" dxfId="19" priority="2" operator="containsText" text="要修正">
      <formula>NOT(ISERROR(SEARCH("要修正",R43)))</formula>
    </cfRule>
  </conditionalFormatting>
  <dataValidations count="2">
    <dataValidation type="list" allowBlank="1" showInputMessage="1" showErrorMessage="1" sqref="B79:F85" xr:uid="{8F126B2E-D01F-478C-86B6-F3B2C82D4C3D}">
      <formula1>$AY$78:$AY$80</formula1>
    </dataValidation>
    <dataValidation type="list" allowBlank="1" showInputMessage="1" showErrorMessage="1" sqref="G31 G43 G56 G68" xr:uid="{296AB9EA-6F0B-4782-B396-E639E66F0D4E}">
      <formula1>$BG$101:$BG$102</formula1>
    </dataValidation>
  </dataValidations>
  <pageMargins left="0.7" right="0.7" top="0.75" bottom="0.75" header="0.3" footer="0.3"/>
  <pageSetup paperSize="9" scale="4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F7AB-B6B3-4628-BA15-8EE6B89FCC33}">
  <sheetPr>
    <tabColor theme="5" tint="0.39997558519241921"/>
    <pageSetUpPr fitToPage="1"/>
  </sheetPr>
  <dimension ref="A1:BR52"/>
  <sheetViews>
    <sheetView showGridLines="0" view="pageBreakPreview" zoomScale="50" zoomScaleNormal="50" zoomScaleSheetLayoutView="50" workbookViewId="0">
      <selection activeCell="A2" sqref="A2"/>
    </sheetView>
  </sheetViews>
  <sheetFormatPr defaultColWidth="9" defaultRowHeight="18.45" x14ac:dyDescent="0.65"/>
  <cols>
    <col min="1" max="17" width="3.640625" style="220" customWidth="1"/>
    <col min="18" max="18" width="4.35546875" style="220" customWidth="1"/>
    <col min="19" max="48" width="3.640625" style="220" customWidth="1"/>
    <col min="49" max="50" width="9" style="220"/>
    <col min="51" max="51" width="13.140625" style="220" bestFit="1" customWidth="1"/>
    <col min="52" max="55" width="9" style="220"/>
    <col min="56" max="56" width="13.140625" style="220" bestFit="1" customWidth="1"/>
    <col min="57" max="57" width="13.85546875" style="220" customWidth="1"/>
    <col min="58" max="58" width="15.5" style="220" bestFit="1" customWidth="1"/>
    <col min="59" max="59" width="17.2109375" style="220" customWidth="1"/>
    <col min="60" max="16384" width="9" style="220"/>
  </cols>
  <sheetData>
    <row r="1" spans="1:59" x14ac:dyDescent="0.65">
      <c r="A1" s="222">
        <v>1</v>
      </c>
      <c r="B1" s="222">
        <v>2</v>
      </c>
      <c r="C1" s="222">
        <v>3</v>
      </c>
      <c r="D1" s="222">
        <v>4</v>
      </c>
      <c r="E1" s="222">
        <v>5</v>
      </c>
      <c r="F1" s="222">
        <v>6</v>
      </c>
      <c r="G1" s="222">
        <v>7</v>
      </c>
      <c r="H1" s="222">
        <v>8</v>
      </c>
      <c r="I1" s="222">
        <v>9</v>
      </c>
      <c r="J1" s="222">
        <v>10</v>
      </c>
      <c r="K1" s="222">
        <v>11</v>
      </c>
      <c r="L1" s="222">
        <v>12</v>
      </c>
      <c r="M1" s="222">
        <v>13</v>
      </c>
      <c r="N1" s="222">
        <v>14</v>
      </c>
      <c r="O1" s="222">
        <v>15</v>
      </c>
      <c r="P1" s="222">
        <v>16</v>
      </c>
      <c r="Q1" s="222">
        <v>17</v>
      </c>
      <c r="R1" s="222">
        <v>18</v>
      </c>
      <c r="S1" s="222">
        <v>19</v>
      </c>
      <c r="T1" s="222">
        <v>20</v>
      </c>
      <c r="U1" s="222">
        <v>21</v>
      </c>
      <c r="V1" s="222">
        <v>22</v>
      </c>
      <c r="W1" s="222">
        <v>23</v>
      </c>
      <c r="X1" s="222">
        <v>24</v>
      </c>
      <c r="Y1" s="222">
        <v>25</v>
      </c>
      <c r="Z1" s="222">
        <v>26</v>
      </c>
      <c r="AA1" s="222">
        <v>27</v>
      </c>
      <c r="AB1" s="222">
        <v>28</v>
      </c>
      <c r="AC1" s="222">
        <v>29</v>
      </c>
      <c r="AD1" s="222">
        <v>30</v>
      </c>
      <c r="AE1" s="222">
        <v>31</v>
      </c>
      <c r="AF1" s="222">
        <v>32</v>
      </c>
      <c r="AG1" s="222">
        <v>33</v>
      </c>
      <c r="AH1" s="222">
        <v>34</v>
      </c>
      <c r="AI1" s="222">
        <v>35</v>
      </c>
      <c r="AJ1" s="222">
        <v>36</v>
      </c>
      <c r="AK1" s="222">
        <v>37</v>
      </c>
      <c r="AL1" s="222">
        <v>38</v>
      </c>
      <c r="AM1" s="222">
        <v>39</v>
      </c>
      <c r="AN1" s="222">
        <v>40</v>
      </c>
      <c r="AO1" s="222">
        <v>41</v>
      </c>
      <c r="AP1" s="222">
        <v>42</v>
      </c>
      <c r="AQ1" s="222">
        <v>43</v>
      </c>
      <c r="AR1" s="222">
        <v>44</v>
      </c>
      <c r="AS1" s="222">
        <v>45</v>
      </c>
      <c r="AT1" s="222">
        <v>46</v>
      </c>
      <c r="AU1" s="222">
        <v>47</v>
      </c>
      <c r="AV1" s="222">
        <v>48</v>
      </c>
    </row>
    <row r="2" spans="1:59" ht="25" customHeight="1" x14ac:dyDescent="0.65"/>
    <row r="3" spans="1:59" ht="18" customHeight="1" x14ac:dyDescent="0.65">
      <c r="B3" s="638" t="s">
        <v>199</v>
      </c>
      <c r="C3" s="638"/>
      <c r="D3" s="638"/>
      <c r="E3" s="638"/>
      <c r="F3" s="638"/>
      <c r="G3" s="638"/>
      <c r="H3" s="638"/>
      <c r="I3" s="638"/>
      <c r="J3" s="638"/>
      <c r="K3" s="638"/>
      <c r="L3" s="638"/>
      <c r="M3" s="638"/>
      <c r="N3" s="638"/>
      <c r="O3" s="638"/>
      <c r="P3" s="638"/>
      <c r="AK3" s="838" t="s">
        <v>170</v>
      </c>
      <c r="AL3" s="952"/>
      <c r="AM3" s="952"/>
      <c r="AN3" s="952"/>
      <c r="AO3" s="948">
        <f>IF(AZ4="◎",F34,0)</f>
        <v>0</v>
      </c>
      <c r="AP3" s="949"/>
      <c r="AQ3" s="949"/>
      <c r="AR3" s="949"/>
      <c r="AS3" s="949"/>
      <c r="AT3" s="949"/>
      <c r="AU3" s="949"/>
      <c r="AX3" s="955" t="s">
        <v>259</v>
      </c>
      <c r="AY3" s="956"/>
      <c r="AZ3" s="223" t="s">
        <v>241</v>
      </c>
    </row>
    <row r="4" spans="1:59" ht="18" customHeight="1" x14ac:dyDescent="0.65">
      <c r="B4" s="638"/>
      <c r="C4" s="638"/>
      <c r="D4" s="638"/>
      <c r="E4" s="638"/>
      <c r="F4" s="638"/>
      <c r="G4" s="638"/>
      <c r="H4" s="638"/>
      <c r="I4" s="638"/>
      <c r="J4" s="638"/>
      <c r="K4" s="638"/>
      <c r="L4" s="638"/>
      <c r="M4" s="638"/>
      <c r="N4" s="638"/>
      <c r="O4" s="638"/>
      <c r="P4" s="638"/>
      <c r="AK4" s="953"/>
      <c r="AL4" s="953"/>
      <c r="AM4" s="953"/>
      <c r="AN4" s="953"/>
      <c r="AO4" s="950"/>
      <c r="AP4" s="950"/>
      <c r="AQ4" s="950"/>
      <c r="AR4" s="950"/>
      <c r="AS4" s="950"/>
      <c r="AT4" s="950"/>
      <c r="AU4" s="950"/>
      <c r="AX4" s="269" t="s">
        <v>240</v>
      </c>
      <c r="AY4" s="223" t="str">
        <f>AW23</f>
        <v>○</v>
      </c>
      <c r="AZ4" s="838" t="str">
        <f xml:space="preserve">
IF(COUNTIF(AY4:AY5,"◎")=2,"◎",
IF(COUNTIF(AY4:AY5,"○")=2,"○",
IF(COUNTIF(AY4:AY5,"◎")=1,"×",
IF(COUNTIF(AY4:AY5,"×")&gt;=1,"×"))))</f>
        <v>○</v>
      </c>
      <c r="BD4" s="325" t="s">
        <v>436</v>
      </c>
      <c r="BE4" s="325" t="str">
        <f>J34&amp;K34&amp;L34&amp;M34&amp;N34&amp;O34&amp;P34</f>
        <v>令和年月日</v>
      </c>
      <c r="BF4" s="335" t="str">
        <f>IF(AZ4="◎",VALUE(BE4),"")</f>
        <v/>
      </c>
      <c r="BG4" s="332" t="e">
        <f>VALUE(BE4)</f>
        <v>#VALUE!</v>
      </c>
    </row>
    <row r="5" spans="1:59" ht="18" customHeight="1" x14ac:dyDescent="0.65">
      <c r="B5" s="638"/>
      <c r="C5" s="638"/>
      <c r="D5" s="638"/>
      <c r="E5" s="638"/>
      <c r="F5" s="638"/>
      <c r="G5" s="638"/>
      <c r="H5" s="638"/>
      <c r="I5" s="638"/>
      <c r="J5" s="638"/>
      <c r="K5" s="638"/>
      <c r="L5" s="638"/>
      <c r="M5" s="638"/>
      <c r="N5" s="638"/>
      <c r="O5" s="638"/>
      <c r="P5" s="638"/>
      <c r="AK5" s="954"/>
      <c r="AL5" s="954"/>
      <c r="AM5" s="954"/>
      <c r="AN5" s="954"/>
      <c r="AO5" s="951"/>
      <c r="AP5" s="951"/>
      <c r="AQ5" s="951"/>
      <c r="AR5" s="951"/>
      <c r="AS5" s="951"/>
      <c r="AT5" s="951"/>
      <c r="AU5" s="951"/>
      <c r="AX5" s="269" t="s">
        <v>192</v>
      </c>
      <c r="AY5" s="223" t="str">
        <f>Q34</f>
        <v>○</v>
      </c>
      <c r="AZ5" s="840"/>
      <c r="BD5" s="325" t="s">
        <v>445</v>
      </c>
      <c r="BE5" s="325" t="str">
        <f>IF(BF4="","",
IF(BF5=2023,5,
IF(BF5=2024,6)))</f>
        <v/>
      </c>
      <c r="BF5" s="325" t="str">
        <f>IF(BF4="","",YEAR(BF4))</f>
        <v/>
      </c>
    </row>
    <row r="6" spans="1:59" ht="25" customHeight="1" x14ac:dyDescent="0.65">
      <c r="T6" s="966" t="str">
        <f xml:space="preserve">
IF(COUNTIF(AY4:AY5,"◎")=2,"全ての入力項目が適切に入力されたため金額が表示されました。",
IF(COUNTIF(AY4:AY5,"○")=2,"申請しない場合は入力不要です。",
IF(COUNTIF(AY4:AY5,"◎")=1,"【要修正】入力が不十分、または不要な入力がされている欄があります。",
IF(COUNTIF(AY4:AY5,"×")&gt;=1,"【要修正】入力が不十分、または不要な入力がされている欄があります。"))))</f>
        <v>申請しない場合は入力不要です。</v>
      </c>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BD6" s="325" t="s">
        <v>446</v>
      </c>
      <c r="BE6" s="325" t="str">
        <f>IF(BF4="","",
MONTH(BF4))</f>
        <v/>
      </c>
      <c r="BF6" s="325"/>
    </row>
    <row r="7" spans="1:59" ht="25" customHeight="1" x14ac:dyDescent="0.65">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BD7" s="325" t="s">
        <v>447</v>
      </c>
      <c r="BE7" s="325" t="str">
        <f>IF(BF4="","",
DAY(BF4))</f>
        <v/>
      </c>
      <c r="BF7" s="325"/>
    </row>
    <row r="8" spans="1:59" s="234" customFormat="1" ht="25" customHeight="1" thickBot="1" x14ac:dyDescent="0.7">
      <c r="A8" s="234" t="s">
        <v>172</v>
      </c>
      <c r="T8" s="234" t="s">
        <v>249</v>
      </c>
      <c r="AK8" s="270"/>
      <c r="AL8" s="270"/>
      <c r="AM8" s="270"/>
      <c r="AN8" s="270"/>
      <c r="AO8" s="270"/>
      <c r="AP8" s="270"/>
      <c r="AQ8" s="270"/>
      <c r="AR8" s="270"/>
      <c r="AS8" s="270"/>
      <c r="AT8" s="270"/>
      <c r="AU8" s="270"/>
    </row>
    <row r="9" spans="1:59" s="234" customFormat="1" ht="25" customHeight="1" thickTop="1" x14ac:dyDescent="0.65">
      <c r="B9" s="270"/>
      <c r="C9" s="270"/>
      <c r="D9" s="270"/>
      <c r="E9" s="270"/>
      <c r="F9" s="270"/>
      <c r="G9" s="270"/>
      <c r="H9" s="270"/>
      <c r="I9" s="270"/>
      <c r="J9" s="270"/>
      <c r="K9" s="270"/>
      <c r="L9" s="270"/>
      <c r="M9" s="270"/>
      <c r="N9" s="270"/>
      <c r="O9" s="270"/>
      <c r="P9" s="270"/>
      <c r="Q9" s="270"/>
      <c r="S9" s="271"/>
      <c r="T9" s="957" t="s">
        <v>361</v>
      </c>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9"/>
      <c r="AV9" s="271"/>
    </row>
    <row r="10" spans="1:59" s="234" customFormat="1" ht="25" customHeight="1" x14ac:dyDescent="0.65">
      <c r="R10" s="271"/>
      <c r="S10" s="271"/>
      <c r="T10" s="960"/>
      <c r="U10" s="961"/>
      <c r="V10" s="961"/>
      <c r="W10" s="961"/>
      <c r="X10" s="961"/>
      <c r="Y10" s="961"/>
      <c r="Z10" s="961"/>
      <c r="AA10" s="961"/>
      <c r="AB10" s="961"/>
      <c r="AC10" s="961"/>
      <c r="AD10" s="961"/>
      <c r="AE10" s="961"/>
      <c r="AF10" s="961"/>
      <c r="AG10" s="961"/>
      <c r="AH10" s="961"/>
      <c r="AI10" s="961"/>
      <c r="AJ10" s="961"/>
      <c r="AK10" s="961"/>
      <c r="AL10" s="961"/>
      <c r="AM10" s="961"/>
      <c r="AN10" s="961"/>
      <c r="AO10" s="961"/>
      <c r="AP10" s="961"/>
      <c r="AQ10" s="961"/>
      <c r="AR10" s="961"/>
      <c r="AS10" s="961"/>
      <c r="AT10" s="961"/>
      <c r="AU10" s="962"/>
      <c r="AV10" s="271"/>
    </row>
    <row r="11" spans="1:59" s="234" customFormat="1" ht="25" customHeight="1" x14ac:dyDescent="0.65">
      <c r="R11" s="271"/>
      <c r="S11" s="271"/>
      <c r="T11" s="960"/>
      <c r="U11" s="961"/>
      <c r="V11" s="961"/>
      <c r="W11" s="961"/>
      <c r="X11" s="961"/>
      <c r="Y11" s="961"/>
      <c r="Z11" s="961"/>
      <c r="AA11" s="961"/>
      <c r="AB11" s="961"/>
      <c r="AC11" s="961"/>
      <c r="AD11" s="961"/>
      <c r="AE11" s="961"/>
      <c r="AF11" s="961"/>
      <c r="AG11" s="961"/>
      <c r="AH11" s="961"/>
      <c r="AI11" s="961"/>
      <c r="AJ11" s="961"/>
      <c r="AK11" s="961"/>
      <c r="AL11" s="961"/>
      <c r="AM11" s="961"/>
      <c r="AN11" s="961"/>
      <c r="AO11" s="961"/>
      <c r="AP11" s="961"/>
      <c r="AQ11" s="961"/>
      <c r="AR11" s="961"/>
      <c r="AS11" s="961"/>
      <c r="AT11" s="961"/>
      <c r="AU11" s="962"/>
      <c r="AV11" s="271"/>
    </row>
    <row r="12" spans="1:59" s="234" customFormat="1" ht="25" customHeight="1" x14ac:dyDescent="0.65">
      <c r="R12" s="271"/>
      <c r="S12" s="271"/>
      <c r="T12" s="960"/>
      <c r="U12" s="961"/>
      <c r="V12" s="961"/>
      <c r="W12" s="961"/>
      <c r="X12" s="961"/>
      <c r="Y12" s="961"/>
      <c r="Z12" s="961"/>
      <c r="AA12" s="961"/>
      <c r="AB12" s="961"/>
      <c r="AC12" s="961"/>
      <c r="AD12" s="961"/>
      <c r="AE12" s="961"/>
      <c r="AF12" s="961"/>
      <c r="AG12" s="961"/>
      <c r="AH12" s="961"/>
      <c r="AI12" s="961"/>
      <c r="AJ12" s="961"/>
      <c r="AK12" s="961"/>
      <c r="AL12" s="961"/>
      <c r="AM12" s="961"/>
      <c r="AN12" s="961"/>
      <c r="AO12" s="961"/>
      <c r="AP12" s="961"/>
      <c r="AQ12" s="961"/>
      <c r="AR12" s="961"/>
      <c r="AS12" s="961"/>
      <c r="AT12" s="961"/>
      <c r="AU12" s="962"/>
      <c r="AV12" s="271"/>
    </row>
    <row r="13" spans="1:59" s="234" customFormat="1" ht="25" customHeight="1" x14ac:dyDescent="0.65">
      <c r="R13" s="271"/>
      <c r="S13" s="271"/>
      <c r="T13" s="960"/>
      <c r="U13" s="961"/>
      <c r="V13" s="961"/>
      <c r="W13" s="961"/>
      <c r="X13" s="961"/>
      <c r="Y13" s="961"/>
      <c r="Z13" s="961"/>
      <c r="AA13" s="961"/>
      <c r="AB13" s="961"/>
      <c r="AC13" s="961"/>
      <c r="AD13" s="961"/>
      <c r="AE13" s="961"/>
      <c r="AF13" s="961"/>
      <c r="AG13" s="961"/>
      <c r="AH13" s="961"/>
      <c r="AI13" s="961"/>
      <c r="AJ13" s="961"/>
      <c r="AK13" s="961"/>
      <c r="AL13" s="961"/>
      <c r="AM13" s="961"/>
      <c r="AN13" s="961"/>
      <c r="AO13" s="961"/>
      <c r="AP13" s="961"/>
      <c r="AQ13" s="961"/>
      <c r="AR13" s="961"/>
      <c r="AS13" s="961"/>
      <c r="AT13" s="961"/>
      <c r="AU13" s="962"/>
      <c r="AV13" s="271"/>
    </row>
    <row r="14" spans="1:59" s="234" customFormat="1" ht="25" customHeight="1" x14ac:dyDescent="0.65">
      <c r="R14" s="271"/>
      <c r="S14" s="271"/>
      <c r="T14" s="960"/>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2"/>
      <c r="AV14" s="271"/>
    </row>
    <row r="15" spans="1:59" s="234" customFormat="1" ht="25" customHeight="1" x14ac:dyDescent="0.65">
      <c r="R15" s="271"/>
      <c r="S15" s="271"/>
      <c r="T15" s="960"/>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2"/>
      <c r="AV15" s="271"/>
    </row>
    <row r="16" spans="1:59" s="234" customFormat="1" ht="25" customHeight="1" x14ac:dyDescent="0.65">
      <c r="R16" s="271"/>
      <c r="S16" s="271"/>
      <c r="T16" s="960"/>
      <c r="U16" s="961"/>
      <c r="V16" s="961"/>
      <c r="W16" s="961"/>
      <c r="X16" s="961"/>
      <c r="Y16" s="961"/>
      <c r="Z16" s="961"/>
      <c r="AA16" s="961"/>
      <c r="AB16" s="961"/>
      <c r="AC16" s="961"/>
      <c r="AD16" s="961"/>
      <c r="AE16" s="961"/>
      <c r="AF16" s="961"/>
      <c r="AG16" s="961"/>
      <c r="AH16" s="961"/>
      <c r="AI16" s="961"/>
      <c r="AJ16" s="961"/>
      <c r="AK16" s="961"/>
      <c r="AL16" s="961"/>
      <c r="AM16" s="961"/>
      <c r="AN16" s="961"/>
      <c r="AO16" s="961"/>
      <c r="AP16" s="961"/>
      <c r="AQ16" s="961"/>
      <c r="AR16" s="961"/>
      <c r="AS16" s="961"/>
      <c r="AT16" s="961"/>
      <c r="AU16" s="962"/>
      <c r="AV16" s="271"/>
    </row>
    <row r="17" spans="1:70" s="234" customFormat="1" ht="25" customHeight="1" x14ac:dyDescent="0.65">
      <c r="R17" s="271"/>
      <c r="S17" s="271"/>
      <c r="T17" s="960"/>
      <c r="U17" s="961"/>
      <c r="V17" s="961"/>
      <c r="W17" s="961"/>
      <c r="X17" s="961"/>
      <c r="Y17" s="961"/>
      <c r="Z17" s="961"/>
      <c r="AA17" s="961"/>
      <c r="AB17" s="961"/>
      <c r="AC17" s="961"/>
      <c r="AD17" s="961"/>
      <c r="AE17" s="961"/>
      <c r="AF17" s="961"/>
      <c r="AG17" s="961"/>
      <c r="AH17" s="961"/>
      <c r="AI17" s="961"/>
      <c r="AJ17" s="961"/>
      <c r="AK17" s="961"/>
      <c r="AL17" s="961"/>
      <c r="AM17" s="961"/>
      <c r="AN17" s="961"/>
      <c r="AO17" s="961"/>
      <c r="AP17" s="961"/>
      <c r="AQ17" s="961"/>
      <c r="AR17" s="961"/>
      <c r="AS17" s="961"/>
      <c r="AT17" s="961"/>
      <c r="AU17" s="962"/>
      <c r="AV17" s="271"/>
    </row>
    <row r="18" spans="1:70" s="234" customFormat="1" ht="25" customHeight="1" x14ac:dyDescent="0.65">
      <c r="R18" s="271"/>
      <c r="S18" s="271"/>
      <c r="T18" s="960"/>
      <c r="U18" s="961"/>
      <c r="V18" s="961"/>
      <c r="W18" s="961"/>
      <c r="X18" s="961"/>
      <c r="Y18" s="961"/>
      <c r="Z18" s="961"/>
      <c r="AA18" s="961"/>
      <c r="AB18" s="961"/>
      <c r="AC18" s="961"/>
      <c r="AD18" s="961"/>
      <c r="AE18" s="961"/>
      <c r="AF18" s="961"/>
      <c r="AG18" s="961"/>
      <c r="AH18" s="961"/>
      <c r="AI18" s="961"/>
      <c r="AJ18" s="961"/>
      <c r="AK18" s="961"/>
      <c r="AL18" s="961"/>
      <c r="AM18" s="961"/>
      <c r="AN18" s="961"/>
      <c r="AO18" s="961"/>
      <c r="AP18" s="961"/>
      <c r="AQ18" s="961"/>
      <c r="AR18" s="961"/>
      <c r="AS18" s="961"/>
      <c r="AT18" s="961"/>
      <c r="AU18" s="962"/>
      <c r="AV18" s="271"/>
    </row>
    <row r="19" spans="1:70" s="234" customFormat="1" ht="25" customHeight="1" x14ac:dyDescent="0.65">
      <c r="R19" s="270"/>
      <c r="S19" s="270"/>
      <c r="T19" s="960"/>
      <c r="U19" s="961"/>
      <c r="V19" s="961"/>
      <c r="W19" s="961"/>
      <c r="X19" s="961"/>
      <c r="Y19" s="961"/>
      <c r="Z19" s="961"/>
      <c r="AA19" s="961"/>
      <c r="AB19" s="961"/>
      <c r="AC19" s="961"/>
      <c r="AD19" s="961"/>
      <c r="AE19" s="961"/>
      <c r="AF19" s="961"/>
      <c r="AG19" s="961"/>
      <c r="AH19" s="961"/>
      <c r="AI19" s="961"/>
      <c r="AJ19" s="961"/>
      <c r="AK19" s="961"/>
      <c r="AL19" s="961"/>
      <c r="AM19" s="961"/>
      <c r="AN19" s="961"/>
      <c r="AO19" s="961"/>
      <c r="AP19" s="961"/>
      <c r="AQ19" s="961"/>
      <c r="AR19" s="961"/>
      <c r="AS19" s="961"/>
      <c r="AT19" s="961"/>
      <c r="AU19" s="962"/>
      <c r="AV19" s="270"/>
    </row>
    <row r="20" spans="1:70" s="234" customFormat="1" ht="25" customHeight="1" x14ac:dyDescent="0.65">
      <c r="R20" s="270"/>
      <c r="S20" s="270"/>
      <c r="T20" s="960"/>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1"/>
      <c r="AR20" s="961"/>
      <c r="AS20" s="961"/>
      <c r="AT20" s="961"/>
      <c r="AU20" s="962"/>
      <c r="AV20" s="270"/>
    </row>
    <row r="21" spans="1:70" s="234" customFormat="1" ht="25" customHeight="1" thickBot="1" x14ac:dyDescent="0.7">
      <c r="T21" s="963"/>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964"/>
      <c r="AS21" s="964"/>
      <c r="AT21" s="964"/>
      <c r="AU21" s="965"/>
    </row>
    <row r="22" spans="1:70" s="234" customFormat="1" ht="25" customHeight="1" thickTop="1" x14ac:dyDescent="0.65">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row>
    <row r="23" spans="1:70" s="234" customFormat="1" ht="25" customHeight="1" x14ac:dyDescent="0.65">
      <c r="A23" s="622" t="str">
        <f>"寸法内訳　【総合判定】"&amp;AW23&amp;"（"&amp;AX23&amp;"）"</f>
        <v>寸法内訳　【総合判定】○（申請しない場合は入力不要です。）</v>
      </c>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W23" s="256" t="str">
        <f>IF(SUM(COUNTIF(AD26:AE29,"○"))=4,"○",
IF(SUM(COUNTIF(AD26:AE29,"×"))&gt;=1,"×",
IF(SUM(COUNTIF(AD26:AE29,"◎"))&lt;&gt;4,"×",
IF(SUM(COUNTIF(AD26:AE29,"◎"))=4,"◎"))))</f>
        <v>○</v>
      </c>
      <c r="AX23" s="272" t="str">
        <f xml:space="preserve">
IF(SUM(COUNTIF(AD26:AE29,"○"))=4,"申請しない場合は入力不要です。",
IF(SUM(COUNTIF(AD26:AE29,"×"))&gt;=1,"【要修正】入力不十分な箇所があります。「×」表示の箇所を確認してください。",
IF(SUM(COUNTIF(AD26:AE29,"◎"))&lt;&gt;4,"【要修正】未入力の箇所があります。「○」表示の箇所を確認してください。。",
IF(SUM(COUNTIF(AD26:AE29,"◎"))=4,"適切に入力がされました。"))))</f>
        <v>申請しない場合は入力不要です。</v>
      </c>
      <c r="AY23" s="251"/>
      <c r="AZ23" s="251"/>
      <c r="BA23" s="235"/>
      <c r="BB23" s="273"/>
      <c r="BC23" s="273"/>
      <c r="BD23" s="273"/>
      <c r="BE23" s="273"/>
      <c r="BF23" s="273"/>
      <c r="BG23" s="273"/>
      <c r="BH23" s="273"/>
      <c r="BI23" s="273"/>
      <c r="BJ23" s="273"/>
      <c r="BK23" s="273"/>
      <c r="BL23" s="273"/>
      <c r="BM23" s="273"/>
      <c r="BN23" s="273"/>
      <c r="BO23" s="273"/>
      <c r="BP23" s="273"/>
      <c r="BQ23" s="273"/>
      <c r="BR23" s="273"/>
    </row>
    <row r="24" spans="1:70" s="234" customFormat="1" ht="25" customHeight="1" x14ac:dyDescent="0.65">
      <c r="B24" s="234" t="s">
        <v>252</v>
      </c>
    </row>
    <row r="25" spans="1:70" s="234" customFormat="1" ht="25" customHeight="1" x14ac:dyDescent="0.65">
      <c r="B25" s="604" t="s">
        <v>178</v>
      </c>
      <c r="C25" s="878"/>
      <c r="D25" s="878"/>
      <c r="E25" s="878"/>
      <c r="F25" s="878"/>
      <c r="G25" s="878"/>
      <c r="H25" s="878"/>
      <c r="I25" s="879"/>
      <c r="J25" s="596" t="s">
        <v>250</v>
      </c>
      <c r="K25" s="858"/>
      <c r="L25" s="858"/>
      <c r="M25" s="880"/>
      <c r="N25" s="596" t="s">
        <v>251</v>
      </c>
      <c r="O25" s="858"/>
      <c r="P25" s="858"/>
      <c r="Q25" s="880"/>
      <c r="R25" s="596" t="s">
        <v>349</v>
      </c>
      <c r="S25" s="858"/>
      <c r="T25" s="858"/>
      <c r="U25" s="880"/>
      <c r="V25" s="604" t="s">
        <v>175</v>
      </c>
      <c r="W25" s="878"/>
      <c r="X25" s="878"/>
      <c r="Y25" s="879"/>
      <c r="Z25" s="604" t="s">
        <v>182</v>
      </c>
      <c r="AA25" s="878"/>
      <c r="AB25" s="878"/>
      <c r="AC25" s="879"/>
      <c r="AD25" s="604" t="s">
        <v>43</v>
      </c>
      <c r="AE25" s="879"/>
      <c r="AF25" s="892" t="s">
        <v>70</v>
      </c>
      <c r="AG25" s="893"/>
      <c r="AH25" s="893"/>
      <c r="AI25" s="893"/>
      <c r="AJ25" s="893"/>
      <c r="AK25" s="893"/>
      <c r="AL25" s="893"/>
      <c r="AM25" s="893"/>
      <c r="AN25" s="893"/>
      <c r="AO25" s="893"/>
      <c r="AP25" s="893"/>
      <c r="AQ25" s="893"/>
      <c r="AR25" s="893"/>
      <c r="AS25" s="893"/>
      <c r="AT25" s="893"/>
      <c r="AU25" s="894"/>
    </row>
    <row r="26" spans="1:70" s="234" customFormat="1" ht="25" customHeight="1" x14ac:dyDescent="0.65">
      <c r="B26" s="864" t="s">
        <v>201</v>
      </c>
      <c r="C26" s="865"/>
      <c r="D26" s="865"/>
      <c r="E26" s="865"/>
      <c r="F26" s="865"/>
      <c r="G26" s="865"/>
      <c r="H26" s="865"/>
      <c r="I26" s="866"/>
      <c r="J26" s="884"/>
      <c r="K26" s="885"/>
      <c r="L26" s="885"/>
      <c r="M26" s="885"/>
      <c r="N26" s="884"/>
      <c r="O26" s="885"/>
      <c r="P26" s="885"/>
      <c r="Q26" s="885"/>
      <c r="R26" s="968">
        <f>ROUNDDOWN(J26*N26,2)</f>
        <v>0</v>
      </c>
      <c r="S26" s="969"/>
      <c r="T26" s="969"/>
      <c r="U26" s="969"/>
      <c r="V26" s="875" t="s">
        <v>176</v>
      </c>
      <c r="W26" s="876"/>
      <c r="X26" s="876"/>
      <c r="Y26" s="877"/>
      <c r="Z26" s="875" t="s">
        <v>176</v>
      </c>
      <c r="AA26" s="876"/>
      <c r="AB26" s="876"/>
      <c r="AC26" s="877"/>
      <c r="AD26" s="875" t="str">
        <f xml:space="preserve">
IF(COUNTA(J26:Q26)=0,"○",
IF(COUNTA(J26:Q26)=2,"◎",
IF(COUNTA(J26:Q26)=1,"×")))</f>
        <v>○</v>
      </c>
      <c r="AE26" s="877"/>
      <c r="AF26" s="864" t="str">
        <f xml:space="preserve">
IF(COUNTA(J26:Q26)=0,"申請しない場合は入力不要です。",
IF(COUNTA(J26:Q26)=2,"適切に入力がされました。",
IF(COUNTA(J26:Q26)=1,"【要修正】縦横の寸法をいずれも入力してください。")))</f>
        <v>申請しない場合は入力不要です。</v>
      </c>
      <c r="AG26" s="865"/>
      <c r="AH26" s="865"/>
      <c r="AI26" s="865"/>
      <c r="AJ26" s="865"/>
      <c r="AK26" s="865"/>
      <c r="AL26" s="865"/>
      <c r="AM26" s="865"/>
      <c r="AN26" s="865"/>
      <c r="AO26" s="865"/>
      <c r="AP26" s="865"/>
      <c r="AQ26" s="865"/>
      <c r="AR26" s="865"/>
      <c r="AS26" s="865"/>
      <c r="AT26" s="865"/>
      <c r="AU26" s="866"/>
    </row>
    <row r="27" spans="1:70" s="234" customFormat="1" ht="25" customHeight="1" x14ac:dyDescent="0.65">
      <c r="B27" s="864" t="s">
        <v>177</v>
      </c>
      <c r="C27" s="865"/>
      <c r="D27" s="865"/>
      <c r="E27" s="865"/>
      <c r="F27" s="865"/>
      <c r="G27" s="865"/>
      <c r="H27" s="865"/>
      <c r="I27" s="866"/>
      <c r="J27" s="884"/>
      <c r="K27" s="885"/>
      <c r="L27" s="885"/>
      <c r="M27" s="885"/>
      <c r="N27" s="884"/>
      <c r="O27" s="885"/>
      <c r="P27" s="885"/>
      <c r="Q27" s="885"/>
      <c r="R27" s="968">
        <f>ROUNDDOWN(J27*N27,2)</f>
        <v>0</v>
      </c>
      <c r="S27" s="969"/>
      <c r="T27" s="969"/>
      <c r="U27" s="969"/>
      <c r="V27" s="872">
        <f>IFERROR(R27/$R$26,0)</f>
        <v>0</v>
      </c>
      <c r="W27" s="873"/>
      <c r="X27" s="873"/>
      <c r="Y27" s="874"/>
      <c r="Z27" s="872">
        <v>0.15</v>
      </c>
      <c r="AA27" s="873"/>
      <c r="AB27" s="873"/>
      <c r="AC27" s="874"/>
      <c r="AD27" s="875" t="str">
        <f xml:space="preserve">
IF(COUNTA(J27:Q27)=0,"○",
IF(COUNTA(J27:Q27)=1,"×",
IF(AND($AY$34&lt;DATE(2023,7,12),R27=0),"×",
IF(AND($AY$34&lt;DATE(2023,7,12),R27&gt;0),"◎",
IF(AND($AY$34&gt;=DATE(2023,7,12),COUNTA(J27:Q27)=2,V27&gt;=Z27),"◎",
IF(AND($AY$34&gt;=DATE(2023,7,12),COUNTA(J27:Q27)=2,V27&lt;Z27),"×"))))))</f>
        <v>○</v>
      </c>
      <c r="AE27" s="877"/>
      <c r="AF27" s="864" t="str">
        <f xml:space="preserve">
IF(COUNTA(J27:Q27)=0,"申請しない場合は入力不要です。",
IF(COUNTA(J27:Q27)=1,"【要修正】縦横の寸法をいずれも入力してください。",
IF(AND($AY$34&lt;DATE(2023,7,12),R27=0),"【要修正】縦横の寸法をいずれも入力してください。",
IF(AND($AY$34&lt;DATE(2023,7,12),R27&gt;0),"適切に入力がされました。",
IF(AND($AY$34&gt;=DATE(2023,7,12),COUNTA(J27:Q27)=2,V27&gt;=Z27),"適切に入力がされました。",
IF(AND($AY$34&gt;=DATE(2023,7,12),COUNTA(J27:Q27)=2,V27&lt;Z27),"【要修正】「発熱外来の明示部分」の専有割合が必要割合を下回っています。"))))))</f>
        <v>申請しない場合は入力不要です。</v>
      </c>
      <c r="AG27" s="865"/>
      <c r="AH27" s="865"/>
      <c r="AI27" s="865"/>
      <c r="AJ27" s="865"/>
      <c r="AK27" s="865"/>
      <c r="AL27" s="865"/>
      <c r="AM27" s="865"/>
      <c r="AN27" s="865"/>
      <c r="AO27" s="865"/>
      <c r="AP27" s="865"/>
      <c r="AQ27" s="865"/>
      <c r="AR27" s="865"/>
      <c r="AS27" s="865"/>
      <c r="AT27" s="865"/>
      <c r="AU27" s="866"/>
    </row>
    <row r="28" spans="1:70" s="234" customFormat="1" ht="25" customHeight="1" x14ac:dyDescent="0.65">
      <c r="B28" s="864" t="s">
        <v>181</v>
      </c>
      <c r="C28" s="865"/>
      <c r="D28" s="865"/>
      <c r="E28" s="865"/>
      <c r="F28" s="865"/>
      <c r="G28" s="865"/>
      <c r="H28" s="865"/>
      <c r="I28" s="866"/>
      <c r="J28" s="884"/>
      <c r="K28" s="885"/>
      <c r="L28" s="885"/>
      <c r="M28" s="885"/>
      <c r="N28" s="884"/>
      <c r="O28" s="885"/>
      <c r="P28" s="885"/>
      <c r="Q28" s="885"/>
      <c r="R28" s="968">
        <f>ROUNDDOWN(J28*N28,2)</f>
        <v>0</v>
      </c>
      <c r="S28" s="969"/>
      <c r="T28" s="969"/>
      <c r="U28" s="969"/>
      <c r="V28" s="872">
        <f>IFERROR(R28/$R$26,0)</f>
        <v>0</v>
      </c>
      <c r="W28" s="873"/>
      <c r="X28" s="873"/>
      <c r="Y28" s="874"/>
      <c r="Z28" s="872">
        <v>0.6</v>
      </c>
      <c r="AA28" s="873"/>
      <c r="AB28" s="873"/>
      <c r="AC28" s="874"/>
      <c r="AD28" s="875" t="str">
        <f xml:space="preserve">
IF(COUNTA(J28:Q28)=0,"○",
IF(COUNTA(J28:Q28)=1,"×",
IF(AND($AY$34&lt;DATE(2023,7,12),R28=0),"×",
IF(AND($AY$34&lt;DATE(2023,7,12),R28&gt;0),"◎",
IF(AND($AY$34&gt;=DATE(2023,7,12),COUNTA(J28:Q28)=2,V28&gt;=Z28),"◎",
IF(AND($AY$34&gt;=DATE(2023,7,12),COUNTA(J28:Q28)=2,V28&lt;Z28),"×"))))))</f>
        <v>○</v>
      </c>
      <c r="AE28" s="877"/>
      <c r="AF28" s="864" t="str">
        <f xml:space="preserve">
IF(COUNTA(J28:Q28)=0,"申請しない場合は入力不要です。",
IF(COUNTA(J28:Q28)=1,"【要修正】縦横の寸法をいずれも入力してください。",
IF(AND($AY$34&lt;DATE(2023,7,12),R28=0),"【要修正】縦横の寸法をいずれも入力してください。",
IF(AND($AY$34&lt;DATE(2023,7,12),R28&gt;0),"適切に入力がされました。",
IF(AND($AY$34&gt;=DATE(2023,7,12),COUNTA(J28:Q28)=2,V28&gt;=Z28),"適切に入力がされました。",
IF(AND($AY$34&gt;=DATE(2023,7,12),COUNTA(J28:Q28)=2,V28&lt;Z28),"【要修正】「発熱外来の明示部分」の専有割合が必要割合を下回っています。"))))))</f>
        <v>申請しない場合は入力不要です。</v>
      </c>
      <c r="AG28" s="865"/>
      <c r="AH28" s="865"/>
      <c r="AI28" s="865"/>
      <c r="AJ28" s="865"/>
      <c r="AK28" s="865"/>
      <c r="AL28" s="865"/>
      <c r="AM28" s="865"/>
      <c r="AN28" s="865"/>
      <c r="AO28" s="865"/>
      <c r="AP28" s="865"/>
      <c r="AQ28" s="865"/>
      <c r="AR28" s="865"/>
      <c r="AS28" s="865"/>
      <c r="AT28" s="865"/>
      <c r="AU28" s="866"/>
    </row>
    <row r="29" spans="1:70" s="234" customFormat="1" ht="25" customHeight="1" x14ac:dyDescent="0.65">
      <c r="B29" s="864" t="s">
        <v>102</v>
      </c>
      <c r="C29" s="865"/>
      <c r="D29" s="865"/>
      <c r="E29" s="865"/>
      <c r="F29" s="865"/>
      <c r="G29" s="865"/>
      <c r="H29" s="865"/>
      <c r="I29" s="866"/>
      <c r="J29" s="867" t="s">
        <v>176</v>
      </c>
      <c r="K29" s="868"/>
      <c r="L29" s="868"/>
      <c r="M29" s="869"/>
      <c r="N29" s="867" t="s">
        <v>176</v>
      </c>
      <c r="O29" s="868"/>
      <c r="P29" s="868"/>
      <c r="Q29" s="869"/>
      <c r="R29" s="968">
        <f>R26-SUM(R27:U28)</f>
        <v>0</v>
      </c>
      <c r="S29" s="969"/>
      <c r="T29" s="969"/>
      <c r="U29" s="969"/>
      <c r="V29" s="872">
        <f>IFERROR(R29/$R$26,0)</f>
        <v>0</v>
      </c>
      <c r="W29" s="873"/>
      <c r="X29" s="873"/>
      <c r="Y29" s="874"/>
      <c r="Z29" s="875" t="s">
        <v>176</v>
      </c>
      <c r="AA29" s="876"/>
      <c r="AB29" s="876"/>
      <c r="AC29" s="877"/>
      <c r="AD29" s="875" t="str">
        <f xml:space="preserve">
IF(COUNTIF(AD26:AE28,"○")=3,"○",
IF(COUNTIF(AD26:AE28,"×")&gt;=1,"×",
IF(AND(COUNTIF(AD26:AE28,"◎")=3,R29&lt;0),"×",
IF(AND(COUNTIF(AD26:AE28,"◎")=3,R29&gt;=0),"◎",
IF(AND(COUNTIF(AD26:AE28,"◎")&lt;&gt;3,R29&lt;0),"×",
IF(AND(COUNTIF(AD26:AE28,"◎")&lt;&gt;3,R29&gt;=0),"×"
))))))</f>
        <v>○</v>
      </c>
      <c r="AE29" s="877"/>
      <c r="AF29" s="864" t="str">
        <f xml:space="preserve">
IF(COUNTIF(AD26:AE28,"○")=3,"申請しない場合は入力不要です。",
IF(COUNTIF(AD26:AE28,"×")&gt;=1,"【要修正】入力不十分な箇所があります。",
IF(AND(COUNTIF(AD26:AE28,"◎")=3,R29&lt;0),"各部分の面積の和が総面積を上回っています。",
IF(AND(COUNTIF(AD26:AE28,"◎")=3,R29&gt;=0),"適切に入力がされました。",
IF(AND(COUNTIF(AD26:AE28,"◎")&lt;&gt;3,R29&lt;0),"【要修正】入力不十分かつ各部分の面積の和が総面積を上回っています。",
IF(AND(COUNTIF(AD26:AE28,"◎")&lt;&gt;3,R29&gt;=0),"【要修正】入力不十分な箇所があります。"
))))))</f>
        <v>申請しない場合は入力不要です。</v>
      </c>
      <c r="AG29" s="865"/>
      <c r="AH29" s="865"/>
      <c r="AI29" s="865"/>
      <c r="AJ29" s="865"/>
      <c r="AK29" s="865"/>
      <c r="AL29" s="865"/>
      <c r="AM29" s="865"/>
      <c r="AN29" s="865"/>
      <c r="AO29" s="865"/>
      <c r="AP29" s="865"/>
      <c r="AQ29" s="865"/>
      <c r="AR29" s="865"/>
      <c r="AS29" s="865"/>
      <c r="AT29" s="865"/>
      <c r="AU29" s="866"/>
    </row>
    <row r="30" spans="1:70" s="234" customFormat="1" ht="25" customHeight="1" x14ac:dyDescent="0.65"/>
    <row r="31" spans="1:70" s="234" customFormat="1" ht="25" customHeight="1" x14ac:dyDescent="0.65">
      <c r="A31" s="622" t="str">
        <f>"（２）経費　【判定】"&amp;Q34</f>
        <v>（２）経費　【判定】○</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row>
    <row r="32" spans="1:70" s="234" customFormat="1" ht="25" customHeight="1" x14ac:dyDescent="0.65">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row>
    <row r="33" spans="1:70" s="234" customFormat="1" ht="25" customHeight="1" x14ac:dyDescent="0.65">
      <c r="B33" s="596" t="s">
        <v>283</v>
      </c>
      <c r="C33" s="858"/>
      <c r="D33" s="858"/>
      <c r="E33" s="858"/>
      <c r="F33" s="596" t="s">
        <v>284</v>
      </c>
      <c r="G33" s="858"/>
      <c r="H33" s="858"/>
      <c r="I33" s="858"/>
      <c r="J33" s="604" t="s">
        <v>435</v>
      </c>
      <c r="K33" s="653"/>
      <c r="L33" s="653"/>
      <c r="M33" s="653"/>
      <c r="N33" s="653"/>
      <c r="O33" s="653"/>
      <c r="P33" s="654"/>
      <c r="Q33" s="604" t="s">
        <v>43</v>
      </c>
      <c r="R33" s="879"/>
      <c r="AK33" s="270"/>
      <c r="AL33" s="270"/>
      <c r="AM33" s="270"/>
      <c r="AN33" s="270"/>
      <c r="AO33" s="270"/>
      <c r="AP33" s="270"/>
      <c r="AQ33" s="270"/>
      <c r="AR33" s="270"/>
      <c r="AS33" s="270"/>
      <c r="AT33" s="270"/>
      <c r="AU33" s="270"/>
      <c r="AV33" s="270"/>
      <c r="AW33" s="270"/>
      <c r="AX33" s="270"/>
    </row>
    <row r="34" spans="1:70" s="234" customFormat="1" ht="25" customHeight="1" x14ac:dyDescent="0.65">
      <c r="B34" s="970"/>
      <c r="C34" s="971"/>
      <c r="D34" s="971"/>
      <c r="E34" s="971"/>
      <c r="F34" s="913">
        <f>ROUNDDOWN(B34*1.1,0)</f>
        <v>0</v>
      </c>
      <c r="G34" s="914"/>
      <c r="H34" s="914"/>
      <c r="I34" s="914"/>
      <c r="J34" s="322" t="s">
        <v>431</v>
      </c>
      <c r="K34" s="390"/>
      <c r="L34" s="322" t="s">
        <v>432</v>
      </c>
      <c r="M34" s="390"/>
      <c r="N34" s="322" t="s">
        <v>433</v>
      </c>
      <c r="O34" s="390"/>
      <c r="P34" s="322" t="s">
        <v>434</v>
      </c>
      <c r="Q34" s="875" t="str">
        <f xml:space="preserve">
IF(COUNTA(B34,K34,M34,O34)=0,"○",
IF(COUNTA(B34,K34,M34,O34)&lt;&gt;4,"×",
IF(はじめに入力してください!H33="事前協議なし",
IF(OR(AY34&lt;テーブル!D31,AY34&gt;テーブル!D32),"×",
IF(AND(AY34&gt;=テーブル!D31,AY34&lt;=テーブル!D32),"◎")),"")&amp;
IF(はじめに入力してください!H33="事前協議あり",
IF(OR(AY34&lt;テーブル!F20,AY34&gt;テーブル!F21),"×",
IF(AND(AY34&gt;=テーブル!F20,AY34&lt;=テーブル!F21),"◎"
)),"")))</f>
        <v>○</v>
      </c>
      <c r="R34" s="877"/>
      <c r="S34" s="259">
        <f>IF(Q34="◎",#REF!,0)</f>
        <v>0</v>
      </c>
      <c r="AK34" s="270"/>
      <c r="AL34" s="270"/>
      <c r="AM34" s="270"/>
      <c r="AN34" s="270"/>
      <c r="AO34" s="270"/>
      <c r="AP34" s="270"/>
      <c r="AQ34" s="270"/>
      <c r="AR34" s="270"/>
      <c r="AS34" s="270"/>
      <c r="AT34" s="270"/>
      <c r="AU34" s="270"/>
      <c r="AV34" s="270"/>
      <c r="AW34" s="270"/>
      <c r="AX34" s="270"/>
      <c r="AY34" s="349" t="str">
        <f xml:space="preserve">
IF(COUNTA(K34,M34,O34)=0,"○",
IF(COUNTA(K34,M34,O34)&lt;&gt;3,"×",
IF(COUNTA(K34,M34,O34)=3,DATE(IF(K34=5,2023,IF(K34=6,2024)),M34,O34))))</f>
        <v>○</v>
      </c>
      <c r="BD34" s="311" t="s">
        <v>461</v>
      </c>
      <c r="BE34" s="311"/>
      <c r="BF34" s="311"/>
    </row>
    <row r="35" spans="1:70" s="234" customFormat="1" ht="25" customHeight="1" thickBot="1" x14ac:dyDescent="0.7">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BD35" s="356" t="str">
        <f>IF(AZ4="◎",AY34,"")</f>
        <v/>
      </c>
      <c r="BE35" s="311"/>
      <c r="BF35" s="311"/>
    </row>
    <row r="36" spans="1:70" s="234" customFormat="1" ht="25" customHeight="1" thickTop="1" x14ac:dyDescent="0.65">
      <c r="B36" s="979" t="s">
        <v>258</v>
      </c>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0"/>
      <c r="AQ36" s="980"/>
      <c r="AR36" s="980"/>
      <c r="AS36" s="980"/>
      <c r="AT36" s="980"/>
      <c r="AU36" s="981"/>
      <c r="AV36" s="270"/>
      <c r="BD36" s="311" t="s">
        <v>462</v>
      </c>
      <c r="BE36" s="311" t="str">
        <f>IF(BD35="","",
IF(BF36=2023,5,
IF(BF36=2024,6)))</f>
        <v/>
      </c>
      <c r="BF36" s="311" t="e">
        <f>YEAR(BD35)</f>
        <v>#VALUE!</v>
      </c>
    </row>
    <row r="37" spans="1:70" s="234" customFormat="1" ht="25" customHeight="1" x14ac:dyDescent="0.65">
      <c r="A37" s="270"/>
      <c r="B37" s="972"/>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82"/>
      <c r="AS37" s="982"/>
      <c r="AT37" s="982"/>
      <c r="AU37" s="983"/>
      <c r="AV37" s="270"/>
      <c r="BD37" s="311" t="s">
        <v>463</v>
      </c>
      <c r="BE37" s="311" t="str">
        <f>IF(BD35="","",MONTH(BD35))</f>
        <v/>
      </c>
      <c r="BF37" s="311"/>
    </row>
    <row r="38" spans="1:70" s="234" customFormat="1" ht="25" customHeight="1" x14ac:dyDescent="0.65">
      <c r="B38" s="972" t="s">
        <v>254</v>
      </c>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973"/>
      <c r="AP38" s="973"/>
      <c r="AQ38" s="973"/>
      <c r="AR38" s="973"/>
      <c r="AS38" s="973"/>
      <c r="AT38" s="973"/>
      <c r="AU38" s="974"/>
      <c r="BD38" s="311" t="s">
        <v>464</v>
      </c>
      <c r="BE38" s="311" t="str">
        <f>IF(BD35="","",DAY(BD35))</f>
        <v/>
      </c>
      <c r="BF38" s="311"/>
    </row>
    <row r="39" spans="1:70" s="234" customFormat="1" ht="25" customHeight="1" x14ac:dyDescent="0.65">
      <c r="B39" s="975"/>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973"/>
      <c r="AP39" s="973"/>
      <c r="AQ39" s="973"/>
      <c r="AR39" s="973"/>
      <c r="AS39" s="973"/>
      <c r="AT39" s="973"/>
      <c r="AU39" s="974"/>
    </row>
    <row r="40" spans="1:70" s="234" customFormat="1" ht="25" customHeight="1" x14ac:dyDescent="0.65">
      <c r="B40" s="972" t="s">
        <v>255</v>
      </c>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973"/>
      <c r="AP40" s="973"/>
      <c r="AQ40" s="973"/>
      <c r="AR40" s="973"/>
      <c r="AS40" s="973"/>
      <c r="AT40" s="973"/>
      <c r="AU40" s="974"/>
    </row>
    <row r="41" spans="1:70" s="234" customFormat="1" ht="25" customHeight="1" x14ac:dyDescent="0.65">
      <c r="B41" s="975"/>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4"/>
    </row>
    <row r="42" spans="1:70" s="234" customFormat="1" ht="25" hidden="1" customHeight="1" x14ac:dyDescent="0.65">
      <c r="B42" s="972" t="s">
        <v>256</v>
      </c>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3"/>
      <c r="AT42" s="973"/>
      <c r="AU42" s="974"/>
    </row>
    <row r="43" spans="1:70" s="234" customFormat="1" ht="25" hidden="1" customHeight="1" x14ac:dyDescent="0.65">
      <c r="B43" s="975"/>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4"/>
    </row>
    <row r="44" spans="1:70" s="234" customFormat="1" ht="25" customHeight="1" x14ac:dyDescent="0.65">
      <c r="B44" s="972" t="s">
        <v>257</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973"/>
      <c r="AI44" s="973"/>
      <c r="AJ44" s="973"/>
      <c r="AK44" s="973"/>
      <c r="AL44" s="973"/>
      <c r="AM44" s="973"/>
      <c r="AN44" s="973"/>
      <c r="AO44" s="973"/>
      <c r="AP44" s="973"/>
      <c r="AQ44" s="973"/>
      <c r="AR44" s="973"/>
      <c r="AS44" s="973"/>
      <c r="AT44" s="973"/>
      <c r="AU44" s="974"/>
    </row>
    <row r="45" spans="1:70" s="234" customFormat="1" ht="25" customHeight="1" thickBot="1" x14ac:dyDescent="0.7">
      <c r="B45" s="976"/>
      <c r="C45" s="977"/>
      <c r="D45" s="977"/>
      <c r="E45" s="977"/>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7"/>
      <c r="AR45" s="977"/>
      <c r="AS45" s="977"/>
      <c r="AT45" s="977"/>
      <c r="AU45" s="978"/>
    </row>
    <row r="46" spans="1:70" ht="25" customHeight="1" thickTop="1" x14ac:dyDescent="0.65">
      <c r="BR46" s="220">
        <v>5</v>
      </c>
    </row>
    <row r="47" spans="1:70" ht="25" customHeight="1" x14ac:dyDescent="0.65">
      <c r="BR47" s="220">
        <v>6</v>
      </c>
    </row>
    <row r="48" spans="1:70" ht="25" customHeight="1" x14ac:dyDescent="0.65"/>
    <row r="49" ht="25" customHeight="1" x14ac:dyDescent="0.65"/>
    <row r="50" ht="25" customHeight="1" x14ac:dyDescent="0.65"/>
    <row r="51" ht="25" customHeight="1" x14ac:dyDescent="0.65"/>
    <row r="52" ht="25" customHeight="1" x14ac:dyDescent="0.65"/>
  </sheetData>
  <sheetProtection algorithmName="SHA-512" hashValue="xOPaXZWt2KiVS0w1Edynhqw1bmSkex+wDfsrCzxAwU/cECxX5/wlfslknHBMPqlchZzRKDKs7BfVv4ll0/c2QQ==" saltValue="qAQdlvp9BVL7kxtO3OptgQ==" spinCount="100000" sheet="1" objects="1" scenarios="1"/>
  <mergeCells count="61">
    <mergeCell ref="B38:AU39"/>
    <mergeCell ref="B40:AU41"/>
    <mergeCell ref="B42:AU43"/>
    <mergeCell ref="B44:AU45"/>
    <mergeCell ref="B36:AU37"/>
    <mergeCell ref="AF29:AU29"/>
    <mergeCell ref="A31:AV31"/>
    <mergeCell ref="B33:E33"/>
    <mergeCell ref="F33:I33"/>
    <mergeCell ref="Q33:R33"/>
    <mergeCell ref="B29:I29"/>
    <mergeCell ref="J29:M29"/>
    <mergeCell ref="N29:Q29"/>
    <mergeCell ref="R29:U29"/>
    <mergeCell ref="V29:Y29"/>
    <mergeCell ref="Z29:AC29"/>
    <mergeCell ref="J33:P33"/>
    <mergeCell ref="Z28:AC28"/>
    <mergeCell ref="B34:E34"/>
    <mergeCell ref="F34:I34"/>
    <mergeCell ref="Q34:R34"/>
    <mergeCell ref="AD29:AE29"/>
    <mergeCell ref="V26:Y26"/>
    <mergeCell ref="AD28:AE28"/>
    <mergeCell ref="AF28:AU28"/>
    <mergeCell ref="B28:I28"/>
    <mergeCell ref="J28:M28"/>
    <mergeCell ref="N28:Q28"/>
    <mergeCell ref="R28:U28"/>
    <mergeCell ref="V28:Y28"/>
    <mergeCell ref="T6:AU7"/>
    <mergeCell ref="Z26:AC26"/>
    <mergeCell ref="AD26:AE26"/>
    <mergeCell ref="AF26:AU26"/>
    <mergeCell ref="B27:I27"/>
    <mergeCell ref="J27:M27"/>
    <mergeCell ref="N27:Q27"/>
    <mergeCell ref="R27:U27"/>
    <mergeCell ref="V27:Y27"/>
    <mergeCell ref="Z27:AC27"/>
    <mergeCell ref="AD27:AE27"/>
    <mergeCell ref="AF27:AU27"/>
    <mergeCell ref="B26:I26"/>
    <mergeCell ref="J26:M26"/>
    <mergeCell ref="N26:Q26"/>
    <mergeCell ref="R26:U26"/>
    <mergeCell ref="T9:AU21"/>
    <mergeCell ref="AF25:AU25"/>
    <mergeCell ref="A23:AT23"/>
    <mergeCell ref="B25:I25"/>
    <mergeCell ref="J25:M25"/>
    <mergeCell ref="N25:Q25"/>
    <mergeCell ref="R25:U25"/>
    <mergeCell ref="V25:Y25"/>
    <mergeCell ref="Z25:AC25"/>
    <mergeCell ref="AD25:AE25"/>
    <mergeCell ref="AZ4:AZ5"/>
    <mergeCell ref="AX3:AY3"/>
    <mergeCell ref="B3:P5"/>
    <mergeCell ref="AK3:AN5"/>
    <mergeCell ref="AO3:AU5"/>
  </mergeCells>
  <phoneticPr fontId="1"/>
  <conditionalFormatting sqref="AD26:AE28">
    <cfRule type="containsText" dxfId="18" priority="15" operator="containsText" text="×">
      <formula>NOT(ISERROR(SEARCH("×",AD26)))</formula>
    </cfRule>
  </conditionalFormatting>
  <conditionalFormatting sqref="BB23:BR23 AX23 AF26:AU29">
    <cfRule type="containsText" dxfId="17" priority="14" operator="containsText" text="要修正">
      <formula>NOT(ISERROR(SEARCH("要修正",AF23)))</formula>
    </cfRule>
  </conditionalFormatting>
  <conditionalFormatting sqref="AW23:AZ23">
    <cfRule type="containsText" dxfId="16" priority="13" operator="containsText" text="×">
      <formula>NOT(ISERROR(SEARCH("×",AW23)))</formula>
    </cfRule>
  </conditionalFormatting>
  <conditionalFormatting sqref="Q34:R34">
    <cfRule type="containsText" dxfId="15" priority="6" operator="containsText" text="×">
      <formula>NOT(ISERROR(SEARCH("×",Q34)))</formula>
    </cfRule>
  </conditionalFormatting>
  <conditionalFormatting sqref="T6">
    <cfRule type="containsText" dxfId="14" priority="5" operator="containsText" text="要修正">
      <formula>NOT(ISERROR(SEARCH("要修正",T6)))</formula>
    </cfRule>
  </conditionalFormatting>
  <conditionalFormatting sqref="A23:AT23">
    <cfRule type="containsText" dxfId="13" priority="3" operator="containsText" text="×">
      <formula>NOT(ISERROR(SEARCH("×",A23)))</formula>
    </cfRule>
  </conditionalFormatting>
  <conditionalFormatting sqref="A31:AV32">
    <cfRule type="containsText" dxfId="12" priority="2" operator="containsText" text="×">
      <formula>NOT(ISERROR(SEARCH("×",A31)))</formula>
    </cfRule>
  </conditionalFormatting>
  <conditionalFormatting sqref="AD29:AE29">
    <cfRule type="containsText" dxfId="11" priority="1" operator="containsText" text="×">
      <formula>NOT(ISERROR(SEARCH("×",AD29)))</formula>
    </cfRule>
  </conditionalFormatting>
  <dataValidations count="1">
    <dataValidation type="list" allowBlank="1" showInputMessage="1" showErrorMessage="1" sqref="K34" xr:uid="{41DF4C63-8752-49AE-94A7-42CB97CC3950}">
      <formula1>$BR$46:$BR$47</formula1>
    </dataValidation>
  </dataValidations>
  <pageMargins left="0.7" right="0.7" top="0.75" bottom="0.75" header="0.3" footer="0.3"/>
  <pageSetup paperSize="9" scale="4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5" tint="0.39997558519241921"/>
    <pageSetUpPr fitToPage="1"/>
  </sheetPr>
  <dimension ref="A1:BQ73"/>
  <sheetViews>
    <sheetView showGridLines="0" view="pageBreakPreview" zoomScale="80" zoomScaleNormal="60" zoomScaleSheetLayoutView="80" workbookViewId="0">
      <selection activeCell="B62" sqref="B62:W62"/>
    </sheetView>
  </sheetViews>
  <sheetFormatPr defaultColWidth="8.640625" defaultRowHeight="23.15" x14ac:dyDescent="0.65"/>
  <cols>
    <col min="1" max="23" width="3.640625" style="1" customWidth="1"/>
    <col min="24" max="30" width="6.85546875" style="1" customWidth="1"/>
    <col min="31" max="48" width="3.640625" style="1" customWidth="1"/>
    <col min="49" max="49" width="12" style="1" bestFit="1" customWidth="1"/>
    <col min="50" max="50" width="18.7109375" style="1" bestFit="1" customWidth="1"/>
    <col min="51" max="51" width="8.640625" style="1"/>
    <col min="52" max="52" width="18.35546875" style="1" customWidth="1"/>
    <col min="53" max="53" width="16.35546875" style="1" customWidth="1"/>
    <col min="54" max="54" width="8.640625" style="1"/>
    <col min="55" max="55" width="15.140625" style="1" customWidth="1"/>
    <col min="56" max="58" width="8.640625" style="1"/>
    <col min="59" max="59" width="9.35546875" style="1" bestFit="1" customWidth="1"/>
    <col min="60" max="60" width="100.640625" style="193" customWidth="1"/>
    <col min="61" max="62" width="8.640625" style="1"/>
    <col min="63" max="63" width="21.2109375" style="1" customWidth="1"/>
    <col min="64" max="64" width="19.640625" style="1" customWidth="1"/>
    <col min="65" max="65" width="19.7109375" style="1" bestFit="1" customWidth="1"/>
    <col min="66" max="66" width="19.7109375" style="1" customWidth="1"/>
    <col min="67" max="67" width="23.2109375" style="1" customWidth="1"/>
    <col min="68" max="68" width="14.140625" style="1" customWidth="1"/>
    <col min="69" max="69" width="19.7109375" style="1" bestFit="1" customWidth="1"/>
    <col min="70" max="16384" width="8.640625" style="1"/>
  </cols>
  <sheetData>
    <row r="1" spans="1:69" x14ac:dyDescent="0.6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t="s">
        <v>297</v>
      </c>
      <c r="AX1" s="232" t="s">
        <v>298</v>
      </c>
    </row>
    <row r="2" spans="1:69" ht="23.15" customHeight="1" x14ac:dyDescent="0.65">
      <c r="B2" s="1012" t="s">
        <v>268</v>
      </c>
      <c r="C2" s="629"/>
      <c r="D2" s="629"/>
      <c r="E2" s="629"/>
      <c r="F2" s="629"/>
      <c r="G2" s="629"/>
      <c r="H2" s="629"/>
      <c r="I2" s="629"/>
      <c r="J2" s="629"/>
      <c r="K2" s="629"/>
      <c r="L2" s="629"/>
      <c r="M2" s="629"/>
      <c r="N2" s="629"/>
      <c r="O2" s="629"/>
      <c r="P2" s="629"/>
      <c r="Q2" s="629"/>
      <c r="R2" s="629"/>
      <c r="S2" s="629"/>
      <c r="T2" s="629"/>
      <c r="U2" s="629"/>
      <c r="V2" s="629"/>
      <c r="W2" s="629"/>
      <c r="AG2" s="711" t="s">
        <v>152</v>
      </c>
      <c r="AH2" s="635"/>
      <c r="AI2" s="635"/>
      <c r="AJ2" s="635"/>
      <c r="AK2" s="635"/>
      <c r="AL2" s="635"/>
      <c r="AM2" s="635"/>
      <c r="AN2" s="635"/>
      <c r="AO2" s="1016">
        <f>AQ26</f>
        <v>0</v>
      </c>
      <c r="AP2" s="554"/>
      <c r="AQ2" s="554"/>
      <c r="AR2" s="554"/>
      <c r="AS2" s="554"/>
      <c r="AT2" s="554"/>
      <c r="AU2" s="555"/>
      <c r="AW2" s="232" t="str">
        <f>AW26</f>
        <v>○</v>
      </c>
      <c r="AX2" s="1002" t="str">
        <f xml:space="preserve">
IF(COUNTIF(AW2:AW4,"○")=3,"○",
IF(COUNTIF(AW2:AW4,"×")&gt;=1,"×",
IF(AND(COUNTIF(AW2:AW4,"◎")&gt;=1,COUNTIF(AW2:AW4,"×")=0),"◎")))</f>
        <v>○</v>
      </c>
      <c r="BF2" s="231" t="s">
        <v>149</v>
      </c>
      <c r="BG2" s="231" t="s">
        <v>124</v>
      </c>
      <c r="BH2" s="214" t="s">
        <v>125</v>
      </c>
      <c r="BK2" s="336" t="s">
        <v>438</v>
      </c>
      <c r="BL2" s="336" t="str">
        <f>X16&amp;Y16&amp;Z16&amp;AA16&amp;AB16&amp;AC16&amp;AD16</f>
        <v>令和年月日</v>
      </c>
      <c r="BM2" s="337" t="str">
        <f>IF(AW16="◎",VALUE(BL2),"")</f>
        <v/>
      </c>
      <c r="BN2" s="337" t="s">
        <v>445</v>
      </c>
      <c r="BO2" s="336" t="str">
        <f>IF(BL7="","",
IF(BP2=2023,5,
IF(BP2=2024,6)))</f>
        <v/>
      </c>
      <c r="BP2" s="336" t="e">
        <f>YEAR(BL7)</f>
        <v>#VALUE!</v>
      </c>
      <c r="BQ2" s="340" t="e">
        <f>VALUE(BL2)</f>
        <v>#VALUE!</v>
      </c>
    </row>
    <row r="3" spans="1:69" ht="23.15" customHeight="1" x14ac:dyDescent="0.65">
      <c r="B3" s="1012"/>
      <c r="C3" s="629"/>
      <c r="D3" s="629"/>
      <c r="E3" s="629"/>
      <c r="F3" s="629"/>
      <c r="G3" s="629"/>
      <c r="H3" s="629"/>
      <c r="I3" s="629"/>
      <c r="J3" s="629"/>
      <c r="K3" s="629"/>
      <c r="L3" s="629"/>
      <c r="M3" s="629"/>
      <c r="N3" s="629"/>
      <c r="O3" s="629"/>
      <c r="P3" s="629"/>
      <c r="Q3" s="629"/>
      <c r="R3" s="629"/>
      <c r="S3" s="629"/>
      <c r="T3" s="629"/>
      <c r="U3" s="629"/>
      <c r="V3" s="629"/>
      <c r="W3" s="629"/>
      <c r="AG3" s="711" t="s">
        <v>155</v>
      </c>
      <c r="AH3" s="635"/>
      <c r="AI3" s="635"/>
      <c r="AJ3" s="635"/>
      <c r="AK3" s="635"/>
      <c r="AL3" s="635"/>
      <c r="AM3" s="635"/>
      <c r="AN3" s="635"/>
      <c r="AO3" s="1016">
        <f>AQ41</f>
        <v>0</v>
      </c>
      <c r="AP3" s="554"/>
      <c r="AQ3" s="554"/>
      <c r="AR3" s="554"/>
      <c r="AS3" s="554"/>
      <c r="AT3" s="554"/>
      <c r="AU3" s="555"/>
      <c r="AW3" s="232" t="str">
        <f>AW41</f>
        <v>○</v>
      </c>
      <c r="AX3" s="603"/>
      <c r="BF3" s="1047"/>
      <c r="BG3" s="231" t="str">
        <f>BG26</f>
        <v>×</v>
      </c>
      <c r="BH3" s="213" t="str">
        <f>"医療機器："&amp;BH26</f>
        <v>医療機器：【要修正】入力が不十分な箇所があるため金額が表示できません。</v>
      </c>
      <c r="BK3" s="336"/>
      <c r="BL3" s="336" t="str">
        <f>X17&amp;Y17&amp;Z17&amp;AA17&amp;AB17&amp;AC17&amp;AD17</f>
        <v>令和年月日</v>
      </c>
      <c r="BM3" s="337" t="str">
        <f>IF(AW17="◎",VALUE(BL3),"")</f>
        <v/>
      </c>
      <c r="BN3" s="337" t="s">
        <v>446</v>
      </c>
      <c r="BO3" s="336" t="str">
        <f>IF(BL7="","",
MONTH(BL7))</f>
        <v/>
      </c>
      <c r="BP3" s="336"/>
      <c r="BQ3" s="340" t="e">
        <f t="shared" ref="BQ3:BQ6" si="0">VALUE(BL3)</f>
        <v>#VALUE!</v>
      </c>
    </row>
    <row r="4" spans="1:69" ht="23.15" customHeight="1" thickBot="1" x14ac:dyDescent="0.7">
      <c r="B4" s="1012"/>
      <c r="C4" s="629"/>
      <c r="D4" s="629"/>
      <c r="E4" s="629"/>
      <c r="F4" s="629"/>
      <c r="G4" s="629"/>
      <c r="H4" s="629"/>
      <c r="I4" s="629"/>
      <c r="J4" s="629"/>
      <c r="K4" s="629"/>
      <c r="L4" s="629"/>
      <c r="M4" s="629"/>
      <c r="N4" s="629"/>
      <c r="O4" s="629"/>
      <c r="P4" s="629"/>
      <c r="Q4" s="629"/>
      <c r="R4" s="629"/>
      <c r="S4" s="629"/>
      <c r="T4" s="629"/>
      <c r="U4" s="629"/>
      <c r="V4" s="629"/>
      <c r="W4" s="629"/>
      <c r="AG4" s="1013" t="s">
        <v>269</v>
      </c>
      <c r="AH4" s="1014"/>
      <c r="AI4" s="1014"/>
      <c r="AJ4" s="1014"/>
      <c r="AK4" s="1014"/>
      <c r="AL4" s="1014"/>
      <c r="AM4" s="1014"/>
      <c r="AN4" s="1014"/>
      <c r="AO4" s="997">
        <f>AQ67</f>
        <v>0</v>
      </c>
      <c r="AP4" s="998"/>
      <c r="AQ4" s="998"/>
      <c r="AR4" s="998"/>
      <c r="AS4" s="998"/>
      <c r="AT4" s="998"/>
      <c r="AU4" s="999"/>
      <c r="AW4" s="232" t="str">
        <f>AW67</f>
        <v>○</v>
      </c>
      <c r="AX4" s="603"/>
      <c r="BF4" s="1048"/>
      <c r="BG4" s="231" t="str">
        <f>BG41</f>
        <v>×</v>
      </c>
      <c r="BH4" s="213" t="str">
        <f>"サーモグラフィーカメラ："&amp;BH41</f>
        <v>サーモグラフィーカメラ：申請しない場合は入力不要です。</v>
      </c>
      <c r="BK4" s="336"/>
      <c r="BL4" s="336" t="str">
        <f>X18&amp;Y18&amp;Z18&amp;AA18&amp;AB18&amp;AC18&amp;AD18</f>
        <v>令和年月日</v>
      </c>
      <c r="BM4" s="337" t="str">
        <f>IF(AW18="◎",VALUE(BL4),"")</f>
        <v/>
      </c>
      <c r="BN4" s="337" t="s">
        <v>447</v>
      </c>
      <c r="BO4" s="336" t="str">
        <f>IF(BL7="","",
DAY(BL7))</f>
        <v/>
      </c>
      <c r="BP4" s="336"/>
      <c r="BQ4" s="340" t="e">
        <f t="shared" si="0"/>
        <v>#VALUE!</v>
      </c>
    </row>
    <row r="5" spans="1:69" ht="23.6" thickTop="1" x14ac:dyDescent="0.65">
      <c r="B5" s="629"/>
      <c r="C5" s="629"/>
      <c r="D5" s="629"/>
      <c r="E5" s="629"/>
      <c r="F5" s="629"/>
      <c r="G5" s="629"/>
      <c r="H5" s="629"/>
      <c r="I5" s="629"/>
      <c r="J5" s="629"/>
      <c r="K5" s="629"/>
      <c r="L5" s="629"/>
      <c r="M5" s="629"/>
      <c r="N5" s="629"/>
      <c r="O5" s="629"/>
      <c r="P5" s="629"/>
      <c r="Q5" s="629"/>
      <c r="R5" s="629"/>
      <c r="S5" s="629"/>
      <c r="T5" s="629"/>
      <c r="U5" s="629"/>
      <c r="V5" s="629"/>
      <c r="W5" s="629"/>
      <c r="AG5" s="1003" t="s">
        <v>41</v>
      </c>
      <c r="AH5" s="1004"/>
      <c r="AI5" s="1004"/>
      <c r="AJ5" s="1004"/>
      <c r="AK5" s="1004"/>
      <c r="AL5" s="1004"/>
      <c r="AM5" s="1004"/>
      <c r="AN5" s="1004"/>
      <c r="AO5" s="1017">
        <f>SUM(AO2:AU4)</f>
        <v>0</v>
      </c>
      <c r="AP5" s="1018"/>
      <c r="AQ5" s="1018"/>
      <c r="AR5" s="1018"/>
      <c r="AS5" s="1018"/>
      <c r="AT5" s="1018"/>
      <c r="AU5" s="1019"/>
      <c r="BF5" s="1049"/>
      <c r="BG5" s="328" t="str">
        <f>AW67</f>
        <v>○</v>
      </c>
      <c r="BH5" s="326" t="str">
        <f>"換気設備："&amp;AZ67</f>
        <v>換気設備：申請しない場合は入力不要です。</v>
      </c>
      <c r="BK5" s="336"/>
      <c r="BL5" s="336" t="str">
        <f>X19&amp;Y19&amp;Z19&amp;AA19&amp;AB19&amp;AC19&amp;AD19</f>
        <v>令和年月日</v>
      </c>
      <c r="BM5" s="337" t="str">
        <f>IF(AW19="◎",VALUE(BL5),"")</f>
        <v/>
      </c>
      <c r="BN5" s="337"/>
      <c r="BO5" s="336"/>
      <c r="BP5" s="336"/>
      <c r="BQ5" s="340" t="e">
        <f t="shared" si="0"/>
        <v>#VALUE!</v>
      </c>
    </row>
    <row r="6" spans="1:69" ht="20.149999999999999" customHeight="1" x14ac:dyDescent="0.65">
      <c r="BF6" s="327"/>
      <c r="BK6" s="336"/>
      <c r="BL6" s="336" t="str">
        <f>X25&amp;Y25&amp;Z25&amp;AA25&amp;AB25&amp;AC25&amp;AD25</f>
        <v>令和年月日</v>
      </c>
      <c r="BM6" s="337" t="str">
        <f>IF(AW25="◎",VALUE(BL6),"")</f>
        <v/>
      </c>
      <c r="BN6" s="337"/>
      <c r="BO6" s="336"/>
      <c r="BP6" s="336"/>
      <c r="BQ6" s="340" t="e">
        <f t="shared" si="0"/>
        <v>#VALUE!</v>
      </c>
    </row>
    <row r="7" spans="1:69" ht="25" customHeight="1" x14ac:dyDescent="0.65">
      <c r="B7" s="1005" t="s">
        <v>135</v>
      </c>
      <c r="C7" s="1006"/>
      <c r="D7" s="1006"/>
      <c r="E7" s="1006"/>
      <c r="F7" s="1006"/>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629"/>
      <c r="AM7" s="629"/>
      <c r="AN7" s="629"/>
      <c r="AO7" s="629"/>
      <c r="AP7" s="629"/>
      <c r="AQ7" s="629"/>
      <c r="AR7" s="629"/>
      <c r="AS7" s="629"/>
      <c r="AT7" s="629"/>
      <c r="AU7" s="629"/>
      <c r="BF7" s="66"/>
      <c r="BG7" s="66"/>
      <c r="BH7" s="194"/>
      <c r="BK7" s="336" t="s">
        <v>437</v>
      </c>
      <c r="BL7" s="337" t="str">
        <f>IF(AW26="◎",MAX(BM2:BM6),"")</f>
        <v/>
      </c>
      <c r="BM7" s="336"/>
      <c r="BN7" s="336"/>
      <c r="BO7" s="336"/>
      <c r="BP7" s="336"/>
    </row>
    <row r="8" spans="1:69" x14ac:dyDescent="0.65">
      <c r="B8" s="1007" t="str">
        <f>"１．医療機器（パルスオキシメーター等）　【判定】"&amp;AW26&amp;"（"&amp;VLOOKUP(AW26,AW26:AZ26,4,FALSE)&amp;"）"</f>
        <v>１．医療機器（パルスオキシメーター等）　【判定】○（申請しない場合は入力不要です。）</v>
      </c>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row>
    <row r="9" spans="1:69" x14ac:dyDescent="0.65">
      <c r="B9" s="1000" t="s">
        <v>116</v>
      </c>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1"/>
      <c r="AN9" s="1001"/>
      <c r="AO9" s="1001"/>
      <c r="AP9" s="1001"/>
      <c r="AQ9" s="1001"/>
      <c r="AR9" s="1001"/>
      <c r="AS9" s="1001"/>
      <c r="AT9" s="1001"/>
      <c r="AU9" s="1001"/>
      <c r="BK9" s="329" t="s">
        <v>439</v>
      </c>
      <c r="BL9" s="336" t="str">
        <f>X40&amp;Y40&amp;Z40&amp;AA40&amp;AB40&amp;AC40&amp;AD40</f>
        <v>令和年月日</v>
      </c>
      <c r="BM9" s="338" t="str">
        <f>IF(AW41="◎",VALUE(BL9),"")</f>
        <v/>
      </c>
      <c r="BN9" s="338" t="s">
        <v>445</v>
      </c>
      <c r="BO9" s="336" t="str">
        <f>IF(BM9="","",
IF(BP9=2023,5,
IF(BP9=2024,6)))</f>
        <v/>
      </c>
      <c r="BP9" s="336" t="e">
        <f>YEAR(BM9)</f>
        <v>#VALUE!</v>
      </c>
      <c r="BQ9" s="1" t="e">
        <f>VALUE(BL9)</f>
        <v>#VALUE!</v>
      </c>
    </row>
    <row r="10" spans="1:69" x14ac:dyDescent="0.65">
      <c r="B10" s="195" t="s">
        <v>118</v>
      </c>
      <c r="C10" s="1008" t="s">
        <v>260</v>
      </c>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10"/>
      <c r="BN10" s="1" t="s">
        <v>446</v>
      </c>
      <c r="BO10" s="336" t="str">
        <f>IF(BM9="","",
MONTH(BM9))</f>
        <v/>
      </c>
      <c r="BP10" s="336"/>
    </row>
    <row r="11" spans="1:69" x14ac:dyDescent="0.65">
      <c r="B11" s="196" t="s">
        <v>261</v>
      </c>
      <c r="C11" s="982" t="s">
        <v>262</v>
      </c>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1011"/>
      <c r="BK11" s="336"/>
      <c r="BL11" s="336"/>
      <c r="BM11" s="336"/>
      <c r="BN11" s="336" t="s">
        <v>447</v>
      </c>
      <c r="BO11" s="336" t="str">
        <f>IF(BM9="","",
DAY(BM9))</f>
        <v/>
      </c>
      <c r="BP11" s="336"/>
    </row>
    <row r="12" spans="1:69" x14ac:dyDescent="0.65">
      <c r="B12" s="196"/>
      <c r="C12" s="982" t="s">
        <v>263</v>
      </c>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1011"/>
      <c r="BK12" s="336" t="s">
        <v>440</v>
      </c>
      <c r="BL12" s="336" t="str">
        <f>X60&amp;Y60&amp;Z60&amp;AA60&amp;AB60&amp;AC60&amp;AD60</f>
        <v>令和年月日</v>
      </c>
      <c r="BM12" s="338" t="str">
        <f>IF(AW60="◎",VALUE(BL12),"")</f>
        <v/>
      </c>
      <c r="BN12" s="336"/>
      <c r="BO12" s="336"/>
      <c r="BP12" s="336"/>
      <c r="BQ12" s="1" t="e">
        <f>VALUE(BL12)</f>
        <v>#VALUE!</v>
      </c>
    </row>
    <row r="13" spans="1:69" x14ac:dyDescent="0.65">
      <c r="B13" s="382" t="s">
        <v>492</v>
      </c>
      <c r="C13" s="383" t="s">
        <v>494</v>
      </c>
      <c r="D13" s="378"/>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4"/>
      <c r="BK13" s="336"/>
      <c r="BL13" s="336"/>
      <c r="BM13" s="338"/>
      <c r="BN13" s="336"/>
      <c r="BO13" s="336"/>
      <c r="BP13" s="336"/>
    </row>
    <row r="14" spans="1:69" x14ac:dyDescent="0.65">
      <c r="B14" s="1028" t="s">
        <v>264</v>
      </c>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BK14" s="336"/>
      <c r="BL14" s="336" t="str">
        <f t="shared" ref="BL14:BL19" si="1">X61&amp;Y61&amp;Z61&amp;AA61&amp;AB61&amp;AC61&amp;AD61</f>
        <v>令和年月日</v>
      </c>
      <c r="BM14" s="338" t="str">
        <f t="shared" ref="BM14:BM19" si="2">IF(AW61="◎",VALUE(BL14),"")</f>
        <v/>
      </c>
      <c r="BN14" s="336"/>
      <c r="BO14" s="336"/>
      <c r="BP14" s="336"/>
      <c r="BQ14" s="1" t="e">
        <f t="shared" ref="BQ14:BQ23" si="3">VALUE(BL14)</f>
        <v>#VALUE!</v>
      </c>
    </row>
    <row r="15" spans="1:69" x14ac:dyDescent="0.65">
      <c r="B15" s="1015" t="s">
        <v>126</v>
      </c>
      <c r="C15" s="1015"/>
      <c r="D15" s="1015"/>
      <c r="E15" s="1015"/>
      <c r="F15" s="1015"/>
      <c r="G15" s="1015"/>
      <c r="H15" s="1015"/>
      <c r="I15" s="1015"/>
      <c r="J15" s="1043" t="s">
        <v>200</v>
      </c>
      <c r="K15" s="688"/>
      <c r="L15" s="688"/>
      <c r="M15" s="688"/>
      <c r="N15" s="688"/>
      <c r="O15" s="688"/>
      <c r="P15" s="688"/>
      <c r="Q15" s="688"/>
      <c r="R15" s="688"/>
      <c r="S15" s="688"/>
      <c r="T15" s="688"/>
      <c r="U15" s="688"/>
      <c r="V15" s="688"/>
      <c r="W15" s="688"/>
      <c r="X15" s="1015" t="s">
        <v>422</v>
      </c>
      <c r="Y15" s="1015"/>
      <c r="Z15" s="1015"/>
      <c r="AA15" s="1015"/>
      <c r="AB15" s="1015"/>
      <c r="AC15" s="1015"/>
      <c r="AD15" s="1015"/>
      <c r="AE15" s="1015" t="s">
        <v>16</v>
      </c>
      <c r="AF15" s="624"/>
      <c r="AG15" s="690" t="s">
        <v>44</v>
      </c>
      <c r="AH15" s="1027"/>
      <c r="AI15" s="1027"/>
      <c r="AJ15" s="1027"/>
      <c r="AK15" s="1027"/>
      <c r="AL15" s="690" t="s">
        <v>119</v>
      </c>
      <c r="AM15" s="1027"/>
      <c r="AN15" s="1027"/>
      <c r="AO15" s="1027"/>
      <c r="AP15" s="1027"/>
      <c r="AQ15" s="690" t="s">
        <v>120</v>
      </c>
      <c r="AR15" s="1027"/>
      <c r="AS15" s="1027"/>
      <c r="AT15" s="1027"/>
      <c r="AU15" s="1027"/>
      <c r="AW15" s="193"/>
      <c r="BG15" s="231" t="s">
        <v>124</v>
      </c>
      <c r="BH15" s="214" t="s">
        <v>125</v>
      </c>
      <c r="BK15" s="336"/>
      <c r="BL15" s="336" t="str">
        <f t="shared" si="1"/>
        <v>令和年月日</v>
      </c>
      <c r="BM15" s="338" t="str">
        <f t="shared" si="2"/>
        <v/>
      </c>
      <c r="BN15" s="336" t="s">
        <v>445</v>
      </c>
      <c r="BO15" s="336" t="str">
        <f>IF(BL25="","",
IF(BP15=2023,5,
IF(BP15=2024,6)))</f>
        <v/>
      </c>
      <c r="BP15" s="336" t="e">
        <f>YEAR(BL25)</f>
        <v>#VALUE!</v>
      </c>
      <c r="BQ15" s="1" t="e">
        <f t="shared" si="3"/>
        <v>#VALUE!</v>
      </c>
    </row>
    <row r="16" spans="1:69" x14ac:dyDescent="0.65">
      <c r="B16" s="984"/>
      <c r="C16" s="984"/>
      <c r="D16" s="984"/>
      <c r="E16" s="984"/>
      <c r="F16" s="984"/>
      <c r="G16" s="984"/>
      <c r="H16" s="984"/>
      <c r="I16" s="984"/>
      <c r="J16" s="985"/>
      <c r="K16" s="986"/>
      <c r="L16" s="986"/>
      <c r="M16" s="986"/>
      <c r="N16" s="986"/>
      <c r="O16" s="986"/>
      <c r="P16" s="986"/>
      <c r="Q16" s="986"/>
      <c r="R16" s="986"/>
      <c r="S16" s="986"/>
      <c r="T16" s="986"/>
      <c r="U16" s="986"/>
      <c r="V16" s="986"/>
      <c r="W16" s="986"/>
      <c r="X16" s="386" t="s">
        <v>396</v>
      </c>
      <c r="Y16" s="376"/>
      <c r="Z16" s="386" t="s">
        <v>419</v>
      </c>
      <c r="AA16" s="376"/>
      <c r="AB16" s="386" t="s">
        <v>420</v>
      </c>
      <c r="AC16" s="376"/>
      <c r="AD16" s="386" t="s">
        <v>421</v>
      </c>
      <c r="AE16" s="987">
        <v>1</v>
      </c>
      <c r="AF16" s="988"/>
      <c r="AG16" s="989"/>
      <c r="AH16" s="990"/>
      <c r="AI16" s="990"/>
      <c r="AJ16" s="990"/>
      <c r="AK16" s="990"/>
      <c r="AL16" s="991">
        <f>IF(B16="パルスオキシメーター",MIN(ROUNDDOWN(AG16*1.1,0),30000),
IF(B16="体温計",MIN(ROUNDDOWN(AG16*1.1,0),10000),ROUNDDOWN(AG16*1.1,0)))</f>
        <v>0</v>
      </c>
      <c r="AM16" s="992"/>
      <c r="AN16" s="992"/>
      <c r="AO16" s="992"/>
      <c r="AP16" s="992"/>
      <c r="AQ16" s="993">
        <f>IF(AW16="◎",AL16*AE16,0)</f>
        <v>0</v>
      </c>
      <c r="AR16" s="994"/>
      <c r="AS16" s="994"/>
      <c r="AT16" s="994"/>
      <c r="AU16" s="994"/>
      <c r="AW16" s="232" t="str">
        <f xml:space="preserve">
IF(COUNTA(B16:AK16)=5,"○",
IF(COUNTA(B16:AK16)&lt;&gt;11,"×",
IF(はじめに入力してください!$H$33="事前協議なし",
IF(OR(AX16&lt;テーブル!$C$31,AX16&gt;テーブル!$C$32),"×",
IF(AND(AX16&gt;=テーブル!$C$31,AX16&lt;=テーブル!$C$32),"◎")),"")&amp;
IF(はじめに入力してください!$H$33="事前協議あり",
IF(OR(AX16&lt;テーブル!$F$20,AX16&gt;テーブル!$F$21),"×",
IF(AND(AX16&gt;=テーブル!$F$20,AX16&lt;=テーブル!$F$21),"◎")),"")))</f>
        <v>○</v>
      </c>
      <c r="AX16" s="357" t="str">
        <f xml:space="preserve">
IF(COUNTA(Y16,AA16,AC16)=0,"○",
IF(COUNTA(Y16,AA16,AC16)&lt;&gt;3,"×",
IF(COUNTA(Y16,AA16,AC16)=3,DATE(IF(Y16=5,2023,IF(Y16=6,2024)),AA16,AC16))))</f>
        <v>○</v>
      </c>
      <c r="BA16" s="1" t="s">
        <v>427</v>
      </c>
      <c r="BG16" s="231" t="str">
        <f t="shared" ref="BG16:BG25" si="4" xml:space="preserve">
IF(COUNTA(B16:AK16)=11,"◎",
IF(AND(COUNTA(B16:AK16)&gt;=5,COUNTA(B16:AK16)&lt;11),"×",
IF(COUNTA(B16:AK16)=4,"○")))</f>
        <v>×</v>
      </c>
      <c r="BH16" s="213" t="str">
        <f t="shared" ref="BH16:BH25" si="5" xml:space="preserve">
IF(COUNTA(B16:AK16)=11,"適切に入力がされました。",
IF(AND(COUNTA(B16:AK16)&gt;=5,COUNTA(B16:AK16)&lt;11),"【要修正】未入力の箇所があります。",
IF(COUNTA(B16:AK16)=4,"申請しない場合は入力不要です。")))</f>
        <v>【要修正】未入力の箇所があります。</v>
      </c>
      <c r="BK16" s="336"/>
      <c r="BL16" s="336" t="str">
        <f t="shared" si="1"/>
        <v>令和年月日</v>
      </c>
      <c r="BM16" s="338" t="str">
        <f t="shared" si="2"/>
        <v/>
      </c>
      <c r="BN16" s="336" t="s">
        <v>446</v>
      </c>
      <c r="BO16" s="336" t="str">
        <f>IF(BL25="","",
MONTH(BL25))</f>
        <v/>
      </c>
      <c r="BP16" s="336"/>
      <c r="BQ16" s="1" t="e">
        <f t="shared" si="3"/>
        <v>#VALUE!</v>
      </c>
    </row>
    <row r="17" spans="2:69" x14ac:dyDescent="0.65">
      <c r="B17" s="984"/>
      <c r="C17" s="984"/>
      <c r="D17" s="984"/>
      <c r="E17" s="984"/>
      <c r="F17" s="984"/>
      <c r="G17" s="984"/>
      <c r="H17" s="984"/>
      <c r="I17" s="984"/>
      <c r="J17" s="985"/>
      <c r="K17" s="986"/>
      <c r="L17" s="986"/>
      <c r="M17" s="986"/>
      <c r="N17" s="986"/>
      <c r="O17" s="986"/>
      <c r="P17" s="986"/>
      <c r="Q17" s="986"/>
      <c r="R17" s="986"/>
      <c r="S17" s="986"/>
      <c r="T17" s="986"/>
      <c r="U17" s="986"/>
      <c r="V17" s="986"/>
      <c r="W17" s="986"/>
      <c r="X17" s="386" t="s">
        <v>418</v>
      </c>
      <c r="Y17" s="376"/>
      <c r="Z17" s="386" t="s">
        <v>419</v>
      </c>
      <c r="AA17" s="376"/>
      <c r="AB17" s="386" t="s">
        <v>423</v>
      </c>
      <c r="AC17" s="376"/>
      <c r="AD17" s="386" t="s">
        <v>421</v>
      </c>
      <c r="AE17" s="987">
        <v>1</v>
      </c>
      <c r="AF17" s="988"/>
      <c r="AG17" s="989"/>
      <c r="AH17" s="990"/>
      <c r="AI17" s="990"/>
      <c r="AJ17" s="990"/>
      <c r="AK17" s="990"/>
      <c r="AL17" s="991">
        <f>IF(B17="パルスオキシメーター",MIN(ROUNDDOWN(AG17*1.1,0),30000),
IF(B17="体温計",MIN(ROUNDDOWN(AG17*1.1,0),10000),ROUNDDOWN(AG17*1.1,0)))</f>
        <v>0</v>
      </c>
      <c r="AM17" s="992"/>
      <c r="AN17" s="992"/>
      <c r="AO17" s="992"/>
      <c r="AP17" s="992"/>
      <c r="AQ17" s="993">
        <f t="shared" ref="AQ17:AQ25" si="6">IF(AW17="◎",AL17*AE17,0)</f>
        <v>0</v>
      </c>
      <c r="AR17" s="994"/>
      <c r="AS17" s="994"/>
      <c r="AT17" s="994"/>
      <c r="AU17" s="994"/>
      <c r="AW17" s="380" t="str">
        <f xml:space="preserve">
IF(COUNTA(B17:AK17)=5,"○",
IF(COUNTA(B17:AK17)&lt;&gt;11,"×",
IF(はじめに入力してください!$H$33="事前協議なし",
IF(OR(AX17&lt;テーブル!$C$31,AX17&gt;テーブル!$C$32),"×",
IF(AND(AX17&gt;=テーブル!$C$31,AX17&lt;=テーブル!$C$32),"◎")),"")&amp;
IF(はじめに入力してください!$H$33="事前協議あり",
IF(OR(AX17&lt;テーブル!$F$20,AX17&gt;テーブル!$F$21),"×",
IF(AND(AX17&gt;=テーブル!$F$20,AX17&lt;=テーブル!$F$21),"◎")),"")))</f>
        <v>○</v>
      </c>
      <c r="AX17" s="357" t="str">
        <f t="shared" ref="AX17:AX25" si="7" xml:space="preserve">
IF(COUNTA(Y17,AA17,AC17)=0,"○",
IF(COUNTA(Y17,AA17,AC17)&lt;&gt;3,"×",
IF(COUNTA(Y17,AA17,AC17)=3,DATE(IF(Y17=5,2023,IF(Y17=6,2024)),AA17,AC17))))</f>
        <v>○</v>
      </c>
      <c r="BA17" s="1" t="s">
        <v>428</v>
      </c>
      <c r="BG17" s="231" t="str">
        <f t="shared" si="4"/>
        <v>×</v>
      </c>
      <c r="BH17" s="213" t="str">
        <f t="shared" si="5"/>
        <v>【要修正】未入力の箇所があります。</v>
      </c>
      <c r="BK17" s="336"/>
      <c r="BL17" s="336" t="str">
        <f t="shared" si="1"/>
        <v>令和年月日</v>
      </c>
      <c r="BM17" s="338" t="str">
        <f t="shared" si="2"/>
        <v/>
      </c>
      <c r="BN17" s="336" t="s">
        <v>447</v>
      </c>
      <c r="BO17" s="336" t="str">
        <f>IF(BL25="","",
DAY(BL25))</f>
        <v/>
      </c>
      <c r="BP17" s="336"/>
      <c r="BQ17" s="1" t="e">
        <f t="shared" si="3"/>
        <v>#VALUE!</v>
      </c>
    </row>
    <row r="18" spans="2:69" x14ac:dyDescent="0.65">
      <c r="B18" s="984"/>
      <c r="C18" s="984"/>
      <c r="D18" s="984"/>
      <c r="E18" s="984"/>
      <c r="F18" s="984"/>
      <c r="G18" s="984"/>
      <c r="H18" s="984"/>
      <c r="I18" s="984"/>
      <c r="J18" s="985"/>
      <c r="K18" s="986"/>
      <c r="L18" s="986"/>
      <c r="M18" s="986"/>
      <c r="N18" s="986"/>
      <c r="O18" s="986"/>
      <c r="P18" s="986"/>
      <c r="Q18" s="986"/>
      <c r="R18" s="986"/>
      <c r="S18" s="986"/>
      <c r="T18" s="986"/>
      <c r="U18" s="986"/>
      <c r="V18" s="986"/>
      <c r="W18" s="986"/>
      <c r="X18" s="386" t="s">
        <v>418</v>
      </c>
      <c r="Y18" s="376"/>
      <c r="Z18" s="386" t="s">
        <v>419</v>
      </c>
      <c r="AA18" s="376"/>
      <c r="AB18" s="386" t="s">
        <v>50</v>
      </c>
      <c r="AC18" s="376"/>
      <c r="AD18" s="386" t="s">
        <v>52</v>
      </c>
      <c r="AE18" s="987">
        <v>1</v>
      </c>
      <c r="AF18" s="988"/>
      <c r="AG18" s="989"/>
      <c r="AH18" s="990"/>
      <c r="AI18" s="990"/>
      <c r="AJ18" s="990"/>
      <c r="AK18" s="990"/>
      <c r="AL18" s="991">
        <f>IF(B18="パルスオキシメーター",MIN(ROUNDDOWN(AG18*1.1,0),30000),
IF(B18="体温計",MIN(ROUNDDOWN(AG18*1.1,0),10000),ROUNDDOWN(AG18*1.1,0)))</f>
        <v>0</v>
      </c>
      <c r="AM18" s="992"/>
      <c r="AN18" s="992"/>
      <c r="AO18" s="992"/>
      <c r="AP18" s="992"/>
      <c r="AQ18" s="993">
        <f t="shared" si="6"/>
        <v>0</v>
      </c>
      <c r="AR18" s="994"/>
      <c r="AS18" s="994"/>
      <c r="AT18" s="994"/>
      <c r="AU18" s="994"/>
      <c r="AW18" s="380" t="str">
        <f xml:space="preserve">
IF(COUNTA(B18:AK18)=5,"○",
IF(COUNTA(B18:AK18)&lt;&gt;11,"×",
IF(はじめに入力してください!$H$33="事前協議なし",
IF(OR(AX18&lt;テーブル!$C$31,AX18&gt;テーブル!$C$32),"×",
IF(AND(AX18&gt;=テーブル!$C$31,AX18&lt;=テーブル!$C$32),"◎")),"")&amp;
IF(はじめに入力してください!$H$33="事前協議あり",
IF(OR(AX18&lt;テーブル!$F$20,AX18&gt;テーブル!$F$21),"×",
IF(AND(AX18&gt;=テーブル!$F$20,AX18&lt;=テーブル!$F$21),"◎")),"")))</f>
        <v>○</v>
      </c>
      <c r="AX18" s="357" t="str">
        <f t="shared" si="7"/>
        <v>○</v>
      </c>
      <c r="BA18" s="1" t="s">
        <v>491</v>
      </c>
      <c r="BG18" s="231" t="str">
        <f t="shared" si="4"/>
        <v>×</v>
      </c>
      <c r="BH18" s="213" t="str">
        <f t="shared" si="5"/>
        <v>【要修正】未入力の箇所があります。</v>
      </c>
      <c r="BK18" s="336"/>
      <c r="BL18" s="336" t="str">
        <f t="shared" si="1"/>
        <v>令和年月日</v>
      </c>
      <c r="BM18" s="338" t="str">
        <f t="shared" si="2"/>
        <v/>
      </c>
      <c r="BN18" s="336"/>
      <c r="BO18" s="336"/>
      <c r="BP18" s="336"/>
      <c r="BQ18" s="1" t="e">
        <f t="shared" si="3"/>
        <v>#VALUE!</v>
      </c>
    </row>
    <row r="19" spans="2:69" x14ac:dyDescent="0.65">
      <c r="B19" s="984"/>
      <c r="C19" s="984"/>
      <c r="D19" s="984"/>
      <c r="E19" s="984"/>
      <c r="F19" s="984"/>
      <c r="G19" s="984"/>
      <c r="H19" s="984"/>
      <c r="I19" s="984"/>
      <c r="J19" s="985"/>
      <c r="K19" s="986"/>
      <c r="L19" s="986"/>
      <c r="M19" s="986"/>
      <c r="N19" s="986"/>
      <c r="O19" s="986"/>
      <c r="P19" s="986"/>
      <c r="Q19" s="986"/>
      <c r="R19" s="986"/>
      <c r="S19" s="986"/>
      <c r="T19" s="986"/>
      <c r="U19" s="986"/>
      <c r="V19" s="986"/>
      <c r="W19" s="986"/>
      <c r="X19" s="386" t="s">
        <v>418</v>
      </c>
      <c r="Y19" s="376"/>
      <c r="Z19" s="386" t="s">
        <v>419</v>
      </c>
      <c r="AA19" s="376"/>
      <c r="AB19" s="386" t="s">
        <v>50</v>
      </c>
      <c r="AC19" s="376"/>
      <c r="AD19" s="386" t="s">
        <v>52</v>
      </c>
      <c r="AE19" s="987">
        <v>1</v>
      </c>
      <c r="AF19" s="988"/>
      <c r="AG19" s="989"/>
      <c r="AH19" s="990"/>
      <c r="AI19" s="990"/>
      <c r="AJ19" s="990"/>
      <c r="AK19" s="990"/>
      <c r="AL19" s="991">
        <f t="shared" ref="AL19:AL25" si="8">IF(B19="パルスオキシメーター",MIN(ROUNDDOWN(AG19*1.1,0),30000),
IF(B19="体温計",MIN(ROUNDDOWN(AG19*1.1,0),10000),ROUNDDOWN(AG19*1.1,0)))</f>
        <v>0</v>
      </c>
      <c r="AM19" s="992"/>
      <c r="AN19" s="992"/>
      <c r="AO19" s="992"/>
      <c r="AP19" s="992"/>
      <c r="AQ19" s="993">
        <f t="shared" si="6"/>
        <v>0</v>
      </c>
      <c r="AR19" s="994"/>
      <c r="AS19" s="994"/>
      <c r="AT19" s="994"/>
      <c r="AU19" s="994"/>
      <c r="AW19" s="380" t="str">
        <f xml:space="preserve">
IF(COUNTA(B19:AK19)=5,"○",
IF(COUNTA(B19:AK19)&lt;&gt;11,"×",
IF(はじめに入力してください!$H$33="事前協議なし",
IF(OR(AX19&lt;テーブル!$C$31,AX19&gt;テーブル!$C$32),"×",
IF(AND(AX19&gt;=テーブル!$C$31,AX19&lt;=テーブル!$C$32),"◎")),"")&amp;
IF(はじめに入力してください!$H$33="事前協議あり",
IF(OR(AX19&lt;テーブル!$F$20,AX19&gt;テーブル!$F$21),"×",
IF(AND(AX19&gt;=テーブル!$F$20,AX19&lt;=テーブル!$F$21),"◎")),"")))</f>
        <v>○</v>
      </c>
      <c r="AX19" s="357" t="str">
        <f t="shared" si="7"/>
        <v>○</v>
      </c>
      <c r="BG19" s="231" t="str">
        <f t="shared" si="4"/>
        <v>×</v>
      </c>
      <c r="BH19" s="213" t="str">
        <f t="shared" si="5"/>
        <v>【要修正】未入力の箇所があります。</v>
      </c>
      <c r="BK19" s="336"/>
      <c r="BL19" s="336" t="str">
        <f t="shared" si="1"/>
        <v>令和年月日</v>
      </c>
      <c r="BM19" s="338" t="str">
        <f t="shared" si="2"/>
        <v/>
      </c>
      <c r="BN19" s="336"/>
      <c r="BO19" s="336"/>
      <c r="BP19" s="336"/>
      <c r="BQ19" s="1" t="e">
        <f t="shared" si="3"/>
        <v>#VALUE!</v>
      </c>
    </row>
    <row r="20" spans="2:69" x14ac:dyDescent="0.65">
      <c r="B20" s="984"/>
      <c r="C20" s="984"/>
      <c r="D20" s="984"/>
      <c r="E20" s="984"/>
      <c r="F20" s="984"/>
      <c r="G20" s="984"/>
      <c r="H20" s="984"/>
      <c r="I20" s="984"/>
      <c r="J20" s="985"/>
      <c r="K20" s="986"/>
      <c r="L20" s="986"/>
      <c r="M20" s="986"/>
      <c r="N20" s="986"/>
      <c r="O20" s="986"/>
      <c r="P20" s="986"/>
      <c r="Q20" s="986"/>
      <c r="R20" s="986"/>
      <c r="S20" s="986"/>
      <c r="T20" s="986"/>
      <c r="U20" s="986"/>
      <c r="V20" s="986"/>
      <c r="W20" s="986"/>
      <c r="X20" s="386" t="s">
        <v>47</v>
      </c>
      <c r="Y20" s="376"/>
      <c r="Z20" s="386" t="s">
        <v>49</v>
      </c>
      <c r="AA20" s="376"/>
      <c r="AB20" s="386" t="s">
        <v>50</v>
      </c>
      <c r="AC20" s="376"/>
      <c r="AD20" s="386" t="s">
        <v>52</v>
      </c>
      <c r="AE20" s="987">
        <v>1</v>
      </c>
      <c r="AF20" s="988"/>
      <c r="AG20" s="989"/>
      <c r="AH20" s="990"/>
      <c r="AI20" s="990"/>
      <c r="AJ20" s="990"/>
      <c r="AK20" s="990"/>
      <c r="AL20" s="991">
        <f t="shared" ref="AL20:AL21" si="9">IF(B20="パルスオキシメーター",MIN(ROUNDDOWN(AG20*1.1,0),30000),
IF(B20="体温計",MIN(ROUNDDOWN(AG20*1.1,0),10000),ROUNDDOWN(AG20*1.1,0)))</f>
        <v>0</v>
      </c>
      <c r="AM20" s="992"/>
      <c r="AN20" s="992"/>
      <c r="AO20" s="992"/>
      <c r="AP20" s="992"/>
      <c r="AQ20" s="993">
        <f t="shared" si="6"/>
        <v>0</v>
      </c>
      <c r="AR20" s="994"/>
      <c r="AS20" s="994"/>
      <c r="AT20" s="994"/>
      <c r="AU20" s="994"/>
      <c r="AW20" s="380" t="str">
        <f xml:space="preserve">
IF(COUNTA(B20:AK20)=5,"○",
IF(COUNTA(B20:AK20)&lt;&gt;11,"×",
IF(はじめに入力してください!$H$33="事前協議なし",
IF(OR(AX20&lt;テーブル!$C$31,AX20&gt;テーブル!$C$32),"×",
IF(AND(AX20&gt;=テーブル!$C$31,AX20&lt;=テーブル!$C$32),"◎")),"")&amp;
IF(はじめに入力してください!$H$33="事前協議あり",
IF(OR(AX20&lt;テーブル!$F$20,AX20&gt;テーブル!$F$21),"×",
IF(AND(AX20&gt;=テーブル!$F$20,AX20&lt;=テーブル!$F$21),"◎")),"")))</f>
        <v>○</v>
      </c>
      <c r="AX20" s="357" t="str">
        <f t="shared" ref="AX20:AX21" si="10" xml:space="preserve">
IF(COUNTA(Y20,AA20,AC20)=0,"○",
IF(COUNTA(Y20,AA20,AC20)&lt;&gt;3,"×",
IF(COUNTA(Y20,AA20,AC20)=3,DATE(IF(Y20=5,2023,IF(Y20=6,2024)),AA20,AC20))))</f>
        <v>○</v>
      </c>
      <c r="BG20" s="363" t="str">
        <f t="shared" si="4"/>
        <v>×</v>
      </c>
      <c r="BH20" s="361" t="str">
        <f t="shared" si="5"/>
        <v>【要修正】未入力の箇所があります。</v>
      </c>
      <c r="BK20" s="336"/>
      <c r="BL20" s="336" t="str">
        <f t="shared" ref="BL20:BL21" si="11">X64&amp;Y64&amp;Z64&amp;AA64&amp;AB64&amp;AC64&amp;AD64</f>
        <v>令和年月日</v>
      </c>
      <c r="BM20" s="338" t="str">
        <f>IF(AW64="◎",VALUE(BL20),"")</f>
        <v/>
      </c>
      <c r="BN20" s="336"/>
      <c r="BO20" s="336"/>
      <c r="BP20" s="336"/>
      <c r="BQ20" s="1" t="e">
        <f t="shared" ref="BQ20:BQ21" si="12">VALUE(BL20)</f>
        <v>#VALUE!</v>
      </c>
    </row>
    <row r="21" spans="2:69" x14ac:dyDescent="0.65">
      <c r="B21" s="984"/>
      <c r="C21" s="984"/>
      <c r="D21" s="984"/>
      <c r="E21" s="984"/>
      <c r="F21" s="984"/>
      <c r="G21" s="984"/>
      <c r="H21" s="984"/>
      <c r="I21" s="984"/>
      <c r="J21" s="985"/>
      <c r="K21" s="986"/>
      <c r="L21" s="986"/>
      <c r="M21" s="986"/>
      <c r="N21" s="986"/>
      <c r="O21" s="986"/>
      <c r="P21" s="986"/>
      <c r="Q21" s="986"/>
      <c r="R21" s="986"/>
      <c r="S21" s="986"/>
      <c r="T21" s="986"/>
      <c r="U21" s="986"/>
      <c r="V21" s="986"/>
      <c r="W21" s="986"/>
      <c r="X21" s="386" t="s">
        <v>47</v>
      </c>
      <c r="Y21" s="376"/>
      <c r="Z21" s="386" t="s">
        <v>49</v>
      </c>
      <c r="AA21" s="376"/>
      <c r="AB21" s="386" t="s">
        <v>50</v>
      </c>
      <c r="AC21" s="376"/>
      <c r="AD21" s="386" t="s">
        <v>52</v>
      </c>
      <c r="AE21" s="987">
        <v>1</v>
      </c>
      <c r="AF21" s="988"/>
      <c r="AG21" s="989"/>
      <c r="AH21" s="990"/>
      <c r="AI21" s="990"/>
      <c r="AJ21" s="990"/>
      <c r="AK21" s="990"/>
      <c r="AL21" s="991">
        <f t="shared" si="9"/>
        <v>0</v>
      </c>
      <c r="AM21" s="992"/>
      <c r="AN21" s="992"/>
      <c r="AO21" s="992"/>
      <c r="AP21" s="992"/>
      <c r="AQ21" s="993">
        <f t="shared" si="6"/>
        <v>0</v>
      </c>
      <c r="AR21" s="994"/>
      <c r="AS21" s="994"/>
      <c r="AT21" s="994"/>
      <c r="AU21" s="994"/>
      <c r="AW21" s="380" t="str">
        <f xml:space="preserve">
IF(COUNTA(B21:AK21)=5,"○",
IF(COUNTA(B21:AK21)&lt;&gt;11,"×",
IF(はじめに入力してください!$H$33="事前協議なし",
IF(OR(AX21&lt;テーブル!$C$31,AX21&gt;テーブル!$C$32),"×",
IF(AND(AX21&gt;=テーブル!$C$31,AX21&lt;=テーブル!$C$32),"◎")),"")&amp;
IF(はじめに入力してください!$H$33="事前協議あり",
IF(OR(AX21&lt;テーブル!$F$20,AX21&gt;テーブル!$F$21),"×",
IF(AND(AX21&gt;=テーブル!$F$20,AX21&lt;=テーブル!$F$21),"◎")),"")))</f>
        <v>○</v>
      </c>
      <c r="AX21" s="357" t="str">
        <f t="shared" si="10"/>
        <v>○</v>
      </c>
      <c r="BG21" s="363" t="str">
        <f t="shared" si="4"/>
        <v>×</v>
      </c>
      <c r="BH21" s="361" t="str">
        <f t="shared" si="5"/>
        <v>【要修正】未入力の箇所があります。</v>
      </c>
      <c r="BK21" s="336"/>
      <c r="BL21" s="336" t="str">
        <f t="shared" si="11"/>
        <v>令和年月日</v>
      </c>
      <c r="BM21" s="338" t="str">
        <f>IF(AW65="◎",VALUE(BL21),"")</f>
        <v/>
      </c>
      <c r="BN21" s="336"/>
      <c r="BO21" s="336"/>
      <c r="BP21" s="336"/>
      <c r="BQ21" s="1" t="e">
        <f t="shared" si="12"/>
        <v>#VALUE!</v>
      </c>
    </row>
    <row r="22" spans="2:69" x14ac:dyDescent="0.65">
      <c r="B22" s="984"/>
      <c r="C22" s="984"/>
      <c r="D22" s="984"/>
      <c r="E22" s="984"/>
      <c r="F22" s="984"/>
      <c r="G22" s="984"/>
      <c r="H22" s="984"/>
      <c r="I22" s="984"/>
      <c r="J22" s="985"/>
      <c r="K22" s="986"/>
      <c r="L22" s="986"/>
      <c r="M22" s="986"/>
      <c r="N22" s="986"/>
      <c r="O22" s="986"/>
      <c r="P22" s="986"/>
      <c r="Q22" s="986"/>
      <c r="R22" s="986"/>
      <c r="S22" s="986"/>
      <c r="T22" s="986"/>
      <c r="U22" s="986"/>
      <c r="V22" s="986"/>
      <c r="W22" s="986"/>
      <c r="X22" s="386" t="s">
        <v>47</v>
      </c>
      <c r="Y22" s="376"/>
      <c r="Z22" s="386" t="s">
        <v>49</v>
      </c>
      <c r="AA22" s="376"/>
      <c r="AB22" s="386" t="s">
        <v>50</v>
      </c>
      <c r="AC22" s="376"/>
      <c r="AD22" s="386" t="s">
        <v>52</v>
      </c>
      <c r="AE22" s="987">
        <v>1</v>
      </c>
      <c r="AF22" s="988"/>
      <c r="AG22" s="989"/>
      <c r="AH22" s="990"/>
      <c r="AI22" s="990"/>
      <c r="AJ22" s="990"/>
      <c r="AK22" s="990"/>
      <c r="AL22" s="991">
        <f t="shared" si="8"/>
        <v>0</v>
      </c>
      <c r="AM22" s="992"/>
      <c r="AN22" s="992"/>
      <c r="AO22" s="992"/>
      <c r="AP22" s="992"/>
      <c r="AQ22" s="993">
        <f t="shared" si="6"/>
        <v>0</v>
      </c>
      <c r="AR22" s="994"/>
      <c r="AS22" s="994"/>
      <c r="AT22" s="994"/>
      <c r="AU22" s="994"/>
      <c r="AW22" s="380" t="str">
        <f xml:space="preserve">
IF(COUNTA(B22:AK22)=5,"○",
IF(COUNTA(B22:AK22)&lt;&gt;11,"×",
IF(はじめに入力してください!$H$33="事前協議なし",
IF(OR(AX22&lt;テーブル!$C$31,AX22&gt;テーブル!$C$32),"×",
IF(AND(AX22&gt;=テーブル!$C$31,AX22&lt;=テーブル!$C$32),"◎")),"")&amp;
IF(はじめに入力してください!$H$33="事前協議あり",
IF(OR(AX22&lt;テーブル!$F$20,AX22&gt;テーブル!$F$21),"×",
IF(AND(AX22&gt;=テーブル!$F$20,AX22&lt;=テーブル!$F$21),"◎")),"")))</f>
        <v>○</v>
      </c>
      <c r="AX22" s="357" t="str">
        <f t="shared" si="7"/>
        <v>○</v>
      </c>
      <c r="BG22" s="363" t="str">
        <f t="shared" si="4"/>
        <v>×</v>
      </c>
      <c r="BH22" s="361" t="str">
        <f t="shared" si="5"/>
        <v>【要修正】未入力の箇所があります。</v>
      </c>
      <c r="BK22" s="336"/>
      <c r="BL22" s="336" t="str">
        <f t="shared" ref="BL22" si="13">X66&amp;Y66&amp;Z66&amp;AA66&amp;AB66&amp;AC66&amp;AD66</f>
        <v>令和年月日</v>
      </c>
      <c r="BM22" s="338" t="str">
        <f>IF(AW66="◎",VALUE(BL22),"")</f>
        <v/>
      </c>
      <c r="BN22" s="336"/>
      <c r="BO22" s="336"/>
      <c r="BP22" s="336"/>
      <c r="BQ22" s="1" t="e">
        <f t="shared" si="3"/>
        <v>#VALUE!</v>
      </c>
    </row>
    <row r="23" spans="2:69" x14ac:dyDescent="0.65">
      <c r="B23" s="984"/>
      <c r="C23" s="984"/>
      <c r="D23" s="984"/>
      <c r="E23" s="984"/>
      <c r="F23" s="984"/>
      <c r="G23" s="984"/>
      <c r="H23" s="984"/>
      <c r="I23" s="984"/>
      <c r="J23" s="985"/>
      <c r="K23" s="986"/>
      <c r="L23" s="986"/>
      <c r="M23" s="986"/>
      <c r="N23" s="986"/>
      <c r="O23" s="986"/>
      <c r="P23" s="986"/>
      <c r="Q23" s="986"/>
      <c r="R23" s="986"/>
      <c r="S23" s="986"/>
      <c r="T23" s="986"/>
      <c r="U23" s="986"/>
      <c r="V23" s="986"/>
      <c r="W23" s="986"/>
      <c r="X23" s="386" t="s">
        <v>47</v>
      </c>
      <c r="Y23" s="376"/>
      <c r="Z23" s="386" t="s">
        <v>49</v>
      </c>
      <c r="AA23" s="376"/>
      <c r="AB23" s="386" t="s">
        <v>50</v>
      </c>
      <c r="AC23" s="376"/>
      <c r="AD23" s="386" t="s">
        <v>52</v>
      </c>
      <c r="AE23" s="987">
        <v>1</v>
      </c>
      <c r="AF23" s="988"/>
      <c r="AG23" s="989"/>
      <c r="AH23" s="990"/>
      <c r="AI23" s="990"/>
      <c r="AJ23" s="990"/>
      <c r="AK23" s="990"/>
      <c r="AL23" s="991">
        <f t="shared" si="8"/>
        <v>0</v>
      </c>
      <c r="AM23" s="992"/>
      <c r="AN23" s="992"/>
      <c r="AO23" s="992"/>
      <c r="AP23" s="992"/>
      <c r="AQ23" s="993">
        <f t="shared" si="6"/>
        <v>0</v>
      </c>
      <c r="AR23" s="994"/>
      <c r="AS23" s="994"/>
      <c r="AT23" s="994"/>
      <c r="AU23" s="994"/>
      <c r="AW23" s="380" t="str">
        <f xml:space="preserve">
IF(COUNTA(B23:AK23)=5,"○",
IF(COUNTA(B23:AK23)&lt;&gt;11,"×",
IF(はじめに入力してください!$H$33="事前協議なし",
IF(OR(AX23&lt;テーブル!$C$31,AX23&gt;テーブル!$C$32),"×",
IF(AND(AX23&gt;=テーブル!$C$31,AX23&lt;=テーブル!$C$32),"◎")),"")&amp;
IF(はじめに入力してください!$H$33="事前協議あり",
IF(OR(AX23&lt;テーブル!$F$20,AX23&gt;テーブル!$F$21),"×",
IF(AND(AX23&gt;=テーブル!$F$20,AX23&lt;=テーブル!$F$21),"◎")),"")))</f>
        <v>○</v>
      </c>
      <c r="AX23" s="357" t="str">
        <f t="shared" si="7"/>
        <v>○</v>
      </c>
      <c r="BG23" s="363" t="str">
        <f t="shared" si="4"/>
        <v>×</v>
      </c>
      <c r="BH23" s="361" t="str">
        <f t="shared" si="5"/>
        <v>【要修正】未入力の箇所があります。</v>
      </c>
      <c r="BK23" s="336"/>
      <c r="BL23" s="336" t="str">
        <f t="shared" ref="BL23" si="14">X66&amp;Y66&amp;Z66&amp;AA66&amp;AB66&amp;AC66&amp;AD66</f>
        <v>令和年月日</v>
      </c>
      <c r="BM23" s="338" t="str">
        <f>IF(AW66="◎",VALUE(BL23),"")</f>
        <v/>
      </c>
      <c r="BN23" s="336"/>
      <c r="BO23" s="336"/>
      <c r="BP23" s="336"/>
      <c r="BQ23" s="1" t="e">
        <f t="shared" si="3"/>
        <v>#VALUE!</v>
      </c>
    </row>
    <row r="24" spans="2:69" x14ac:dyDescent="0.65">
      <c r="B24" s="984"/>
      <c r="C24" s="984"/>
      <c r="D24" s="984"/>
      <c r="E24" s="984"/>
      <c r="F24" s="984"/>
      <c r="G24" s="984"/>
      <c r="H24" s="984"/>
      <c r="I24" s="984"/>
      <c r="J24" s="985"/>
      <c r="K24" s="986"/>
      <c r="L24" s="986"/>
      <c r="M24" s="986"/>
      <c r="N24" s="986"/>
      <c r="O24" s="986"/>
      <c r="P24" s="986"/>
      <c r="Q24" s="986"/>
      <c r="R24" s="986"/>
      <c r="S24" s="986"/>
      <c r="T24" s="986"/>
      <c r="U24" s="986"/>
      <c r="V24" s="986"/>
      <c r="W24" s="986"/>
      <c r="X24" s="386" t="s">
        <v>47</v>
      </c>
      <c r="Y24" s="376"/>
      <c r="Z24" s="386" t="s">
        <v>49</v>
      </c>
      <c r="AA24" s="376"/>
      <c r="AB24" s="386" t="s">
        <v>50</v>
      </c>
      <c r="AC24" s="376"/>
      <c r="AD24" s="386" t="s">
        <v>52</v>
      </c>
      <c r="AE24" s="987">
        <v>1</v>
      </c>
      <c r="AF24" s="988"/>
      <c r="AG24" s="989"/>
      <c r="AH24" s="990"/>
      <c r="AI24" s="990"/>
      <c r="AJ24" s="990"/>
      <c r="AK24" s="990"/>
      <c r="AL24" s="991">
        <f t="shared" ref="AL24" si="15">IF(B24="パルスオキシメーター",MIN(ROUNDDOWN(AG24*1.1,0),30000),
IF(B24="体温計",MIN(ROUNDDOWN(AG24*1.1,0),10000),ROUNDDOWN(AG24*1.1,0)))</f>
        <v>0</v>
      </c>
      <c r="AM24" s="992"/>
      <c r="AN24" s="992"/>
      <c r="AO24" s="992"/>
      <c r="AP24" s="992"/>
      <c r="AQ24" s="993">
        <f t="shared" si="6"/>
        <v>0</v>
      </c>
      <c r="AR24" s="994"/>
      <c r="AS24" s="994"/>
      <c r="AT24" s="994"/>
      <c r="AU24" s="994"/>
      <c r="AW24" s="380" t="str">
        <f xml:space="preserve">
IF(COUNTA(B24:AK24)=5,"○",
IF(COUNTA(B24:AK24)&lt;&gt;11,"×",
IF(はじめに入力してください!$H$33="事前協議なし",
IF(OR(AX24&lt;テーブル!$C$31,AX24&gt;テーブル!$C$32),"×",
IF(AND(AX24&gt;=テーブル!$C$31,AX24&lt;=テーブル!$C$32),"◎")),"")&amp;
IF(はじめに入力してください!$H$33="事前協議あり",
IF(OR(AX24&lt;テーブル!$F$20,AX24&gt;テーブル!$F$21),"×",
IF(AND(AX24&gt;=テーブル!$F$20,AX24&lt;=テーブル!$F$21),"◎")),"")))</f>
        <v>○</v>
      </c>
      <c r="AX24" s="357" t="str">
        <f t="shared" ref="AX24" si="16" xml:space="preserve">
IF(COUNTA(Y24,AA24,AC24)=0,"○",
IF(COUNTA(Y24,AA24,AC24)&lt;&gt;3,"×",
IF(COUNTA(Y24,AA24,AC24)=3,DATE(IF(Y24=5,2023,IF(Y24=6,2024)),AA24,AC24))))</f>
        <v>○</v>
      </c>
      <c r="BG24" s="363" t="str">
        <f t="shared" si="4"/>
        <v>×</v>
      </c>
      <c r="BH24" s="361" t="str">
        <f t="shared" si="5"/>
        <v>【要修正】未入力の箇所があります。</v>
      </c>
      <c r="BK24" s="336"/>
      <c r="BL24" s="336" t="str">
        <f t="shared" ref="BL24" si="17">X67&amp;Y67&amp;Z67&amp;AA67&amp;AB67&amp;AC67&amp;AD67</f>
        <v/>
      </c>
      <c r="BM24" s="338" t="str">
        <f>IF(AW67="◎",VALUE(BL24),"")</f>
        <v/>
      </c>
      <c r="BN24" s="336"/>
      <c r="BO24" s="336"/>
      <c r="BP24" s="336"/>
      <c r="BQ24" s="1" t="e">
        <f t="shared" ref="BQ24" si="18">VALUE(BL24)</f>
        <v>#VALUE!</v>
      </c>
    </row>
    <row r="25" spans="2:69" ht="23.6" thickBot="1" x14ac:dyDescent="0.7">
      <c r="B25" s="984"/>
      <c r="C25" s="984"/>
      <c r="D25" s="984"/>
      <c r="E25" s="984"/>
      <c r="F25" s="984"/>
      <c r="G25" s="984"/>
      <c r="H25" s="984"/>
      <c r="I25" s="984"/>
      <c r="J25" s="1052"/>
      <c r="K25" s="1053"/>
      <c r="L25" s="1053"/>
      <c r="M25" s="1053"/>
      <c r="N25" s="1053"/>
      <c r="O25" s="1053"/>
      <c r="P25" s="1053"/>
      <c r="Q25" s="1053"/>
      <c r="R25" s="1053"/>
      <c r="S25" s="1053"/>
      <c r="T25" s="1053"/>
      <c r="U25" s="1053"/>
      <c r="V25" s="1053"/>
      <c r="W25" s="1053"/>
      <c r="X25" s="391" t="s">
        <v>418</v>
      </c>
      <c r="Y25" s="377"/>
      <c r="Z25" s="391" t="s">
        <v>419</v>
      </c>
      <c r="AA25" s="377"/>
      <c r="AB25" s="391" t="s">
        <v>50</v>
      </c>
      <c r="AC25" s="377"/>
      <c r="AD25" s="391" t="s">
        <v>52</v>
      </c>
      <c r="AE25" s="987">
        <v>1</v>
      </c>
      <c r="AF25" s="988"/>
      <c r="AG25" s="989"/>
      <c r="AH25" s="990"/>
      <c r="AI25" s="990"/>
      <c r="AJ25" s="990"/>
      <c r="AK25" s="990"/>
      <c r="AL25" s="1022">
        <f t="shared" si="8"/>
        <v>0</v>
      </c>
      <c r="AM25" s="1023"/>
      <c r="AN25" s="1023"/>
      <c r="AO25" s="1023"/>
      <c r="AP25" s="1023"/>
      <c r="AQ25" s="993">
        <f t="shared" si="6"/>
        <v>0</v>
      </c>
      <c r="AR25" s="994"/>
      <c r="AS25" s="994"/>
      <c r="AT25" s="994"/>
      <c r="AU25" s="994"/>
      <c r="AW25" s="380" t="str">
        <f xml:space="preserve">
IF(COUNTA(B25:AK25)=5,"○",
IF(COUNTA(B25:AK25)&lt;&gt;11,"×",
IF(はじめに入力してください!$H$33="事前協議なし",
IF(OR(AX25&lt;テーブル!$C$31,AX25&gt;テーブル!$C$32),"×",
IF(AND(AX25&gt;=テーブル!$C$31,AX25&lt;=テーブル!$C$32),"◎")),"")&amp;
IF(はじめに入力してください!$H$33="事前協議あり",
IF(OR(AX25&lt;テーブル!$F$20,AX25&gt;テーブル!$F$21),"×",
IF(AND(AX25&gt;=テーブル!$F$20,AX25&lt;=テーブル!$F$21),"◎")),"")))</f>
        <v>○</v>
      </c>
      <c r="AX25" s="357" t="str">
        <f t="shared" si="7"/>
        <v>○</v>
      </c>
      <c r="BG25" s="231" t="str">
        <f t="shared" si="4"/>
        <v>×</v>
      </c>
      <c r="BH25" s="213" t="str">
        <f t="shared" si="5"/>
        <v>【要修正】未入力の箇所があります。</v>
      </c>
      <c r="BK25" s="336" t="s">
        <v>437</v>
      </c>
      <c r="BL25" s="337" t="str">
        <f>IF(AW67="◎",MAX(BM12:BM19),"")</f>
        <v/>
      </c>
      <c r="BM25" s="336"/>
      <c r="BN25" s="336"/>
      <c r="BO25" s="336"/>
      <c r="BP25" s="336"/>
    </row>
    <row r="26" spans="2:69" ht="23.6" thickTop="1" x14ac:dyDescent="0.65">
      <c r="B26" s="1044"/>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35"/>
      <c r="AL26" s="1040" t="s">
        <v>266</v>
      </c>
      <c r="AM26" s="1041"/>
      <c r="AN26" s="1041"/>
      <c r="AO26" s="1041"/>
      <c r="AP26" s="1042"/>
      <c r="AQ26" s="1024">
        <f>IF(AW26="◎",SUM(AQ16:AU25),0)</f>
        <v>0</v>
      </c>
      <c r="AR26" s="1025"/>
      <c r="AS26" s="1025"/>
      <c r="AT26" s="1025"/>
      <c r="AU26" s="1025"/>
      <c r="AW26" s="232" t="str">
        <f xml:space="preserve">
IF(COUNTIF(AW16:AW25,"○")=10,"○",
IF(COUNTIF(AW16:AW25,"×")&gt;=1,"×",
IF(AND(COUNTIF(AW16:AW25,"◎")&gt;=1,COUNTIF(AW16:AW25,"×")=0),"◎")))</f>
        <v>○</v>
      </c>
      <c r="AX26" s="1" t="s">
        <v>282</v>
      </c>
      <c r="AZ26" s="1" t="str">
        <f xml:space="preserve">
IF(AW26="○","申請しない場合は入力不要です。",
IF(AW26="×","【要修正】入力不十分な箇所があります。",
IF(AW26="◎","適切に入力がされました。")))</f>
        <v>申請しない場合は入力不要です。</v>
      </c>
      <c r="BG26" s="233" t="str">
        <f xml:space="preserve">
IF(SUM(COUNTIF(BG16:BG25,"○"))=5,"○",
IF(SUM(COUNTIF(BG16:BG25,"×"))&gt;=1,"×",
IF(AND(SUM(COUNTIF(BG16:BG25,"×"))=0,SUM(COUNTIF(BG16:BG25,"◎"))&gt;=1),"◎")))</f>
        <v>×</v>
      </c>
      <c r="BH26" s="198" t="str">
        <f xml:space="preserve">
IF(SUM(COUNTIF(BG16:BG25,"○"))=5,"申請しない場合は入力不要です。",
IF(SUM(COUNTIF(BG16:BG25,"×"))&gt;=1,"【要修正】入力が不十分な箇所があるため金額が表示できません。",
IF(AND(SUM(COUNTIF(BG16:BG25,"×"))=0,SUM(COUNTIF(BG16:BG25,"◎"))&gt;=1),"適切に入力がされました。")))</f>
        <v>【要修正】入力が不十分な箇所があるため金額が表示できません。</v>
      </c>
    </row>
    <row r="27" spans="2:69" ht="23.7" customHeight="1" thickBot="1" x14ac:dyDescent="0.7">
      <c r="BG27" s="66"/>
      <c r="BH27" s="68"/>
    </row>
    <row r="28" spans="2:69" ht="23.6" thickTop="1" x14ac:dyDescent="0.65">
      <c r="B28" s="979" t="s">
        <v>278</v>
      </c>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029"/>
      <c r="AE28" s="1029"/>
      <c r="AF28" s="1029"/>
      <c r="AG28" s="1029"/>
      <c r="AH28" s="1029"/>
      <c r="AI28" s="1029"/>
      <c r="AJ28" s="1029"/>
      <c r="AK28" s="1029"/>
      <c r="AL28" s="1029"/>
      <c r="AM28" s="1029"/>
      <c r="AN28" s="1029"/>
      <c r="AO28" s="1029"/>
      <c r="AP28" s="1029"/>
      <c r="AQ28" s="1029"/>
      <c r="AR28" s="1029"/>
      <c r="AS28" s="1029"/>
      <c r="AT28" s="1029"/>
      <c r="AU28" s="1030"/>
      <c r="AZ28" s="1" t="s">
        <v>465</v>
      </c>
    </row>
    <row r="29" spans="2:69" x14ac:dyDescent="0.65">
      <c r="B29" s="972" t="s">
        <v>279</v>
      </c>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1031"/>
      <c r="AZ29" s="336" t="s">
        <v>466</v>
      </c>
    </row>
    <row r="30" spans="2:69" x14ac:dyDescent="0.65">
      <c r="B30" s="972" t="s">
        <v>280</v>
      </c>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803"/>
      <c r="AS30" s="803"/>
      <c r="AT30" s="803"/>
      <c r="AU30" s="1031"/>
      <c r="AZ30" s="357" t="str">
        <f>IF(AW16="◎",AX16,"")</f>
        <v/>
      </c>
    </row>
    <row r="31" spans="2:69" ht="23.6" thickBot="1" x14ac:dyDescent="0.7">
      <c r="B31" s="1032" t="s">
        <v>351</v>
      </c>
      <c r="C31" s="1033"/>
      <c r="D31" s="1033"/>
      <c r="E31" s="1033"/>
      <c r="F31" s="1033"/>
      <c r="G31" s="1033"/>
      <c r="H31" s="1033"/>
      <c r="I31" s="103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c r="AJ31" s="1033"/>
      <c r="AK31" s="1033"/>
      <c r="AL31" s="1033"/>
      <c r="AM31" s="1033"/>
      <c r="AN31" s="1033"/>
      <c r="AO31" s="1033"/>
      <c r="AP31" s="1033"/>
      <c r="AQ31" s="1033"/>
      <c r="AR31" s="1033"/>
      <c r="AS31" s="1033"/>
      <c r="AT31" s="1033"/>
      <c r="AU31" s="1034"/>
      <c r="AZ31" s="357" t="str">
        <f>IF(AW17="◎",AX17,"")</f>
        <v/>
      </c>
    </row>
    <row r="32" spans="2:69" ht="15" customHeight="1" thickTop="1" x14ac:dyDescent="0.65">
      <c r="AZ32" s="357" t="str">
        <f>IF(AW18="◎",AX18,"")</f>
        <v/>
      </c>
      <c r="BB32" s="1" t="s">
        <v>471</v>
      </c>
    </row>
    <row r="33" spans="2:69" x14ac:dyDescent="0.65">
      <c r="B33" s="1007" t="str">
        <f>"２．非接触サーモグラフィーカメラ（検温・消毒機能付き）　【判定】"&amp;AW41&amp;"（"&amp;VLOOKUP(AW41,AW41:AZ41,4,FALSE)&amp;"）"</f>
        <v>２．非接触サーモグラフィーカメラ（検温・消毒機能付き）　【判定】○（申請しない場合は入力不要です。）</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Z33" s="357" t="str">
        <f>IF(AW19="◎",AX19,"")</f>
        <v/>
      </c>
      <c r="BA33" s="1" t="s">
        <v>468</v>
      </c>
      <c r="BB33" s="1" t="str">
        <f>IF(BC33="","",
IF(BC33=2023,5,
IF(BC33=2024,6)))</f>
        <v/>
      </c>
      <c r="BC33" s="1" t="str">
        <f>IF(AZ35="","",YEAR(AZ35))</f>
        <v/>
      </c>
      <c r="BQ33" s="1">
        <v>5</v>
      </c>
    </row>
    <row r="34" spans="2:69" x14ac:dyDescent="0.65">
      <c r="B34" s="1" t="s">
        <v>116</v>
      </c>
      <c r="AZ34" s="357" t="str">
        <f t="shared" ref="AZ34" si="19">IF(AW25="◎",AX25,"")</f>
        <v/>
      </c>
      <c r="BA34" s="1" t="s">
        <v>469</v>
      </c>
      <c r="BB34" s="1" t="str">
        <f>IF(AZ35="","",MONTH(AZ35))</f>
        <v/>
      </c>
      <c r="BQ34" s="1">
        <v>6</v>
      </c>
    </row>
    <row r="35" spans="2:69" x14ac:dyDescent="0.65">
      <c r="B35" s="195" t="s">
        <v>118</v>
      </c>
      <c r="C35" s="1008" t="s">
        <v>265</v>
      </c>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09"/>
      <c r="AP35" s="1009"/>
      <c r="AQ35" s="1009"/>
      <c r="AR35" s="1009"/>
      <c r="AS35" s="1009"/>
      <c r="AT35" s="1009"/>
      <c r="AU35" s="1010"/>
      <c r="AY35" s="342" t="s">
        <v>467</v>
      </c>
      <c r="AZ35" s="358" t="str">
        <f>IF(AND(AZ30="",AZ31="",AZ32="",AZ33="",AZ34=""),"",
IF(AW26="◎",MAX(AZ30:AZ34),""))</f>
        <v/>
      </c>
      <c r="BA35" s="1" t="s">
        <v>470</v>
      </c>
      <c r="BB35" s="1" t="str">
        <f>IF(AZ35="","",DAY(AZ35))</f>
        <v/>
      </c>
    </row>
    <row r="36" spans="2:69" x14ac:dyDescent="0.65">
      <c r="B36" s="196" t="s">
        <v>117</v>
      </c>
      <c r="C36" s="982" t="s">
        <v>267</v>
      </c>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1011"/>
    </row>
    <row r="37" spans="2:69" x14ac:dyDescent="0.65">
      <c r="B37" s="197"/>
      <c r="C37" s="1000" t="s">
        <v>493</v>
      </c>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26"/>
    </row>
    <row r="38" spans="2:69" x14ac:dyDescent="0.65">
      <c r="B38" s="1" t="s">
        <v>264</v>
      </c>
      <c r="BC38" s="1" t="s">
        <v>471</v>
      </c>
      <c r="BH38" s="333"/>
    </row>
    <row r="39" spans="2:69" x14ac:dyDescent="0.65">
      <c r="B39" s="1043" t="s">
        <v>126</v>
      </c>
      <c r="C39" s="688"/>
      <c r="D39" s="688"/>
      <c r="E39" s="688"/>
      <c r="F39" s="688"/>
      <c r="G39" s="688"/>
      <c r="H39" s="688"/>
      <c r="I39" s="688"/>
      <c r="J39" s="689"/>
      <c r="K39" s="1043" t="s">
        <v>121</v>
      </c>
      <c r="L39" s="688"/>
      <c r="M39" s="688"/>
      <c r="N39" s="688"/>
      <c r="O39" s="688"/>
      <c r="P39" s="688"/>
      <c r="Q39" s="688"/>
      <c r="R39" s="688"/>
      <c r="S39" s="688"/>
      <c r="T39" s="688"/>
      <c r="U39" s="688"/>
      <c r="V39" s="688"/>
      <c r="W39" s="689"/>
      <c r="X39" s="1043" t="s">
        <v>422</v>
      </c>
      <c r="Y39" s="688"/>
      <c r="Z39" s="688"/>
      <c r="AA39" s="688"/>
      <c r="AB39" s="688"/>
      <c r="AC39" s="688"/>
      <c r="AD39" s="689"/>
      <c r="AE39" s="1015" t="s">
        <v>16</v>
      </c>
      <c r="AF39" s="624"/>
      <c r="AG39" s="690" t="s">
        <v>44</v>
      </c>
      <c r="AH39" s="1027"/>
      <c r="AI39" s="1027"/>
      <c r="AJ39" s="1027"/>
      <c r="AK39" s="1027"/>
      <c r="AL39" s="690" t="s">
        <v>119</v>
      </c>
      <c r="AM39" s="1027"/>
      <c r="AN39" s="1027"/>
      <c r="AO39" s="1027"/>
      <c r="AP39" s="1027"/>
      <c r="AQ39" s="690" t="s">
        <v>374</v>
      </c>
      <c r="AR39" s="1027"/>
      <c r="AS39" s="1027"/>
      <c r="AT39" s="1027"/>
      <c r="AU39" s="1027"/>
      <c r="BC39" s="350" t="str">
        <f>IF(AW41="◎",AX40,"")</f>
        <v/>
      </c>
      <c r="BG39" s="231" t="s">
        <v>124</v>
      </c>
      <c r="BH39" s="214" t="s">
        <v>125</v>
      </c>
    </row>
    <row r="40" spans="2:69" ht="23.6" thickBot="1" x14ac:dyDescent="0.7">
      <c r="B40" s="1054"/>
      <c r="C40" s="1055"/>
      <c r="D40" s="1055"/>
      <c r="E40" s="1055"/>
      <c r="F40" s="1055"/>
      <c r="G40" s="1055"/>
      <c r="H40" s="1055"/>
      <c r="I40" s="1055"/>
      <c r="J40" s="1056"/>
      <c r="K40" s="1054"/>
      <c r="L40" s="1055"/>
      <c r="M40" s="1055"/>
      <c r="N40" s="1055"/>
      <c r="O40" s="1055"/>
      <c r="P40" s="1055"/>
      <c r="Q40" s="1055"/>
      <c r="R40" s="1055"/>
      <c r="S40" s="1055"/>
      <c r="T40" s="1055"/>
      <c r="U40" s="1055"/>
      <c r="V40" s="1055"/>
      <c r="W40" s="1056"/>
      <c r="X40" s="392" t="s">
        <v>418</v>
      </c>
      <c r="Y40" s="376"/>
      <c r="Z40" s="392" t="s">
        <v>419</v>
      </c>
      <c r="AA40" s="376"/>
      <c r="AB40" s="392" t="s">
        <v>420</v>
      </c>
      <c r="AC40" s="376"/>
      <c r="AD40" s="392" t="s">
        <v>421</v>
      </c>
      <c r="AE40" s="1020">
        <v>1</v>
      </c>
      <c r="AF40" s="1021"/>
      <c r="AG40" s="989"/>
      <c r="AH40" s="990"/>
      <c r="AI40" s="990"/>
      <c r="AJ40" s="990"/>
      <c r="AK40" s="990"/>
      <c r="AL40" s="991">
        <f>ROUNDDOWN(AG40*1.1,0)</f>
        <v>0</v>
      </c>
      <c r="AM40" s="992"/>
      <c r="AN40" s="992"/>
      <c r="AO40" s="992"/>
      <c r="AP40" s="992"/>
      <c r="AQ40" s="993">
        <f xml:space="preserve">
IF(AW40&lt;&gt;"◎",0,
IF(COUNTIF(B16:I25,"体温計")&gt;=1,MIN(20000,AL40),MIN(30000,AL40)))</f>
        <v>0</v>
      </c>
      <c r="AR40" s="994"/>
      <c r="AS40" s="994"/>
      <c r="AT40" s="994"/>
      <c r="AU40" s="994"/>
      <c r="AW40" s="232" t="str">
        <f xml:space="preserve">
IF(COUNTA(B40:AK40)=5,"○",
IF(COUNTA(B40:AK40)&lt;&gt;11,"×",
IF(はじめに入力してください!$H$33="事前協議なし",
IF(OR(AX40&lt;テーブル!$C$31,AX40&gt;テーブル!$C$32),"×",
IF(AND(AX40&gt;=テーブル!$C$31,AX40&lt;=テーブル!$C$32),"◎")),"")&amp;
IF(はじめに入力してください!$H$33="事前協議あり",
IF(OR(AX40&lt;テーブル!$F$20,AX40&gt;テーブル!$F$21),"×",
IF(AND(AX40&gt;=テーブル!$F$20,AX40&lt;=テーブル!$F$21),"◎")),"")))</f>
        <v>○</v>
      </c>
      <c r="AX40" s="351" t="str">
        <f xml:space="preserve">
IF(COUNTA(Y40,AA40,AC40)=0,"○",
IF(COUNTA(Y40,AA40,AC40)&lt;&gt;3,"×",
IF(COUNTA(Y40,AA40,AC40)=3,DATE(IF(Y40=5,2023,IF(Y40=6,2024)),AA40,AC40))))</f>
        <v>○</v>
      </c>
      <c r="BC40" s="1" t="str">
        <f>IF(BD40="","",
IF(BD40=2023,5,
IF(BD40=2024,6)))</f>
        <v/>
      </c>
      <c r="BD40" s="1" t="str">
        <f>IF(BC39="","",YEAR(BC39))</f>
        <v/>
      </c>
      <c r="BG40" s="231" t="str">
        <f xml:space="preserve">
IF(COUNTA(B40:AK40)=11,"◎",
IF(AND(COUNTA(B40:AK40)&gt;=5,COUNTA(B40:AK40)&lt;11),"×",
IF(COUNTA(B40:AK40)=4,"○")))</f>
        <v>×</v>
      </c>
      <c r="BH40" s="326" t="str">
        <f xml:space="preserve">
IF(COUNTA(B40:AK40)=11,"適切に入力がされました。",
IF(AND(COUNTA(B40:AK40)&gt;=5,COUNTA(B40:AK40)&lt;11),"【要修正】未入力の箇所があります。",
IF(COUNTA(B40:AK40)=4,"申請しない場合は入力不要です。")))</f>
        <v>【要修正】未入力の箇所があります。</v>
      </c>
    </row>
    <row r="41" spans="2:69" ht="23.6" thickTop="1" x14ac:dyDescent="0.65">
      <c r="B41" s="1038"/>
      <c r="C41" s="1039"/>
      <c r="D41" s="1039"/>
      <c r="E41" s="1039"/>
      <c r="F41" s="1039"/>
      <c r="G41" s="1039"/>
      <c r="H41" s="1039"/>
      <c r="I41" s="1039"/>
      <c r="J41" s="1039"/>
      <c r="K41" s="1039"/>
      <c r="L41" s="1039"/>
      <c r="M41" s="1039"/>
      <c r="N41" s="1039"/>
      <c r="O41" s="1039"/>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35" t="s">
        <v>266</v>
      </c>
      <c r="AM41" s="1036"/>
      <c r="AN41" s="1036"/>
      <c r="AO41" s="1036"/>
      <c r="AP41" s="1037"/>
      <c r="AQ41" s="1024">
        <f>IF(AW41="◎",SUM(AQ40:AU40),0)</f>
        <v>0</v>
      </c>
      <c r="AR41" s="1025"/>
      <c r="AS41" s="1025"/>
      <c r="AT41" s="1025"/>
      <c r="AU41" s="1025"/>
      <c r="AW41" s="232" t="str">
        <f>AW40</f>
        <v>○</v>
      </c>
      <c r="AX41" s="1" t="s">
        <v>282</v>
      </c>
      <c r="AZ41" s="1" t="str">
        <f xml:space="preserve">
IF(AW41="○","申請しない場合は入力不要です。",
IF(AW41="×","【要修正】入力不十分な箇所があります。",
IF(AW41="◎","適切に入力がされました。")))</f>
        <v>申請しない場合は入力不要です。</v>
      </c>
      <c r="BC41" s="1" t="str">
        <f>IF(BC39="","",MONTH(BC39))</f>
        <v/>
      </c>
      <c r="BG41" s="233" t="str">
        <f>BG40</f>
        <v>×</v>
      </c>
      <c r="BH41" s="198" t="str">
        <f xml:space="preserve">
IF(AW41="○","申請しない場合は入力不要です。",
IF(AW41="×","【要修正】入力不十分の箇所があるため金額が表示できません。",
IF(AW41="◎","適切に入力がされました。")))</f>
        <v>申請しない場合は入力不要です。</v>
      </c>
    </row>
    <row r="42" spans="2:69" ht="15" customHeight="1" thickBot="1" x14ac:dyDescent="0.7">
      <c r="BC42" s="1" t="str">
        <f>IF(BC39="","",DAY(BC39))</f>
        <v/>
      </c>
      <c r="BG42" s="66"/>
      <c r="BH42" s="68"/>
    </row>
    <row r="43" spans="2:69" ht="23.6" thickTop="1" x14ac:dyDescent="0.65">
      <c r="B43" s="979" t="s">
        <v>278</v>
      </c>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30"/>
    </row>
    <row r="44" spans="2:69" x14ac:dyDescent="0.65">
      <c r="B44" s="972" t="s">
        <v>279</v>
      </c>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1031"/>
    </row>
    <row r="45" spans="2:69" x14ac:dyDescent="0.65">
      <c r="B45" s="972" t="s">
        <v>280</v>
      </c>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1031"/>
    </row>
    <row r="46" spans="2:69" ht="23.6" thickBot="1" x14ac:dyDescent="0.7">
      <c r="B46" s="1032" t="s">
        <v>351</v>
      </c>
      <c r="C46" s="103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c r="AN46" s="1033"/>
      <c r="AO46" s="1033"/>
      <c r="AP46" s="1033"/>
      <c r="AQ46" s="1033"/>
      <c r="AR46" s="1033"/>
      <c r="AS46" s="1033"/>
      <c r="AT46" s="1033"/>
      <c r="AU46" s="1034"/>
    </row>
    <row r="47" spans="2:69" ht="15" customHeight="1" thickTop="1" x14ac:dyDescent="0.65"/>
    <row r="48" spans="2:69" x14ac:dyDescent="0.65">
      <c r="B48" s="1007" t="str">
        <f>"３．換気設備設置のための軽微な改修等の修繕費　【判定】"&amp;AW67&amp;"（"&amp;VLOOKUP(AW67,AW67:AZ67,4,FALSE)&amp;"）"</f>
        <v>３．換気設備設置のための軽微な改修等の修繕費　【判定】○（申請しない場合は入力不要です。）</v>
      </c>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row>
    <row r="49" spans="2:59" x14ac:dyDescent="0.65">
      <c r="B49" s="1" t="s">
        <v>116</v>
      </c>
    </row>
    <row r="50" spans="2:59" x14ac:dyDescent="0.65">
      <c r="B50" s="195" t="s">
        <v>118</v>
      </c>
      <c r="C50" s="1008" t="s">
        <v>495</v>
      </c>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09"/>
      <c r="AL50" s="1009"/>
      <c r="AM50" s="1009"/>
      <c r="AN50" s="1009"/>
      <c r="AO50" s="1009"/>
      <c r="AP50" s="1009"/>
      <c r="AQ50" s="1009"/>
      <c r="AR50" s="1009"/>
      <c r="AS50" s="1009"/>
      <c r="AT50" s="1009"/>
      <c r="AU50" s="1010"/>
    </row>
    <row r="51" spans="2:59" x14ac:dyDescent="0.65">
      <c r="B51" s="196" t="s">
        <v>117</v>
      </c>
      <c r="C51" s="982" t="s">
        <v>270</v>
      </c>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1011"/>
    </row>
    <row r="52" spans="2:59" x14ac:dyDescent="0.65">
      <c r="B52" s="196"/>
      <c r="C52" s="982" t="s">
        <v>271</v>
      </c>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1011"/>
    </row>
    <row r="53" spans="2:59" x14ac:dyDescent="0.65">
      <c r="B53" s="196"/>
      <c r="C53" s="982" t="s">
        <v>272</v>
      </c>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1011"/>
    </row>
    <row r="54" spans="2:59" x14ac:dyDescent="0.65">
      <c r="B54" s="196"/>
      <c r="C54" s="982" t="s">
        <v>273</v>
      </c>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1011"/>
    </row>
    <row r="55" spans="2:59" x14ac:dyDescent="0.65">
      <c r="B55" s="196"/>
      <c r="C55" s="982" t="s">
        <v>345</v>
      </c>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1011"/>
    </row>
    <row r="56" spans="2:59" x14ac:dyDescent="0.65">
      <c r="B56" s="196"/>
      <c r="C56" s="982" t="s">
        <v>274</v>
      </c>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1011"/>
    </row>
    <row r="57" spans="2:59" x14ac:dyDescent="0.65">
      <c r="B57" s="197"/>
      <c r="C57" s="1000" t="s">
        <v>275</v>
      </c>
      <c r="D57" s="1001"/>
      <c r="E57" s="1001"/>
      <c r="F57" s="1001"/>
      <c r="G57" s="1001"/>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26"/>
      <c r="AZ57" s="1" t="s">
        <v>472</v>
      </c>
    </row>
    <row r="58" spans="2:59" x14ac:dyDescent="0.65">
      <c r="B58" s="1" t="s">
        <v>276</v>
      </c>
      <c r="AZ58" s="336" t="s">
        <v>466</v>
      </c>
      <c r="BA58" s="1" t="s">
        <v>467</v>
      </c>
      <c r="BG58" s="1" t="s">
        <v>122</v>
      </c>
    </row>
    <row r="59" spans="2:59" x14ac:dyDescent="0.65">
      <c r="B59" s="1015" t="s">
        <v>277</v>
      </c>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t="s">
        <v>422</v>
      </c>
      <c r="Y59" s="624"/>
      <c r="Z59" s="624"/>
      <c r="AA59" s="624"/>
      <c r="AB59" s="624"/>
      <c r="AC59" s="624"/>
      <c r="AD59" s="624"/>
      <c r="AE59" s="1015" t="s">
        <v>16</v>
      </c>
      <c r="AF59" s="624"/>
      <c r="AG59" s="690" t="s">
        <v>44</v>
      </c>
      <c r="AH59" s="1027"/>
      <c r="AI59" s="1027"/>
      <c r="AJ59" s="1027"/>
      <c r="AK59" s="1027"/>
      <c r="AL59" s="690" t="s">
        <v>119</v>
      </c>
      <c r="AM59" s="1027"/>
      <c r="AN59" s="1027"/>
      <c r="AO59" s="1027"/>
      <c r="AP59" s="1027"/>
      <c r="AQ59" s="690" t="s">
        <v>120</v>
      </c>
      <c r="AR59" s="1027"/>
      <c r="AS59" s="1027"/>
      <c r="AT59" s="1027"/>
      <c r="AU59" s="1027"/>
      <c r="AZ59" s="357" t="str">
        <f>IF(AW60="◎",AX60,"")</f>
        <v/>
      </c>
      <c r="BA59" s="350" t="str">
        <f>IF(AND(AZ59="",AZ60="",AZ61="",AZ62="",AZ63="",AZ64="",AZ65=""),"",
IF(AW67="◎",MAX(AZ59:AZ65),""))</f>
        <v/>
      </c>
      <c r="BG59" s="1" t="s">
        <v>123</v>
      </c>
    </row>
    <row r="60" spans="2:59" x14ac:dyDescent="0.65">
      <c r="B60" s="1051"/>
      <c r="C60" s="1051"/>
      <c r="D60" s="1051"/>
      <c r="E60" s="1051"/>
      <c r="F60" s="1051"/>
      <c r="G60" s="1051"/>
      <c r="H60" s="1051"/>
      <c r="I60" s="1051"/>
      <c r="J60" s="1051"/>
      <c r="K60" s="1051"/>
      <c r="L60" s="1051"/>
      <c r="M60" s="1051"/>
      <c r="N60" s="1051"/>
      <c r="O60" s="1051"/>
      <c r="P60" s="1051"/>
      <c r="Q60" s="1051"/>
      <c r="R60" s="1051"/>
      <c r="S60" s="1051"/>
      <c r="T60" s="1051"/>
      <c r="U60" s="1051"/>
      <c r="V60" s="1051"/>
      <c r="W60" s="1051"/>
      <c r="X60" s="384" t="s">
        <v>418</v>
      </c>
      <c r="Y60" s="366"/>
      <c r="Z60" s="384" t="s">
        <v>424</v>
      </c>
      <c r="AA60" s="366"/>
      <c r="AB60" s="384" t="s">
        <v>425</v>
      </c>
      <c r="AC60" s="366"/>
      <c r="AD60" s="384" t="s">
        <v>426</v>
      </c>
      <c r="AE60" s="1045">
        <v>1</v>
      </c>
      <c r="AF60" s="1046"/>
      <c r="AG60" s="989"/>
      <c r="AH60" s="990"/>
      <c r="AI60" s="990"/>
      <c r="AJ60" s="990"/>
      <c r="AK60" s="990"/>
      <c r="AL60" s="991">
        <f t="shared" ref="AL60:AL66" si="20">ROUNDDOWN(AG60*1.1,0)</f>
        <v>0</v>
      </c>
      <c r="AM60" s="992"/>
      <c r="AN60" s="992"/>
      <c r="AO60" s="992"/>
      <c r="AP60" s="992"/>
      <c r="AQ60" s="993">
        <f>IF(AW60="◎",AE60*AL60,0)</f>
        <v>0</v>
      </c>
      <c r="AR60" s="994"/>
      <c r="AS60" s="994"/>
      <c r="AT60" s="994"/>
      <c r="AU60" s="994"/>
      <c r="AW60" s="232" t="str">
        <f xml:space="preserve">
IF(COUNTA(B60:AK60)=5,"○",
IF(COUNTA(B60:AK60)&lt;&gt;10,"×",
IF(はじめに入力してください!$H$33="事前協議なし",
IF(OR(AX60&lt;テーブル!$C$31,AX60&gt;テーブル!$C$32),"×",
IF(AND(AX60&gt;=テーブル!$C$31,AX60&lt;=テーブル!$C$32),"◎")),"")&amp;
IF(はじめに入力してください!$H$33="事前協議あり",
IF(OR(AX60&lt;テーブル!$F$20,AX60&gt;テーブル!$F$21),"×",
IF(AND(AX60&gt;=テーブル!$F$20,AX60&lt;=テーブル!$F$21),"◎")),"")))</f>
        <v>○</v>
      </c>
      <c r="AX60" s="350" t="str">
        <f xml:space="preserve">
IF(COUNTA(Y60,AA60,AC60)=0,"○",
IF(COUNTA(Y60,AA60,AC60)&lt;&gt;3,"×",
IF(COUNTA(Y60,AA60,AC60)=3,DATE(IF(Y60=5,2023,IF(Y60=6,2024)),AA60,AC60))))</f>
        <v>○</v>
      </c>
      <c r="AZ60" s="357" t="str">
        <f t="shared" ref="AZ60:AZ64" si="21">IF(AW61="◎",AX61,"")</f>
        <v/>
      </c>
      <c r="BG60" s="1" t="s">
        <v>102</v>
      </c>
    </row>
    <row r="61" spans="2:59" x14ac:dyDescent="0.65">
      <c r="B61" s="1051"/>
      <c r="C61" s="1051"/>
      <c r="D61" s="1051"/>
      <c r="E61" s="1051"/>
      <c r="F61" s="1051"/>
      <c r="G61" s="1051"/>
      <c r="H61" s="1051"/>
      <c r="I61" s="1051"/>
      <c r="J61" s="1051"/>
      <c r="K61" s="1051"/>
      <c r="L61" s="1051"/>
      <c r="M61" s="1051"/>
      <c r="N61" s="1051"/>
      <c r="O61" s="1051"/>
      <c r="P61" s="1051"/>
      <c r="Q61" s="1051"/>
      <c r="R61" s="1051"/>
      <c r="S61" s="1051"/>
      <c r="T61" s="1051"/>
      <c r="U61" s="1051"/>
      <c r="V61" s="1051"/>
      <c r="W61" s="1051"/>
      <c r="X61" s="384" t="s">
        <v>418</v>
      </c>
      <c r="Y61" s="366"/>
      <c r="Z61" s="384" t="s">
        <v>424</v>
      </c>
      <c r="AA61" s="366"/>
      <c r="AB61" s="384" t="s">
        <v>425</v>
      </c>
      <c r="AC61" s="366"/>
      <c r="AD61" s="384" t="s">
        <v>426</v>
      </c>
      <c r="AE61" s="1045">
        <v>1</v>
      </c>
      <c r="AF61" s="1046"/>
      <c r="AG61" s="989"/>
      <c r="AH61" s="990"/>
      <c r="AI61" s="990"/>
      <c r="AJ61" s="990"/>
      <c r="AK61" s="990"/>
      <c r="AL61" s="991">
        <f t="shared" si="20"/>
        <v>0</v>
      </c>
      <c r="AM61" s="992"/>
      <c r="AN61" s="992"/>
      <c r="AO61" s="992"/>
      <c r="AP61" s="992"/>
      <c r="AQ61" s="993">
        <f t="shared" ref="AQ61:AQ66" si="22">IF(AW61="◎",AE61*AL61,0)</f>
        <v>0</v>
      </c>
      <c r="AR61" s="994"/>
      <c r="AS61" s="994"/>
      <c r="AT61" s="994"/>
      <c r="AU61" s="994"/>
      <c r="AW61" s="380" t="str">
        <f xml:space="preserve">
IF(COUNTA(B61:AK61)=5,"○",
IF(COUNTA(B61:AK61)&lt;&gt;10,"×",
IF(はじめに入力してください!$H$33="事前協議なし",
IF(OR(AX61&lt;テーブル!$C$31,AX61&gt;テーブル!$C$32),"×",
IF(AND(AX61&gt;=テーブル!$C$31,AX61&lt;=テーブル!$C$32),"◎")),"")&amp;
IF(はじめに入力してください!$H$33="事前協議あり",
IF(OR(AX61&lt;テーブル!$F$20,AX61&gt;テーブル!$F$21),"×",
IF(AND(AX61&gt;=テーブル!$F$20,AX61&lt;=テーブル!$F$21),"◎")),"")))</f>
        <v>○</v>
      </c>
      <c r="AX61" s="350" t="str">
        <f t="shared" ref="AX61:AX66" si="23" xml:space="preserve">
IF(COUNTA(Y61,AA61,AC61)=0,"○",
IF(COUNTA(Y61,AA61,AC61)&lt;&gt;3,"×",
IF(COUNTA(Y61,AA61,AC61)=3,DATE(IF(Y61=5,2023,IF(Y61=6,2024)),AA61,AC61))))</f>
        <v>○</v>
      </c>
      <c r="AZ61" s="357" t="str">
        <f t="shared" si="21"/>
        <v/>
      </c>
      <c r="BA61" s="1" t="s">
        <v>468</v>
      </c>
      <c r="BB61" s="1" t="str">
        <f>IF(BC61="","",
IF(BC61=2023,5,
IF(BC61=2024,6)))</f>
        <v/>
      </c>
      <c r="BC61" s="1" t="str">
        <f>IF(BA59="","",YEAR(BA59))</f>
        <v/>
      </c>
    </row>
    <row r="62" spans="2:59" x14ac:dyDescent="0.65">
      <c r="B62" s="1051"/>
      <c r="C62" s="1051"/>
      <c r="D62" s="1051"/>
      <c r="E62" s="1051"/>
      <c r="F62" s="1051"/>
      <c r="G62" s="1051"/>
      <c r="H62" s="1051"/>
      <c r="I62" s="1051"/>
      <c r="J62" s="1051"/>
      <c r="K62" s="1051"/>
      <c r="L62" s="1051"/>
      <c r="M62" s="1051"/>
      <c r="N62" s="1051"/>
      <c r="O62" s="1051"/>
      <c r="P62" s="1051"/>
      <c r="Q62" s="1051"/>
      <c r="R62" s="1051"/>
      <c r="S62" s="1051"/>
      <c r="T62" s="1051"/>
      <c r="U62" s="1051"/>
      <c r="V62" s="1051"/>
      <c r="W62" s="1051"/>
      <c r="X62" s="384" t="s">
        <v>418</v>
      </c>
      <c r="Y62" s="366"/>
      <c r="Z62" s="384" t="s">
        <v>424</v>
      </c>
      <c r="AA62" s="366"/>
      <c r="AB62" s="384" t="s">
        <v>50</v>
      </c>
      <c r="AC62" s="366"/>
      <c r="AD62" s="384" t="s">
        <v>52</v>
      </c>
      <c r="AE62" s="1045">
        <v>1</v>
      </c>
      <c r="AF62" s="1046"/>
      <c r="AG62" s="989"/>
      <c r="AH62" s="990"/>
      <c r="AI62" s="990"/>
      <c r="AJ62" s="990"/>
      <c r="AK62" s="990"/>
      <c r="AL62" s="991">
        <f t="shared" si="20"/>
        <v>0</v>
      </c>
      <c r="AM62" s="992"/>
      <c r="AN62" s="992"/>
      <c r="AO62" s="992"/>
      <c r="AP62" s="992"/>
      <c r="AQ62" s="993">
        <f t="shared" si="22"/>
        <v>0</v>
      </c>
      <c r="AR62" s="994"/>
      <c r="AS62" s="994"/>
      <c r="AT62" s="994"/>
      <c r="AU62" s="994"/>
      <c r="AW62" s="380" t="str">
        <f xml:space="preserve">
IF(COUNTA(B62:AK62)=5,"○",
IF(COUNTA(B62:AK62)&lt;&gt;10,"×",
IF(はじめに入力してください!$H$33="事前協議なし",
IF(OR(AX62&lt;テーブル!$C$31,AX62&gt;テーブル!$C$32),"×",
IF(AND(AX62&gt;=テーブル!$C$31,AX62&lt;=テーブル!$C$32),"◎")),"")&amp;
IF(はじめに入力してください!$H$33="事前協議あり",
IF(OR(AX62&lt;テーブル!$F$20,AX62&gt;テーブル!$F$21),"×",
IF(AND(AX62&gt;=テーブル!$F$20,AX62&lt;=テーブル!$F$21),"◎")),"")))</f>
        <v>○</v>
      </c>
      <c r="AX62" s="350" t="str">
        <f t="shared" si="23"/>
        <v>○</v>
      </c>
      <c r="AZ62" s="357" t="str">
        <f t="shared" si="21"/>
        <v/>
      </c>
      <c r="BA62" s="1" t="s">
        <v>469</v>
      </c>
      <c r="BB62" s="1" t="str">
        <f>IF(BA59="","",MONTH(BA59))</f>
        <v/>
      </c>
    </row>
    <row r="63" spans="2:59" x14ac:dyDescent="0.65">
      <c r="B63" s="1051"/>
      <c r="C63" s="1051"/>
      <c r="D63" s="1051"/>
      <c r="E63" s="1051"/>
      <c r="F63" s="1051"/>
      <c r="G63" s="1051"/>
      <c r="H63" s="1051"/>
      <c r="I63" s="1051"/>
      <c r="J63" s="1051"/>
      <c r="K63" s="1051"/>
      <c r="L63" s="1051"/>
      <c r="M63" s="1051"/>
      <c r="N63" s="1051"/>
      <c r="O63" s="1051"/>
      <c r="P63" s="1051"/>
      <c r="Q63" s="1051"/>
      <c r="R63" s="1051"/>
      <c r="S63" s="1051"/>
      <c r="T63" s="1051"/>
      <c r="U63" s="1051"/>
      <c r="V63" s="1051"/>
      <c r="W63" s="1051"/>
      <c r="X63" s="384" t="s">
        <v>418</v>
      </c>
      <c r="Y63" s="366"/>
      <c r="Z63" s="384" t="s">
        <v>424</v>
      </c>
      <c r="AA63" s="366"/>
      <c r="AB63" s="384" t="s">
        <v>50</v>
      </c>
      <c r="AC63" s="366"/>
      <c r="AD63" s="384" t="s">
        <v>52</v>
      </c>
      <c r="AE63" s="1045">
        <v>1</v>
      </c>
      <c r="AF63" s="1046"/>
      <c r="AG63" s="989"/>
      <c r="AH63" s="990"/>
      <c r="AI63" s="990"/>
      <c r="AJ63" s="990"/>
      <c r="AK63" s="990"/>
      <c r="AL63" s="991">
        <f t="shared" si="20"/>
        <v>0</v>
      </c>
      <c r="AM63" s="992"/>
      <c r="AN63" s="992"/>
      <c r="AO63" s="992"/>
      <c r="AP63" s="992"/>
      <c r="AQ63" s="993">
        <f t="shared" si="22"/>
        <v>0</v>
      </c>
      <c r="AR63" s="994"/>
      <c r="AS63" s="994"/>
      <c r="AT63" s="994"/>
      <c r="AU63" s="994"/>
      <c r="AW63" s="380" t="str">
        <f xml:space="preserve">
IF(COUNTA(B63:AK63)=5,"○",
IF(COUNTA(B63:AK63)&lt;&gt;10,"×",
IF(はじめに入力してください!$H$33="事前協議なし",
IF(OR(AX63&lt;テーブル!$C$31,AX63&gt;テーブル!$C$32),"×",
IF(AND(AX63&gt;=テーブル!$C$31,AX63&lt;=テーブル!$C$32),"◎")),"")&amp;
IF(はじめに入力してください!$H$33="事前協議あり",
IF(OR(AX63&lt;テーブル!$F$20,AX63&gt;テーブル!$F$21),"×",
IF(AND(AX63&gt;=テーブル!$F$20,AX63&lt;=テーブル!$F$21),"◎")),"")))</f>
        <v>○</v>
      </c>
      <c r="AX63" s="350" t="str">
        <f t="shared" si="23"/>
        <v>○</v>
      </c>
      <c r="AZ63" s="357" t="str">
        <f t="shared" si="21"/>
        <v/>
      </c>
      <c r="BA63" s="1" t="s">
        <v>470</v>
      </c>
      <c r="BB63" s="1" t="str">
        <f>IF(BA59="","",DAY(BA59))</f>
        <v/>
      </c>
    </row>
    <row r="64" spans="2:59" x14ac:dyDescent="0.65">
      <c r="B64" s="1051"/>
      <c r="C64" s="1051"/>
      <c r="D64" s="1051"/>
      <c r="E64" s="1051"/>
      <c r="F64" s="1051"/>
      <c r="G64" s="1051"/>
      <c r="H64" s="1051"/>
      <c r="I64" s="1051"/>
      <c r="J64" s="1051"/>
      <c r="K64" s="1051"/>
      <c r="L64" s="1051"/>
      <c r="M64" s="1051"/>
      <c r="N64" s="1051"/>
      <c r="O64" s="1051"/>
      <c r="P64" s="1051"/>
      <c r="Q64" s="1051"/>
      <c r="R64" s="1051"/>
      <c r="S64" s="1051"/>
      <c r="T64" s="1051"/>
      <c r="U64" s="1051"/>
      <c r="V64" s="1051"/>
      <c r="W64" s="1051"/>
      <c r="X64" s="384" t="s">
        <v>418</v>
      </c>
      <c r="Y64" s="366"/>
      <c r="Z64" s="384" t="s">
        <v>424</v>
      </c>
      <c r="AA64" s="366"/>
      <c r="AB64" s="384" t="s">
        <v>50</v>
      </c>
      <c r="AC64" s="366"/>
      <c r="AD64" s="384" t="s">
        <v>52</v>
      </c>
      <c r="AE64" s="1045">
        <v>1</v>
      </c>
      <c r="AF64" s="1046"/>
      <c r="AG64" s="989"/>
      <c r="AH64" s="990"/>
      <c r="AI64" s="990"/>
      <c r="AJ64" s="990"/>
      <c r="AK64" s="990"/>
      <c r="AL64" s="991">
        <f t="shared" si="20"/>
        <v>0</v>
      </c>
      <c r="AM64" s="992"/>
      <c r="AN64" s="992"/>
      <c r="AO64" s="992"/>
      <c r="AP64" s="992"/>
      <c r="AQ64" s="993">
        <f t="shared" si="22"/>
        <v>0</v>
      </c>
      <c r="AR64" s="994"/>
      <c r="AS64" s="994"/>
      <c r="AT64" s="994"/>
      <c r="AU64" s="994"/>
      <c r="AW64" s="380" t="str">
        <f xml:space="preserve">
IF(COUNTA(B64:AK64)=5,"○",
IF(COUNTA(B64:AK64)&lt;&gt;10,"×",
IF(はじめに入力してください!$H$33="事前協議なし",
IF(OR(AX64&lt;テーブル!$C$31,AX64&gt;テーブル!$C$32),"×",
IF(AND(AX64&gt;=テーブル!$C$31,AX64&lt;=テーブル!$C$32),"◎")),"")&amp;
IF(はじめに入力してください!$H$33="事前協議あり",
IF(OR(AX64&lt;テーブル!$F$20,AX64&gt;テーブル!$F$21),"×",
IF(AND(AX64&gt;=テーブル!$F$20,AX64&lt;=テーブル!$F$21),"◎")),"")))</f>
        <v>○</v>
      </c>
      <c r="AX64" s="350" t="str">
        <f t="shared" si="23"/>
        <v>○</v>
      </c>
      <c r="AZ64" s="357" t="str">
        <f t="shared" si="21"/>
        <v/>
      </c>
    </row>
    <row r="65" spans="2:52" x14ac:dyDescent="0.65">
      <c r="B65" s="1051"/>
      <c r="C65" s="1051"/>
      <c r="D65" s="1051"/>
      <c r="E65" s="1051"/>
      <c r="F65" s="1051"/>
      <c r="G65" s="1051"/>
      <c r="H65" s="1051"/>
      <c r="I65" s="1051"/>
      <c r="J65" s="1051"/>
      <c r="K65" s="1051"/>
      <c r="L65" s="1051"/>
      <c r="M65" s="1051"/>
      <c r="N65" s="1051"/>
      <c r="O65" s="1051"/>
      <c r="P65" s="1051"/>
      <c r="Q65" s="1051"/>
      <c r="R65" s="1051"/>
      <c r="S65" s="1051"/>
      <c r="T65" s="1051"/>
      <c r="U65" s="1051"/>
      <c r="V65" s="1051"/>
      <c r="W65" s="1051"/>
      <c r="X65" s="384" t="s">
        <v>418</v>
      </c>
      <c r="Y65" s="366"/>
      <c r="Z65" s="384" t="s">
        <v>424</v>
      </c>
      <c r="AA65" s="366"/>
      <c r="AB65" s="384" t="s">
        <v>50</v>
      </c>
      <c r="AC65" s="366"/>
      <c r="AD65" s="384" t="s">
        <v>52</v>
      </c>
      <c r="AE65" s="1045">
        <v>1</v>
      </c>
      <c r="AF65" s="1046"/>
      <c r="AG65" s="989"/>
      <c r="AH65" s="990"/>
      <c r="AI65" s="990"/>
      <c r="AJ65" s="990"/>
      <c r="AK65" s="990"/>
      <c r="AL65" s="991">
        <f t="shared" si="20"/>
        <v>0</v>
      </c>
      <c r="AM65" s="992"/>
      <c r="AN65" s="992"/>
      <c r="AO65" s="992"/>
      <c r="AP65" s="992"/>
      <c r="AQ65" s="993">
        <f t="shared" si="22"/>
        <v>0</v>
      </c>
      <c r="AR65" s="994"/>
      <c r="AS65" s="994"/>
      <c r="AT65" s="994"/>
      <c r="AU65" s="994"/>
      <c r="AW65" s="380" t="str">
        <f xml:space="preserve">
IF(COUNTA(B65:AK65)=5,"○",
IF(COUNTA(B65:AK65)&lt;&gt;10,"×",
IF(はじめに入力してください!$H$33="事前協議なし",
IF(OR(AX65&lt;テーブル!$C$31,AX65&gt;テーブル!$C$32),"×",
IF(AND(AX65&gt;=テーブル!$C$31,AX65&lt;=テーブル!$C$32),"◎")),"")&amp;
IF(はじめに入力してください!$H$33="事前協議あり",
IF(OR(AX65&lt;テーブル!$F$20,AX65&gt;テーブル!$F$21),"×",
IF(AND(AX65&gt;=テーブル!$F$20,AX65&lt;=テーブル!$F$21),"◎")),"")))</f>
        <v>○</v>
      </c>
      <c r="AX65" s="350" t="str">
        <f t="shared" si="23"/>
        <v>○</v>
      </c>
      <c r="AZ65" s="357" t="str">
        <f>IF(AW66="◎",AX66,"")</f>
        <v/>
      </c>
    </row>
    <row r="66" spans="2:52" ht="23.6" thickBot="1" x14ac:dyDescent="0.7">
      <c r="B66" s="1050"/>
      <c r="C66" s="1050"/>
      <c r="D66" s="1050"/>
      <c r="E66" s="1050"/>
      <c r="F66" s="1050"/>
      <c r="G66" s="1050"/>
      <c r="H66" s="1050"/>
      <c r="I66" s="1050"/>
      <c r="J66" s="1050"/>
      <c r="K66" s="1050"/>
      <c r="L66" s="1050"/>
      <c r="M66" s="1050"/>
      <c r="N66" s="1050"/>
      <c r="O66" s="1050"/>
      <c r="P66" s="1050"/>
      <c r="Q66" s="1050"/>
      <c r="R66" s="1050"/>
      <c r="S66" s="1050"/>
      <c r="T66" s="1050"/>
      <c r="U66" s="1050"/>
      <c r="V66" s="1050"/>
      <c r="W66" s="1050"/>
      <c r="X66" s="393" t="s">
        <v>418</v>
      </c>
      <c r="Y66" s="365"/>
      <c r="Z66" s="393" t="s">
        <v>424</v>
      </c>
      <c r="AA66" s="365"/>
      <c r="AB66" s="393" t="s">
        <v>50</v>
      </c>
      <c r="AC66" s="365"/>
      <c r="AD66" s="393" t="s">
        <v>52</v>
      </c>
      <c r="AE66" s="1045">
        <v>1</v>
      </c>
      <c r="AF66" s="1046"/>
      <c r="AG66" s="989"/>
      <c r="AH66" s="990"/>
      <c r="AI66" s="990"/>
      <c r="AJ66" s="990"/>
      <c r="AK66" s="990"/>
      <c r="AL66" s="1022">
        <f t="shared" si="20"/>
        <v>0</v>
      </c>
      <c r="AM66" s="1023"/>
      <c r="AN66" s="1023"/>
      <c r="AO66" s="1023"/>
      <c r="AP66" s="1023"/>
      <c r="AQ66" s="993">
        <f t="shared" si="22"/>
        <v>0</v>
      </c>
      <c r="AR66" s="994"/>
      <c r="AS66" s="994"/>
      <c r="AT66" s="994"/>
      <c r="AU66" s="994"/>
      <c r="AW66" s="380" t="str">
        <f xml:space="preserve">
IF(COUNTA(B66:AK66)=5,"○",
IF(COUNTA(B66:AK66)&lt;&gt;10,"×",
IF(はじめに入力してください!$H$33="事前協議なし",
IF(OR(AX66&lt;テーブル!$C$31,AX66&gt;テーブル!$C$32),"×",
IF(AND(AX66&gt;=テーブル!$C$31,AX66&lt;=テーブル!$C$32),"◎")),"")&amp;
IF(はじめに入力してください!$H$33="事前協議あり",
IF(OR(AX66&lt;テーブル!$F$20,AX66&gt;テーブル!$F$21),"×",
IF(AND(AX66&gt;=テーブル!$F$20,AX66&lt;=テーブル!$F$21),"◎")),"")))</f>
        <v>○</v>
      </c>
      <c r="AX66" s="350" t="str">
        <f t="shared" si="23"/>
        <v>○</v>
      </c>
    </row>
    <row r="67" spans="2:52" ht="23.6" thickTop="1" x14ac:dyDescent="0.65">
      <c r="B67" s="995" t="str">
        <f>IF(SUM(AQ60:AU66)&gt;=200000,"発生経費が２０万円以上となる場合修繕費とみなすことができず、計上できません。","")</f>
        <v/>
      </c>
      <c r="C67" s="996"/>
      <c r="D67" s="996"/>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c r="AE67" s="996"/>
      <c r="AF67" s="996"/>
      <c r="AG67" s="996"/>
      <c r="AH67" s="996"/>
      <c r="AI67" s="996"/>
      <c r="AJ67" s="996"/>
      <c r="AK67" s="996"/>
      <c r="AL67" s="1040" t="s">
        <v>266</v>
      </c>
      <c r="AM67" s="1041"/>
      <c r="AN67" s="1041"/>
      <c r="AO67" s="1041"/>
      <c r="AP67" s="1042"/>
      <c r="AQ67" s="1024">
        <f>IF(AW67="◎",SUM(AQ60:AU66),0)</f>
        <v>0</v>
      </c>
      <c r="AR67" s="1025"/>
      <c r="AS67" s="1025"/>
      <c r="AT67" s="1025"/>
      <c r="AU67" s="1025"/>
      <c r="AW67" s="232" t="str">
        <f xml:space="preserve">
IF(COUNTIF(AW60:AW66,"○")=7,"○",
IF(COUNTIF(AW60:AW66,"×")&gt;=1,"×",
IF(AND(COUNTIF(AW60:AW66,"◎")&gt;=1,COUNTIF(AW60:AW66,"×")=0,SUM(AQ60:AU66)&gt;=200000),"×",
IF(AND(COUNTIF(AW60:AW66,"◎")&gt;=1,COUNTIF(AW60:AW66,"×")=0,SUM(AQ60:AU66)&lt;200000),"◎"))))</f>
        <v>○</v>
      </c>
      <c r="AZ67" s="1" t="str">
        <f xml:space="preserve">
IF(AW67="○","申請しない場合は入力不要です。",
IF(AW67="×","【要修正】入力不十分な箇所があります。",
IF(AW67="◎","適切に入力がされました。")))</f>
        <v>申請しない場合は入力不要です。</v>
      </c>
    </row>
    <row r="68" spans="2:52" ht="15" customHeight="1" thickBot="1" x14ac:dyDescent="0.7"/>
    <row r="69" spans="2:52" ht="23.6" thickTop="1" x14ac:dyDescent="0.65">
      <c r="B69" s="979" t="s">
        <v>278</v>
      </c>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c r="AG69" s="1029"/>
      <c r="AH69" s="1029"/>
      <c r="AI69" s="1029"/>
      <c r="AJ69" s="1029"/>
      <c r="AK69" s="1029"/>
      <c r="AL69" s="1029"/>
      <c r="AM69" s="1029"/>
      <c r="AN69" s="1029"/>
      <c r="AO69" s="1029"/>
      <c r="AP69" s="1029"/>
      <c r="AQ69" s="1029"/>
      <c r="AR69" s="1029"/>
      <c r="AS69" s="1029"/>
      <c r="AT69" s="1029"/>
      <c r="AU69" s="1030"/>
    </row>
    <row r="70" spans="2:52" x14ac:dyDescent="0.65">
      <c r="B70" s="972" t="s">
        <v>281</v>
      </c>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1031"/>
    </row>
    <row r="71" spans="2:52" x14ac:dyDescent="0.65">
      <c r="B71" s="972" t="s">
        <v>280</v>
      </c>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1031"/>
    </row>
    <row r="72" spans="2:52" ht="23.6" thickBot="1" x14ac:dyDescent="0.7">
      <c r="B72" s="1032" t="s">
        <v>348</v>
      </c>
      <c r="C72" s="1033"/>
      <c r="D72" s="1033"/>
      <c r="E72" s="1033"/>
      <c r="F72" s="1033"/>
      <c r="G72" s="1033"/>
      <c r="H72" s="1033"/>
      <c r="I72" s="1033"/>
      <c r="J72" s="1033"/>
      <c r="K72" s="1033"/>
      <c r="L72" s="1033"/>
      <c r="M72" s="1033"/>
      <c r="N72" s="1033"/>
      <c r="O72" s="1033"/>
      <c r="P72" s="1033"/>
      <c r="Q72" s="1033"/>
      <c r="R72" s="1033"/>
      <c r="S72" s="1033"/>
      <c r="T72" s="1033"/>
      <c r="U72" s="1033"/>
      <c r="V72" s="1033"/>
      <c r="W72" s="1033"/>
      <c r="X72" s="1033"/>
      <c r="Y72" s="1033"/>
      <c r="Z72" s="1033"/>
      <c r="AA72" s="1033"/>
      <c r="AB72" s="1033"/>
      <c r="AC72" s="1033"/>
      <c r="AD72" s="1033"/>
      <c r="AE72" s="1033"/>
      <c r="AF72" s="1033"/>
      <c r="AG72" s="1033"/>
      <c r="AH72" s="1033"/>
      <c r="AI72" s="1033"/>
      <c r="AJ72" s="1033"/>
      <c r="AK72" s="1033"/>
      <c r="AL72" s="1033"/>
      <c r="AM72" s="1033"/>
      <c r="AN72" s="1033"/>
      <c r="AO72" s="1033"/>
      <c r="AP72" s="1033"/>
      <c r="AQ72" s="1033"/>
      <c r="AR72" s="1033"/>
      <c r="AS72" s="1033"/>
      <c r="AT72" s="1033"/>
      <c r="AU72" s="1034"/>
    </row>
    <row r="73" spans="2:52" ht="23.6" thickTop="1" x14ac:dyDescent="0.65"/>
  </sheetData>
  <sheetProtection algorithmName="SHA-512" hashValue="jbDe33dt07G155CgIA5bdR0ReKzu7kenta8Eh0F+/+wbOWOrND/0kY7Nulx/3gtkIigunO06ML4fmNHWruHCNQ==" saltValue="sNXvloiOGUWjhOjXnz0sBw==" spinCount="100000" sheet="1" objects="1" scenarios="1"/>
  <mergeCells count="173">
    <mergeCell ref="BF3:BF5"/>
    <mergeCell ref="B66:W66"/>
    <mergeCell ref="B65:W65"/>
    <mergeCell ref="B64:W64"/>
    <mergeCell ref="B63:W63"/>
    <mergeCell ref="B62:W62"/>
    <mergeCell ref="B61:W61"/>
    <mergeCell ref="B60:W60"/>
    <mergeCell ref="B59:W59"/>
    <mergeCell ref="X59:AD59"/>
    <mergeCell ref="J25:W25"/>
    <mergeCell ref="J19:W19"/>
    <mergeCell ref="J18:W18"/>
    <mergeCell ref="J17:W17"/>
    <mergeCell ref="J16:W16"/>
    <mergeCell ref="B40:J40"/>
    <mergeCell ref="B39:J39"/>
    <mergeCell ref="K40:W40"/>
    <mergeCell ref="K39:W39"/>
    <mergeCell ref="B30:AU30"/>
    <mergeCell ref="AG18:AK18"/>
    <mergeCell ref="AQ18:AU18"/>
    <mergeCell ref="AQ65:AU65"/>
    <mergeCell ref="AE66:AF66"/>
    <mergeCell ref="AG66:AK66"/>
    <mergeCell ref="AL66:AP66"/>
    <mergeCell ref="AQ66:AU66"/>
    <mergeCell ref="AE63:AF63"/>
    <mergeCell ref="AG63:AK63"/>
    <mergeCell ref="AL63:AP63"/>
    <mergeCell ref="AE59:AF59"/>
    <mergeCell ref="AG59:AK59"/>
    <mergeCell ref="AL59:AP59"/>
    <mergeCell ref="AQ59:AU59"/>
    <mergeCell ref="AE60:AF60"/>
    <mergeCell ref="AG60:AK60"/>
    <mergeCell ref="AL60:AP60"/>
    <mergeCell ref="AQ60:AU60"/>
    <mergeCell ref="X15:AD15"/>
    <mergeCell ref="J15:W15"/>
    <mergeCell ref="B70:AU70"/>
    <mergeCell ref="B69:AU69"/>
    <mergeCell ref="B71:AU71"/>
    <mergeCell ref="B72:AU72"/>
    <mergeCell ref="AL67:AP67"/>
    <mergeCell ref="AQ67:AU67"/>
    <mergeCell ref="AE61:AF61"/>
    <mergeCell ref="AG61:AK61"/>
    <mergeCell ref="AL61:AP61"/>
    <mergeCell ref="AQ61:AU61"/>
    <mergeCell ref="AE62:AF62"/>
    <mergeCell ref="AG62:AK62"/>
    <mergeCell ref="AL62:AP62"/>
    <mergeCell ref="AQ62:AU62"/>
    <mergeCell ref="AQ63:AU63"/>
    <mergeCell ref="AE64:AF64"/>
    <mergeCell ref="AG64:AK64"/>
    <mergeCell ref="AL64:AP64"/>
    <mergeCell ref="AQ64:AU64"/>
    <mergeCell ref="AE65:AF65"/>
    <mergeCell ref="AG65:AK65"/>
    <mergeCell ref="AL65:AP65"/>
    <mergeCell ref="B41:AK41"/>
    <mergeCell ref="AE39:AF39"/>
    <mergeCell ref="AG39:AK39"/>
    <mergeCell ref="AG40:AK40"/>
    <mergeCell ref="B33:AU33"/>
    <mergeCell ref="AL26:AP26"/>
    <mergeCell ref="B31:AU31"/>
    <mergeCell ref="X39:AD39"/>
    <mergeCell ref="B26:AK26"/>
    <mergeCell ref="AL15:AP15"/>
    <mergeCell ref="B48:AU48"/>
    <mergeCell ref="C50:AU50"/>
    <mergeCell ref="C51:AU51"/>
    <mergeCell ref="C57:AU57"/>
    <mergeCell ref="C52:AU52"/>
    <mergeCell ref="C53:AU53"/>
    <mergeCell ref="C54:AU54"/>
    <mergeCell ref="C55:AU55"/>
    <mergeCell ref="C56:AU56"/>
    <mergeCell ref="B43:AU43"/>
    <mergeCell ref="B44:AU44"/>
    <mergeCell ref="B45:AU45"/>
    <mergeCell ref="B46:AU46"/>
    <mergeCell ref="AE17:AF17"/>
    <mergeCell ref="AG17:AK17"/>
    <mergeCell ref="AE18:AF18"/>
    <mergeCell ref="AL18:AP18"/>
    <mergeCell ref="AG19:AK19"/>
    <mergeCell ref="B25:I25"/>
    <mergeCell ref="B28:AU28"/>
    <mergeCell ref="B29:AU29"/>
    <mergeCell ref="AL41:AP41"/>
    <mergeCell ref="AQ41:AU41"/>
    <mergeCell ref="AG2:AN2"/>
    <mergeCell ref="AG3:AN3"/>
    <mergeCell ref="AE40:AF40"/>
    <mergeCell ref="AL19:AP19"/>
    <mergeCell ref="AQ19:AU19"/>
    <mergeCell ref="AE25:AF25"/>
    <mergeCell ref="AG25:AK25"/>
    <mergeCell ref="AL25:AP25"/>
    <mergeCell ref="AQ25:AU25"/>
    <mergeCell ref="AQ26:AU26"/>
    <mergeCell ref="C35:AU35"/>
    <mergeCell ref="C37:AU37"/>
    <mergeCell ref="C36:AU36"/>
    <mergeCell ref="AL39:AP39"/>
    <mergeCell ref="AQ39:AU39"/>
    <mergeCell ref="AL40:AP40"/>
    <mergeCell ref="AQ40:AU40"/>
    <mergeCell ref="AL16:AP16"/>
    <mergeCell ref="B14:AU14"/>
    <mergeCell ref="C12:AU12"/>
    <mergeCell ref="AQ15:AU15"/>
    <mergeCell ref="AQ16:AU16"/>
    <mergeCell ref="AG15:AK15"/>
    <mergeCell ref="AG16:AK16"/>
    <mergeCell ref="B67:AK67"/>
    <mergeCell ref="AO4:AU4"/>
    <mergeCell ref="B9:AU9"/>
    <mergeCell ref="AX2:AX4"/>
    <mergeCell ref="B18:I18"/>
    <mergeCell ref="B19:I19"/>
    <mergeCell ref="AE19:AF19"/>
    <mergeCell ref="AG5:AN5"/>
    <mergeCell ref="B7:AU7"/>
    <mergeCell ref="B8:AU8"/>
    <mergeCell ref="C10:AU10"/>
    <mergeCell ref="C11:AU11"/>
    <mergeCell ref="B2:W5"/>
    <mergeCell ref="AG4:AN4"/>
    <mergeCell ref="AL17:AP17"/>
    <mergeCell ref="AQ17:AU17"/>
    <mergeCell ref="B15:I15"/>
    <mergeCell ref="B16:I16"/>
    <mergeCell ref="B17:I17"/>
    <mergeCell ref="AE15:AF15"/>
    <mergeCell ref="AE16:AF16"/>
    <mergeCell ref="AO2:AU2"/>
    <mergeCell ref="AO3:AU3"/>
    <mergeCell ref="AO5:AU5"/>
    <mergeCell ref="B24:I24"/>
    <mergeCell ref="J24:W24"/>
    <mergeCell ref="AE24:AF24"/>
    <mergeCell ref="AG24:AK24"/>
    <mergeCell ref="AL24:AP24"/>
    <mergeCell ref="AQ24:AU24"/>
    <mergeCell ref="B22:I22"/>
    <mergeCell ref="J22:W22"/>
    <mergeCell ref="AE22:AF22"/>
    <mergeCell ref="AG22:AK22"/>
    <mergeCell ref="AL22:AP22"/>
    <mergeCell ref="AQ22:AU22"/>
    <mergeCell ref="B23:I23"/>
    <mergeCell ref="J23:W23"/>
    <mergeCell ref="AE23:AF23"/>
    <mergeCell ref="AG23:AK23"/>
    <mergeCell ref="AL23:AP23"/>
    <mergeCell ref="AQ23:AU23"/>
    <mergeCell ref="B20:I20"/>
    <mergeCell ref="J20:W20"/>
    <mergeCell ref="AE20:AF20"/>
    <mergeCell ref="AG20:AK20"/>
    <mergeCell ref="AL20:AP20"/>
    <mergeCell ref="AQ20:AU20"/>
    <mergeCell ref="B21:I21"/>
    <mergeCell ref="J21:W21"/>
    <mergeCell ref="AE21:AF21"/>
    <mergeCell ref="AG21:AK21"/>
    <mergeCell ref="AL21:AP21"/>
    <mergeCell ref="AQ21:AU21"/>
  </mergeCells>
  <phoneticPr fontId="1"/>
  <conditionalFormatting sqref="BG40:BG41 BF7:BG7 BF6 BG3:BG4 BG16:BG26">
    <cfRule type="containsText" dxfId="10" priority="9" operator="containsText" text="×">
      <formula>NOT(ISERROR(SEARCH("×",BF3)))</formula>
    </cfRule>
  </conditionalFormatting>
  <conditionalFormatting sqref="BH40:BH41 BH7 BH3:BH4 BH16:BH26">
    <cfRule type="containsText" dxfId="9" priority="8" operator="containsText" text="要修正">
      <formula>NOT(ISERROR(SEARCH("要修正",BH3)))</formula>
    </cfRule>
  </conditionalFormatting>
  <conditionalFormatting sqref="B8:AU8">
    <cfRule type="containsText" dxfId="8" priority="6" operator="containsText" text="×">
      <formula>NOT(ISERROR(SEARCH("×",B8)))</formula>
    </cfRule>
  </conditionalFormatting>
  <conditionalFormatting sqref="B48:AU48">
    <cfRule type="containsText" dxfId="7" priority="5" operator="containsText" text="×">
      <formula>NOT(ISERROR(SEARCH("×",B48)))</formula>
    </cfRule>
  </conditionalFormatting>
  <conditionalFormatting sqref="B33:AU33">
    <cfRule type="containsText" dxfId="6" priority="4" operator="containsText" text="×">
      <formula>NOT(ISERROR(SEARCH("×",B33)))</formula>
    </cfRule>
  </conditionalFormatting>
  <conditionalFormatting sqref="B67">
    <cfRule type="containsText" dxfId="5" priority="3" operator="containsText" text="注意">
      <formula>NOT(ISERROR(SEARCH("注意",B67)))</formula>
    </cfRule>
  </conditionalFormatting>
  <conditionalFormatting sqref="BH38">
    <cfRule type="containsText" dxfId="4" priority="2" operator="containsText" text="×">
      <formula>NOT(ISERROR(SEARCH("×",BH38)))</formula>
    </cfRule>
  </conditionalFormatting>
  <conditionalFormatting sqref="B67:AK67">
    <cfRule type="containsText" dxfId="3" priority="1" operator="containsText" text="発生経費が２０万円以上となる場合修繕費とみなすことができず、計上できません。">
      <formula>NOT(ISERROR(SEARCH("発生経費が２０万円以上となる場合修繕費とみなすことができず、計上できません。",B67)))</formula>
    </cfRule>
  </conditionalFormatting>
  <dataValidations xWindow="178" yWindow="1128" count="8">
    <dataValidation type="list" allowBlank="1" showInputMessage="1" showErrorMessage="1" sqref="J38 J58" xr:uid="{00000000-0002-0000-0700-000000000000}">
      <formula1>$BG$48:$BG$49</formula1>
    </dataValidation>
    <dataValidation allowBlank="1" showInputMessage="1" showErrorMessage="1" promptTitle="品名の入力" prompt="購入予定であるサーモグラフィーカメラの品名を入力してください。（型番のみの入力の場合、購入内容が不明のため修正を依頼させていただきますのでご注意ください。）" sqref="B40" xr:uid="{00000000-0002-0000-0700-000004000000}"/>
    <dataValidation type="whole" operator="greaterThanOrEqual" allowBlank="1" showInputMessage="1" showErrorMessage="1" sqref="AE16:AF25 AE60:AF66" xr:uid="{3CE802D7-9A8A-4862-9544-29242C3913A7}">
      <formula1>1</formula1>
    </dataValidation>
    <dataValidation type="whole" operator="greaterThanOrEqual" allowBlank="1" showInputMessage="1" showErrorMessage="1" sqref="AG60:AK66 AG40:AK40 AG16:AK25" xr:uid="{E706EB6A-590C-4B10-A7E4-372D1C3AC92B}">
      <formula1>0</formula1>
    </dataValidation>
    <dataValidation allowBlank="1" showErrorMessage="1" promptTitle="品名の入力" prompt="購入予定であるサーモグラフィーカメラの品名を入力してください。（型番のみの入力の場合、購入内容が不明のため修正を依頼させていただきますのでご注意ください。）" sqref="B60:B66 Z60:AD66 X60:X66" xr:uid="{986BDDF1-6538-4F22-87D2-F8B93848AA35}"/>
    <dataValidation type="list" operator="lessThanOrEqual" allowBlank="1" showInputMessage="1" showErrorMessage="1" error="非接触サーモグラフィカメラの申請は1台までです。" sqref="AE40:AF40" xr:uid="{4545DDC6-57BD-4E26-A3BA-632E9FD768E6}">
      <formula1>"1"</formula1>
    </dataValidation>
    <dataValidation type="list" allowBlank="1" showInputMessage="1" showErrorMessage="1" sqref="B16:I25" xr:uid="{36E05FFB-A67D-42D3-9CFB-E57C652A76F1}">
      <formula1>$BA$16:$BA$18</formula1>
    </dataValidation>
    <dataValidation type="list" allowBlank="1" showErrorMessage="1" promptTitle="品名の入力" prompt="購入予定であるサーモグラフィーカメラの品名を入力してください。（型番のみの入力の場合、購入内容が不明のため修正を依頼させていただきますのでご注意ください。）" sqref="Y60:Y66 Y16:Y25 Y40" xr:uid="{12C99F5A-A69C-4801-B6C8-B4CED918D799}">
      <formula1>$BQ$33:$BQ$34</formula1>
    </dataValidation>
  </dataValidations>
  <pageMargins left="0.7" right="0.7" top="0.75" bottom="0.75" header="0.3" footer="0.3"/>
  <pageSetup paperSize="9" scale="40" fitToHeight="0" orientation="portrait" r:id="rId1"/>
  <colBreaks count="1" manualBreakCount="1">
    <brk id="3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tint="0.39997558519241921"/>
    <pageSetUpPr fitToPage="1"/>
  </sheetPr>
  <dimension ref="B1:AF44"/>
  <sheetViews>
    <sheetView showGridLines="0" view="pageBreakPreview" zoomScale="60" zoomScaleNormal="100" workbookViewId="0">
      <selection activeCell="Y8" sqref="Y8:Y9"/>
    </sheetView>
  </sheetViews>
  <sheetFormatPr defaultColWidth="9" defaultRowHeight="18.45" x14ac:dyDescent="0.65"/>
  <cols>
    <col min="1" max="1" width="5.640625" style="274" customWidth="1"/>
    <col min="2" max="8" width="12.640625" style="274" customWidth="1"/>
    <col min="9" max="9" width="5.640625" style="274" customWidth="1"/>
    <col min="10" max="23" width="9" style="274"/>
    <col min="24" max="24" width="11.640625" style="274" bestFit="1" customWidth="1"/>
    <col min="25" max="25" width="10.5" style="274" bestFit="1" customWidth="1"/>
    <col min="26" max="26" width="10.7109375" style="274" bestFit="1" customWidth="1"/>
    <col min="27" max="264" width="9" style="274"/>
    <col min="265" max="265" width="12.5" style="274" customWidth="1"/>
    <col min="266" max="268" width="10.640625" style="274" customWidth="1"/>
    <col min="269" max="271" width="12.640625" style="274" customWidth="1"/>
    <col min="272" max="272" width="9" style="274"/>
    <col min="273" max="273" width="11.640625" style="274" bestFit="1" customWidth="1"/>
    <col min="274" max="520" width="9" style="274"/>
    <col min="521" max="521" width="12.5" style="274" customWidth="1"/>
    <col min="522" max="524" width="10.640625" style="274" customWidth="1"/>
    <col min="525" max="527" width="12.640625" style="274" customWidth="1"/>
    <col min="528" max="528" width="9" style="274"/>
    <col min="529" max="529" width="11.640625" style="274" bestFit="1" customWidth="1"/>
    <col min="530" max="776" width="9" style="274"/>
    <col min="777" max="777" width="12.5" style="274" customWidth="1"/>
    <col min="778" max="780" width="10.640625" style="274" customWidth="1"/>
    <col min="781" max="783" width="12.640625" style="274" customWidth="1"/>
    <col min="784" max="784" width="9" style="274"/>
    <col min="785" max="785" width="11.640625" style="274" bestFit="1" customWidth="1"/>
    <col min="786" max="1032" width="9" style="274"/>
    <col min="1033" max="1033" width="12.5" style="274" customWidth="1"/>
    <col min="1034" max="1036" width="10.640625" style="274" customWidth="1"/>
    <col min="1037" max="1039" width="12.640625" style="274" customWidth="1"/>
    <col min="1040" max="1040" width="9" style="274"/>
    <col min="1041" max="1041" width="11.640625" style="274" bestFit="1" customWidth="1"/>
    <col min="1042" max="1288" width="9" style="274"/>
    <col min="1289" max="1289" width="12.5" style="274" customWidth="1"/>
    <col min="1290" max="1292" width="10.640625" style="274" customWidth="1"/>
    <col min="1293" max="1295" width="12.640625" style="274" customWidth="1"/>
    <col min="1296" max="1296" width="9" style="274"/>
    <col min="1297" max="1297" width="11.640625" style="274" bestFit="1" customWidth="1"/>
    <col min="1298" max="1544" width="9" style="274"/>
    <col min="1545" max="1545" width="12.5" style="274" customWidth="1"/>
    <col min="1546" max="1548" width="10.640625" style="274" customWidth="1"/>
    <col min="1549" max="1551" width="12.640625" style="274" customWidth="1"/>
    <col min="1552" max="1552" width="9" style="274"/>
    <col min="1553" max="1553" width="11.640625" style="274" bestFit="1" customWidth="1"/>
    <col min="1554" max="1800" width="9" style="274"/>
    <col min="1801" max="1801" width="12.5" style="274" customWidth="1"/>
    <col min="1802" max="1804" width="10.640625" style="274" customWidth="1"/>
    <col min="1805" max="1807" width="12.640625" style="274" customWidth="1"/>
    <col min="1808" max="1808" width="9" style="274"/>
    <col min="1809" max="1809" width="11.640625" style="274" bestFit="1" customWidth="1"/>
    <col min="1810" max="2056" width="9" style="274"/>
    <col min="2057" max="2057" width="12.5" style="274" customWidth="1"/>
    <col min="2058" max="2060" width="10.640625" style="274" customWidth="1"/>
    <col min="2061" max="2063" width="12.640625" style="274" customWidth="1"/>
    <col min="2064" max="2064" width="9" style="274"/>
    <col min="2065" max="2065" width="11.640625" style="274" bestFit="1" customWidth="1"/>
    <col min="2066" max="2312" width="9" style="274"/>
    <col min="2313" max="2313" width="12.5" style="274" customWidth="1"/>
    <col min="2314" max="2316" width="10.640625" style="274" customWidth="1"/>
    <col min="2317" max="2319" width="12.640625" style="274" customWidth="1"/>
    <col min="2320" max="2320" width="9" style="274"/>
    <col min="2321" max="2321" width="11.640625" style="274" bestFit="1" customWidth="1"/>
    <col min="2322" max="2568" width="9" style="274"/>
    <col min="2569" max="2569" width="12.5" style="274" customWidth="1"/>
    <col min="2570" max="2572" width="10.640625" style="274" customWidth="1"/>
    <col min="2573" max="2575" width="12.640625" style="274" customWidth="1"/>
    <col min="2576" max="2576" width="9" style="274"/>
    <col min="2577" max="2577" width="11.640625" style="274" bestFit="1" customWidth="1"/>
    <col min="2578" max="2824" width="9" style="274"/>
    <col min="2825" max="2825" width="12.5" style="274" customWidth="1"/>
    <col min="2826" max="2828" width="10.640625" style="274" customWidth="1"/>
    <col min="2829" max="2831" width="12.640625" style="274" customWidth="1"/>
    <col min="2832" max="2832" width="9" style="274"/>
    <col min="2833" max="2833" width="11.640625" style="274" bestFit="1" customWidth="1"/>
    <col min="2834" max="3080" width="9" style="274"/>
    <col min="3081" max="3081" width="12.5" style="274" customWidth="1"/>
    <col min="3082" max="3084" width="10.640625" style="274" customWidth="1"/>
    <col min="3085" max="3087" width="12.640625" style="274" customWidth="1"/>
    <col min="3088" max="3088" width="9" style="274"/>
    <col min="3089" max="3089" width="11.640625" style="274" bestFit="1" customWidth="1"/>
    <col min="3090" max="3336" width="9" style="274"/>
    <col min="3337" max="3337" width="12.5" style="274" customWidth="1"/>
    <col min="3338" max="3340" width="10.640625" style="274" customWidth="1"/>
    <col min="3341" max="3343" width="12.640625" style="274" customWidth="1"/>
    <col min="3344" max="3344" width="9" style="274"/>
    <col min="3345" max="3345" width="11.640625" style="274" bestFit="1" customWidth="1"/>
    <col min="3346" max="3592" width="9" style="274"/>
    <col min="3593" max="3593" width="12.5" style="274" customWidth="1"/>
    <col min="3594" max="3596" width="10.640625" style="274" customWidth="1"/>
    <col min="3597" max="3599" width="12.640625" style="274" customWidth="1"/>
    <col min="3600" max="3600" width="9" style="274"/>
    <col min="3601" max="3601" width="11.640625" style="274" bestFit="1" customWidth="1"/>
    <col min="3602" max="3848" width="9" style="274"/>
    <col min="3849" max="3849" width="12.5" style="274" customWidth="1"/>
    <col min="3850" max="3852" width="10.640625" style="274" customWidth="1"/>
    <col min="3853" max="3855" width="12.640625" style="274" customWidth="1"/>
    <col min="3856" max="3856" width="9" style="274"/>
    <col min="3857" max="3857" width="11.640625" style="274" bestFit="1" customWidth="1"/>
    <col min="3858" max="4104" width="9" style="274"/>
    <col min="4105" max="4105" width="12.5" style="274" customWidth="1"/>
    <col min="4106" max="4108" width="10.640625" style="274" customWidth="1"/>
    <col min="4109" max="4111" width="12.640625" style="274" customWidth="1"/>
    <col min="4112" max="4112" width="9" style="274"/>
    <col min="4113" max="4113" width="11.640625" style="274" bestFit="1" customWidth="1"/>
    <col min="4114" max="4360" width="9" style="274"/>
    <col min="4361" max="4361" width="12.5" style="274" customWidth="1"/>
    <col min="4362" max="4364" width="10.640625" style="274" customWidth="1"/>
    <col min="4365" max="4367" width="12.640625" style="274" customWidth="1"/>
    <col min="4368" max="4368" width="9" style="274"/>
    <col min="4369" max="4369" width="11.640625" style="274" bestFit="1" customWidth="1"/>
    <col min="4370" max="4616" width="9" style="274"/>
    <col min="4617" max="4617" width="12.5" style="274" customWidth="1"/>
    <col min="4618" max="4620" width="10.640625" style="274" customWidth="1"/>
    <col min="4621" max="4623" width="12.640625" style="274" customWidth="1"/>
    <col min="4624" max="4624" width="9" style="274"/>
    <col min="4625" max="4625" width="11.640625" style="274" bestFit="1" customWidth="1"/>
    <col min="4626" max="4872" width="9" style="274"/>
    <col min="4873" max="4873" width="12.5" style="274" customWidth="1"/>
    <col min="4874" max="4876" width="10.640625" style="274" customWidth="1"/>
    <col min="4877" max="4879" width="12.640625" style="274" customWidth="1"/>
    <col min="4880" max="4880" width="9" style="274"/>
    <col min="4881" max="4881" width="11.640625" style="274" bestFit="1" customWidth="1"/>
    <col min="4882" max="5128" width="9" style="274"/>
    <col min="5129" max="5129" width="12.5" style="274" customWidth="1"/>
    <col min="5130" max="5132" width="10.640625" style="274" customWidth="1"/>
    <col min="5133" max="5135" width="12.640625" style="274" customWidth="1"/>
    <col min="5136" max="5136" width="9" style="274"/>
    <col min="5137" max="5137" width="11.640625" style="274" bestFit="1" customWidth="1"/>
    <col min="5138" max="5384" width="9" style="274"/>
    <col min="5385" max="5385" width="12.5" style="274" customWidth="1"/>
    <col min="5386" max="5388" width="10.640625" style="274" customWidth="1"/>
    <col min="5389" max="5391" width="12.640625" style="274" customWidth="1"/>
    <col min="5392" max="5392" width="9" style="274"/>
    <col min="5393" max="5393" width="11.640625" style="274" bestFit="1" customWidth="1"/>
    <col min="5394" max="5640" width="9" style="274"/>
    <col min="5641" max="5641" width="12.5" style="274" customWidth="1"/>
    <col min="5642" max="5644" width="10.640625" style="274" customWidth="1"/>
    <col min="5645" max="5647" width="12.640625" style="274" customWidth="1"/>
    <col min="5648" max="5648" width="9" style="274"/>
    <col min="5649" max="5649" width="11.640625" style="274" bestFit="1" customWidth="1"/>
    <col min="5650" max="5896" width="9" style="274"/>
    <col min="5897" max="5897" width="12.5" style="274" customWidth="1"/>
    <col min="5898" max="5900" width="10.640625" style="274" customWidth="1"/>
    <col min="5901" max="5903" width="12.640625" style="274" customWidth="1"/>
    <col min="5904" max="5904" width="9" style="274"/>
    <col min="5905" max="5905" width="11.640625" style="274" bestFit="1" customWidth="1"/>
    <col min="5906" max="6152" width="9" style="274"/>
    <col min="6153" max="6153" width="12.5" style="274" customWidth="1"/>
    <col min="6154" max="6156" width="10.640625" style="274" customWidth="1"/>
    <col min="6157" max="6159" width="12.640625" style="274" customWidth="1"/>
    <col min="6160" max="6160" width="9" style="274"/>
    <col min="6161" max="6161" width="11.640625" style="274" bestFit="1" customWidth="1"/>
    <col min="6162" max="6408" width="9" style="274"/>
    <col min="6409" max="6409" width="12.5" style="274" customWidth="1"/>
    <col min="6410" max="6412" width="10.640625" style="274" customWidth="1"/>
    <col min="6413" max="6415" width="12.640625" style="274" customWidth="1"/>
    <col min="6416" max="6416" width="9" style="274"/>
    <col min="6417" max="6417" width="11.640625" style="274" bestFit="1" customWidth="1"/>
    <col min="6418" max="6664" width="9" style="274"/>
    <col min="6665" max="6665" width="12.5" style="274" customWidth="1"/>
    <col min="6666" max="6668" width="10.640625" style="274" customWidth="1"/>
    <col min="6669" max="6671" width="12.640625" style="274" customWidth="1"/>
    <col min="6672" max="6672" width="9" style="274"/>
    <col min="6673" max="6673" width="11.640625" style="274" bestFit="1" customWidth="1"/>
    <col min="6674" max="6920" width="9" style="274"/>
    <col min="6921" max="6921" width="12.5" style="274" customWidth="1"/>
    <col min="6922" max="6924" width="10.640625" style="274" customWidth="1"/>
    <col min="6925" max="6927" width="12.640625" style="274" customWidth="1"/>
    <col min="6928" max="6928" width="9" style="274"/>
    <col min="6929" max="6929" width="11.640625" style="274" bestFit="1" customWidth="1"/>
    <col min="6930" max="7176" width="9" style="274"/>
    <col min="7177" max="7177" width="12.5" style="274" customWidth="1"/>
    <col min="7178" max="7180" width="10.640625" style="274" customWidth="1"/>
    <col min="7181" max="7183" width="12.640625" style="274" customWidth="1"/>
    <col min="7184" max="7184" width="9" style="274"/>
    <col min="7185" max="7185" width="11.640625" style="274" bestFit="1" customWidth="1"/>
    <col min="7186" max="7432" width="9" style="274"/>
    <col min="7433" max="7433" width="12.5" style="274" customWidth="1"/>
    <col min="7434" max="7436" width="10.640625" style="274" customWidth="1"/>
    <col min="7437" max="7439" width="12.640625" style="274" customWidth="1"/>
    <col min="7440" max="7440" width="9" style="274"/>
    <col min="7441" max="7441" width="11.640625" style="274" bestFit="1" customWidth="1"/>
    <col min="7442" max="7688" width="9" style="274"/>
    <col min="7689" max="7689" width="12.5" style="274" customWidth="1"/>
    <col min="7690" max="7692" width="10.640625" style="274" customWidth="1"/>
    <col min="7693" max="7695" width="12.640625" style="274" customWidth="1"/>
    <col min="7696" max="7696" width="9" style="274"/>
    <col min="7697" max="7697" width="11.640625" style="274" bestFit="1" customWidth="1"/>
    <col min="7698" max="7944" width="9" style="274"/>
    <col min="7945" max="7945" width="12.5" style="274" customWidth="1"/>
    <col min="7946" max="7948" width="10.640625" style="274" customWidth="1"/>
    <col min="7949" max="7951" width="12.640625" style="274" customWidth="1"/>
    <col min="7952" max="7952" width="9" style="274"/>
    <col min="7953" max="7953" width="11.640625" style="274" bestFit="1" customWidth="1"/>
    <col min="7954" max="8200" width="9" style="274"/>
    <col min="8201" max="8201" width="12.5" style="274" customWidth="1"/>
    <col min="8202" max="8204" width="10.640625" style="274" customWidth="1"/>
    <col min="8205" max="8207" width="12.640625" style="274" customWidth="1"/>
    <col min="8208" max="8208" width="9" style="274"/>
    <col min="8209" max="8209" width="11.640625" style="274" bestFit="1" customWidth="1"/>
    <col min="8210" max="8456" width="9" style="274"/>
    <col min="8457" max="8457" width="12.5" style="274" customWidth="1"/>
    <col min="8458" max="8460" width="10.640625" style="274" customWidth="1"/>
    <col min="8461" max="8463" width="12.640625" style="274" customWidth="1"/>
    <col min="8464" max="8464" width="9" style="274"/>
    <col min="8465" max="8465" width="11.640625" style="274" bestFit="1" customWidth="1"/>
    <col min="8466" max="8712" width="9" style="274"/>
    <col min="8713" max="8713" width="12.5" style="274" customWidth="1"/>
    <col min="8714" max="8716" width="10.640625" style="274" customWidth="1"/>
    <col min="8717" max="8719" width="12.640625" style="274" customWidth="1"/>
    <col min="8720" max="8720" width="9" style="274"/>
    <col min="8721" max="8721" width="11.640625" style="274" bestFit="1" customWidth="1"/>
    <col min="8722" max="8968" width="9" style="274"/>
    <col min="8969" max="8969" width="12.5" style="274" customWidth="1"/>
    <col min="8970" max="8972" width="10.640625" style="274" customWidth="1"/>
    <col min="8973" max="8975" width="12.640625" style="274" customWidth="1"/>
    <col min="8976" max="8976" width="9" style="274"/>
    <col min="8977" max="8977" width="11.640625" style="274" bestFit="1" customWidth="1"/>
    <col min="8978" max="9224" width="9" style="274"/>
    <col min="9225" max="9225" width="12.5" style="274" customWidth="1"/>
    <col min="9226" max="9228" width="10.640625" style="274" customWidth="1"/>
    <col min="9229" max="9231" width="12.640625" style="274" customWidth="1"/>
    <col min="9232" max="9232" width="9" style="274"/>
    <col min="9233" max="9233" width="11.640625" style="274" bestFit="1" customWidth="1"/>
    <col min="9234" max="9480" width="9" style="274"/>
    <col min="9481" max="9481" width="12.5" style="274" customWidth="1"/>
    <col min="9482" max="9484" width="10.640625" style="274" customWidth="1"/>
    <col min="9485" max="9487" width="12.640625" style="274" customWidth="1"/>
    <col min="9488" max="9488" width="9" style="274"/>
    <col min="9489" max="9489" width="11.640625" style="274" bestFit="1" customWidth="1"/>
    <col min="9490" max="9736" width="9" style="274"/>
    <col min="9737" max="9737" width="12.5" style="274" customWidth="1"/>
    <col min="9738" max="9740" width="10.640625" style="274" customWidth="1"/>
    <col min="9741" max="9743" width="12.640625" style="274" customWidth="1"/>
    <col min="9744" max="9744" width="9" style="274"/>
    <col min="9745" max="9745" width="11.640625" style="274" bestFit="1" customWidth="1"/>
    <col min="9746" max="9992" width="9" style="274"/>
    <col min="9993" max="9993" width="12.5" style="274" customWidth="1"/>
    <col min="9994" max="9996" width="10.640625" style="274" customWidth="1"/>
    <col min="9997" max="9999" width="12.640625" style="274" customWidth="1"/>
    <col min="10000" max="10000" width="9" style="274"/>
    <col min="10001" max="10001" width="11.640625" style="274" bestFit="1" customWidth="1"/>
    <col min="10002" max="10248" width="9" style="274"/>
    <col min="10249" max="10249" width="12.5" style="274" customWidth="1"/>
    <col min="10250" max="10252" width="10.640625" style="274" customWidth="1"/>
    <col min="10253" max="10255" width="12.640625" style="274" customWidth="1"/>
    <col min="10256" max="10256" width="9" style="274"/>
    <col min="10257" max="10257" width="11.640625" style="274" bestFit="1" customWidth="1"/>
    <col min="10258" max="10504" width="9" style="274"/>
    <col min="10505" max="10505" width="12.5" style="274" customWidth="1"/>
    <col min="10506" max="10508" width="10.640625" style="274" customWidth="1"/>
    <col min="10509" max="10511" width="12.640625" style="274" customWidth="1"/>
    <col min="10512" max="10512" width="9" style="274"/>
    <col min="10513" max="10513" width="11.640625" style="274" bestFit="1" customWidth="1"/>
    <col min="10514" max="10760" width="9" style="274"/>
    <col min="10761" max="10761" width="12.5" style="274" customWidth="1"/>
    <col min="10762" max="10764" width="10.640625" style="274" customWidth="1"/>
    <col min="10765" max="10767" width="12.640625" style="274" customWidth="1"/>
    <col min="10768" max="10768" width="9" style="274"/>
    <col min="10769" max="10769" width="11.640625" style="274" bestFit="1" customWidth="1"/>
    <col min="10770" max="11016" width="9" style="274"/>
    <col min="11017" max="11017" width="12.5" style="274" customWidth="1"/>
    <col min="11018" max="11020" width="10.640625" style="274" customWidth="1"/>
    <col min="11021" max="11023" width="12.640625" style="274" customWidth="1"/>
    <col min="11024" max="11024" width="9" style="274"/>
    <col min="11025" max="11025" width="11.640625" style="274" bestFit="1" customWidth="1"/>
    <col min="11026" max="11272" width="9" style="274"/>
    <col min="11273" max="11273" width="12.5" style="274" customWidth="1"/>
    <col min="11274" max="11276" width="10.640625" style="274" customWidth="1"/>
    <col min="11277" max="11279" width="12.640625" style="274" customWidth="1"/>
    <col min="11280" max="11280" width="9" style="274"/>
    <col min="11281" max="11281" width="11.640625" style="274" bestFit="1" customWidth="1"/>
    <col min="11282" max="11528" width="9" style="274"/>
    <col min="11529" max="11529" width="12.5" style="274" customWidth="1"/>
    <col min="11530" max="11532" width="10.640625" style="274" customWidth="1"/>
    <col min="11533" max="11535" width="12.640625" style="274" customWidth="1"/>
    <col min="11536" max="11536" width="9" style="274"/>
    <col min="11537" max="11537" width="11.640625" style="274" bestFit="1" customWidth="1"/>
    <col min="11538" max="11784" width="9" style="274"/>
    <col min="11785" max="11785" width="12.5" style="274" customWidth="1"/>
    <col min="11786" max="11788" width="10.640625" style="274" customWidth="1"/>
    <col min="11789" max="11791" width="12.640625" style="274" customWidth="1"/>
    <col min="11792" max="11792" width="9" style="274"/>
    <col min="11793" max="11793" width="11.640625" style="274" bestFit="1" customWidth="1"/>
    <col min="11794" max="12040" width="9" style="274"/>
    <col min="12041" max="12041" width="12.5" style="274" customWidth="1"/>
    <col min="12042" max="12044" width="10.640625" style="274" customWidth="1"/>
    <col min="12045" max="12047" width="12.640625" style="274" customWidth="1"/>
    <col min="12048" max="12048" width="9" style="274"/>
    <col min="12049" max="12049" width="11.640625" style="274" bestFit="1" customWidth="1"/>
    <col min="12050" max="12296" width="9" style="274"/>
    <col min="12297" max="12297" width="12.5" style="274" customWidth="1"/>
    <col min="12298" max="12300" width="10.640625" style="274" customWidth="1"/>
    <col min="12301" max="12303" width="12.640625" style="274" customWidth="1"/>
    <col min="12304" max="12304" width="9" style="274"/>
    <col min="12305" max="12305" width="11.640625" style="274" bestFit="1" customWidth="1"/>
    <col min="12306" max="12552" width="9" style="274"/>
    <col min="12553" max="12553" width="12.5" style="274" customWidth="1"/>
    <col min="12554" max="12556" width="10.640625" style="274" customWidth="1"/>
    <col min="12557" max="12559" width="12.640625" style="274" customWidth="1"/>
    <col min="12560" max="12560" width="9" style="274"/>
    <col min="12561" max="12561" width="11.640625" style="274" bestFit="1" customWidth="1"/>
    <col min="12562" max="12808" width="9" style="274"/>
    <col min="12809" max="12809" width="12.5" style="274" customWidth="1"/>
    <col min="12810" max="12812" width="10.640625" style="274" customWidth="1"/>
    <col min="12813" max="12815" width="12.640625" style="274" customWidth="1"/>
    <col min="12816" max="12816" width="9" style="274"/>
    <col min="12817" max="12817" width="11.640625" style="274" bestFit="1" customWidth="1"/>
    <col min="12818" max="13064" width="9" style="274"/>
    <col min="13065" max="13065" width="12.5" style="274" customWidth="1"/>
    <col min="13066" max="13068" width="10.640625" style="274" customWidth="1"/>
    <col min="13069" max="13071" width="12.640625" style="274" customWidth="1"/>
    <col min="13072" max="13072" width="9" style="274"/>
    <col min="13073" max="13073" width="11.640625" style="274" bestFit="1" customWidth="1"/>
    <col min="13074" max="13320" width="9" style="274"/>
    <col min="13321" max="13321" width="12.5" style="274" customWidth="1"/>
    <col min="13322" max="13324" width="10.640625" style="274" customWidth="1"/>
    <col min="13325" max="13327" width="12.640625" style="274" customWidth="1"/>
    <col min="13328" max="13328" width="9" style="274"/>
    <col min="13329" max="13329" width="11.640625" style="274" bestFit="1" customWidth="1"/>
    <col min="13330" max="13576" width="9" style="274"/>
    <col min="13577" max="13577" width="12.5" style="274" customWidth="1"/>
    <col min="13578" max="13580" width="10.640625" style="274" customWidth="1"/>
    <col min="13581" max="13583" width="12.640625" style="274" customWidth="1"/>
    <col min="13584" max="13584" width="9" style="274"/>
    <col min="13585" max="13585" width="11.640625" style="274" bestFit="1" customWidth="1"/>
    <col min="13586" max="13832" width="9" style="274"/>
    <col min="13833" max="13833" width="12.5" style="274" customWidth="1"/>
    <col min="13834" max="13836" width="10.640625" style="274" customWidth="1"/>
    <col min="13837" max="13839" width="12.640625" style="274" customWidth="1"/>
    <col min="13840" max="13840" width="9" style="274"/>
    <col min="13841" max="13841" width="11.640625" style="274" bestFit="1" customWidth="1"/>
    <col min="13842" max="14088" width="9" style="274"/>
    <col min="14089" max="14089" width="12.5" style="274" customWidth="1"/>
    <col min="14090" max="14092" width="10.640625" style="274" customWidth="1"/>
    <col min="14093" max="14095" width="12.640625" style="274" customWidth="1"/>
    <col min="14096" max="14096" width="9" style="274"/>
    <col min="14097" max="14097" width="11.640625" style="274" bestFit="1" customWidth="1"/>
    <col min="14098" max="14344" width="9" style="274"/>
    <col min="14345" max="14345" width="12.5" style="274" customWidth="1"/>
    <col min="14346" max="14348" width="10.640625" style="274" customWidth="1"/>
    <col min="14349" max="14351" width="12.640625" style="274" customWidth="1"/>
    <col min="14352" max="14352" width="9" style="274"/>
    <col min="14353" max="14353" width="11.640625" style="274" bestFit="1" customWidth="1"/>
    <col min="14354" max="14600" width="9" style="274"/>
    <col min="14601" max="14601" width="12.5" style="274" customWidth="1"/>
    <col min="14602" max="14604" width="10.640625" style="274" customWidth="1"/>
    <col min="14605" max="14607" width="12.640625" style="274" customWidth="1"/>
    <col min="14608" max="14608" width="9" style="274"/>
    <col min="14609" max="14609" width="11.640625" style="274" bestFit="1" customWidth="1"/>
    <col min="14610" max="14856" width="9" style="274"/>
    <col min="14857" max="14857" width="12.5" style="274" customWidth="1"/>
    <col min="14858" max="14860" width="10.640625" style="274" customWidth="1"/>
    <col min="14861" max="14863" width="12.640625" style="274" customWidth="1"/>
    <col min="14864" max="14864" width="9" style="274"/>
    <col min="14865" max="14865" width="11.640625" style="274" bestFit="1" customWidth="1"/>
    <col min="14866" max="15112" width="9" style="274"/>
    <col min="15113" max="15113" width="12.5" style="274" customWidth="1"/>
    <col min="15114" max="15116" width="10.640625" style="274" customWidth="1"/>
    <col min="15117" max="15119" width="12.640625" style="274" customWidth="1"/>
    <col min="15120" max="15120" width="9" style="274"/>
    <col min="15121" max="15121" width="11.640625" style="274" bestFit="1" customWidth="1"/>
    <col min="15122" max="15368" width="9" style="274"/>
    <col min="15369" max="15369" width="12.5" style="274" customWidth="1"/>
    <col min="15370" max="15372" width="10.640625" style="274" customWidth="1"/>
    <col min="15373" max="15375" width="12.640625" style="274" customWidth="1"/>
    <col min="15376" max="15376" width="9" style="274"/>
    <col min="15377" max="15377" width="11.640625" style="274" bestFit="1" customWidth="1"/>
    <col min="15378" max="15624" width="9" style="274"/>
    <col min="15625" max="15625" width="12.5" style="274" customWidth="1"/>
    <col min="15626" max="15628" width="10.640625" style="274" customWidth="1"/>
    <col min="15629" max="15631" width="12.640625" style="274" customWidth="1"/>
    <col min="15632" max="15632" width="9" style="274"/>
    <col min="15633" max="15633" width="11.640625" style="274" bestFit="1" customWidth="1"/>
    <col min="15634" max="15880" width="9" style="274"/>
    <col min="15881" max="15881" width="12.5" style="274" customWidth="1"/>
    <col min="15882" max="15884" width="10.640625" style="274" customWidth="1"/>
    <col min="15885" max="15887" width="12.640625" style="274" customWidth="1"/>
    <col min="15888" max="15888" width="9" style="274"/>
    <col min="15889" max="15889" width="11.640625" style="274" bestFit="1" customWidth="1"/>
    <col min="15890" max="16136" width="9" style="274"/>
    <col min="16137" max="16137" width="12.5" style="274" customWidth="1"/>
    <col min="16138" max="16140" width="10.640625" style="274" customWidth="1"/>
    <col min="16141" max="16143" width="12.640625" style="274" customWidth="1"/>
    <col min="16144" max="16144" width="9" style="274"/>
    <col min="16145" max="16145" width="11.640625" style="274" bestFit="1" customWidth="1"/>
    <col min="16146" max="16384" width="9" style="274"/>
  </cols>
  <sheetData>
    <row r="1" spans="2:32" ht="21.65" customHeight="1" x14ac:dyDescent="0.65">
      <c r="B1" s="274" t="str">
        <f xml:space="preserve">
IF(OR(テーブル!B3="事前協議",テーブル!B3="交付申請兼実績報告書",テーブル!B3="交付申請",テーブル!B3="交付申請（２次以降）"),"様式１－３",
IF(テーブル!B3="変更申請","様式１－３",
IF(テーブル!B3="実績報告","様式３－３")))</f>
        <v>様式１－３</v>
      </c>
      <c r="G1" s="1060"/>
      <c r="H1" s="767"/>
      <c r="I1" s="767"/>
    </row>
    <row r="2" spans="2:32" ht="35.15" customHeight="1" x14ac:dyDescent="0.65">
      <c r="B2" s="1078" t="str">
        <f xml:space="preserve">
IF(テーブル!B3="交付申請兼実績報告書",
"令和５年度歳入歳出決算書（見込書）抄本",
IF(テーブル!B3="事前協議",
"令和５年度歳入歳出決算書（見込書）抄本（案）"))</f>
        <v>令和５年度歳入歳出決算書（見込書）抄本</v>
      </c>
      <c r="C2" s="1078"/>
      <c r="D2" s="1078"/>
      <c r="E2" s="1078"/>
      <c r="F2" s="1078"/>
      <c r="G2" s="1078"/>
      <c r="H2" s="1078"/>
    </row>
    <row r="3" spans="2:32" ht="15" customHeight="1" x14ac:dyDescent="0.65">
      <c r="B3" s="274" t="s">
        <v>17</v>
      </c>
    </row>
    <row r="4" spans="2:32" ht="15" customHeight="1" x14ac:dyDescent="0.65">
      <c r="B4" s="1067" t="s">
        <v>18</v>
      </c>
      <c r="C4" s="1067" t="s">
        <v>19</v>
      </c>
      <c r="D4" s="1067" t="s">
        <v>20</v>
      </c>
      <c r="E4" s="1067" t="s">
        <v>21</v>
      </c>
      <c r="F4" s="1067" t="s">
        <v>22</v>
      </c>
      <c r="G4" s="1067"/>
      <c r="H4" s="1067" t="s">
        <v>23</v>
      </c>
      <c r="X4" s="1062" t="s">
        <v>99</v>
      </c>
      <c r="Y4" s="1067" t="s">
        <v>18</v>
      </c>
      <c r="Z4" s="1067" t="s">
        <v>19</v>
      </c>
      <c r="AA4" s="1067" t="s">
        <v>20</v>
      </c>
      <c r="AB4" s="1067" t="s">
        <v>21</v>
      </c>
      <c r="AC4" s="1067" t="s">
        <v>22</v>
      </c>
      <c r="AD4" s="1067"/>
    </row>
    <row r="5" spans="2:32" ht="15" customHeight="1" x14ac:dyDescent="0.65">
      <c r="B5" s="1067"/>
      <c r="C5" s="1067"/>
      <c r="D5" s="1067"/>
      <c r="E5" s="1067"/>
      <c r="F5" s="275" t="s">
        <v>24</v>
      </c>
      <c r="G5" s="275" t="s">
        <v>25</v>
      </c>
      <c r="H5" s="1067"/>
      <c r="X5" s="418"/>
      <c r="Y5" s="635"/>
      <c r="Z5" s="635"/>
      <c r="AA5" s="635"/>
      <c r="AB5" s="635"/>
      <c r="AC5" s="275" t="s">
        <v>24</v>
      </c>
      <c r="AD5" s="275" t="s">
        <v>25</v>
      </c>
    </row>
    <row r="6" spans="2:32" ht="15" customHeight="1" x14ac:dyDescent="0.65">
      <c r="B6" s="1075"/>
      <c r="C6" s="1075"/>
      <c r="D6" s="1075"/>
      <c r="E6" s="1057"/>
      <c r="F6" s="1075"/>
      <c r="G6" s="1057"/>
      <c r="H6" s="1068"/>
      <c r="X6" s="1067" t="s">
        <v>97</v>
      </c>
      <c r="Y6" s="1067" t="str">
        <f t="shared" ref="Y6:AD6" si="0">IF(COUNTA(B6)=1,"○","×")</f>
        <v>×</v>
      </c>
      <c r="Z6" s="1067" t="str">
        <f t="shared" si="0"/>
        <v>×</v>
      </c>
      <c r="AA6" s="1067" t="str">
        <f t="shared" si="0"/>
        <v>×</v>
      </c>
      <c r="AB6" s="1067" t="str">
        <f t="shared" si="0"/>
        <v>×</v>
      </c>
      <c r="AC6" s="1067" t="str">
        <f t="shared" si="0"/>
        <v>×</v>
      </c>
      <c r="AD6" s="1067" t="str">
        <f t="shared" si="0"/>
        <v>×</v>
      </c>
      <c r="AF6" s="1062" t="str">
        <f>IF(COUNTIF(Y6:AD9,"○")=12,"○","×")</f>
        <v>×</v>
      </c>
    </row>
    <row r="7" spans="2:32" ht="15" customHeight="1" x14ac:dyDescent="0.65">
      <c r="B7" s="1076"/>
      <c r="C7" s="1076"/>
      <c r="D7" s="1076"/>
      <c r="E7" s="1058"/>
      <c r="F7" s="1076"/>
      <c r="G7" s="1058"/>
      <c r="H7" s="1069"/>
      <c r="X7" s="624"/>
      <c r="Y7" s="624"/>
      <c r="Z7" s="624"/>
      <c r="AA7" s="624"/>
      <c r="AB7" s="624"/>
      <c r="AC7" s="624"/>
      <c r="AD7" s="624"/>
      <c r="AF7" s="417"/>
    </row>
    <row r="8" spans="2:32" ht="15" customHeight="1" x14ac:dyDescent="0.65">
      <c r="B8" s="1076"/>
      <c r="C8" s="1076"/>
      <c r="D8" s="1076"/>
      <c r="E8" s="1058"/>
      <c r="F8" s="1076"/>
      <c r="G8" s="1058"/>
      <c r="H8" s="1069"/>
      <c r="X8" s="1067" t="s">
        <v>98</v>
      </c>
      <c r="Y8" s="1067" t="str">
        <f t="shared" ref="Y8:AD8" si="1">IF(COUNTA(B21)=1,"○","×")</f>
        <v>×</v>
      </c>
      <c r="Z8" s="1067" t="str">
        <f t="shared" si="1"/>
        <v>×</v>
      </c>
      <c r="AA8" s="1067" t="str">
        <f t="shared" si="1"/>
        <v>×</v>
      </c>
      <c r="AB8" s="1067" t="str">
        <f t="shared" si="1"/>
        <v>×</v>
      </c>
      <c r="AC8" s="1067" t="str">
        <f t="shared" si="1"/>
        <v>×</v>
      </c>
      <c r="AD8" s="1067" t="str">
        <f t="shared" si="1"/>
        <v>×</v>
      </c>
      <c r="AF8" s="417"/>
    </row>
    <row r="9" spans="2:32" ht="15" customHeight="1" x14ac:dyDescent="0.65">
      <c r="B9" s="1076"/>
      <c r="C9" s="1076"/>
      <c r="D9" s="1076"/>
      <c r="E9" s="1058"/>
      <c r="F9" s="1076"/>
      <c r="G9" s="1058"/>
      <c r="H9" s="1069"/>
      <c r="X9" s="624"/>
      <c r="Y9" s="624"/>
      <c r="Z9" s="624"/>
      <c r="AA9" s="624"/>
      <c r="AB9" s="624"/>
      <c r="AC9" s="624"/>
      <c r="AD9" s="624"/>
      <c r="AF9" s="418"/>
    </row>
    <row r="10" spans="2:32" ht="15" customHeight="1" x14ac:dyDescent="0.65">
      <c r="B10" s="1076"/>
      <c r="C10" s="1076"/>
      <c r="D10" s="1076"/>
      <c r="E10" s="1058"/>
      <c r="F10" s="1076"/>
      <c r="G10" s="1058"/>
      <c r="H10" s="1069"/>
    </row>
    <row r="11" spans="2:32" ht="15" customHeight="1" x14ac:dyDescent="0.65">
      <c r="B11" s="1076"/>
      <c r="C11" s="1076"/>
      <c r="D11" s="1076"/>
      <c r="E11" s="1058"/>
      <c r="F11" s="1076"/>
      <c r="G11" s="1058"/>
      <c r="H11" s="1069"/>
      <c r="X11" s="1062" t="s">
        <v>92</v>
      </c>
      <c r="Y11" s="1062" t="str">
        <f xml:space="preserve">
IF(AND(はじめに入力してください!O3="○"&amp;CHAR(10)&amp;"（公立）",歳入歳出抄本!AF6="○"),"○",
IF(AND(はじめに入力してください!O3="○"&amp;CHAR(10)&amp;"（公立）",歳入歳出抄本!AF6="×"),"×",
IF(AND(はじめに入力してください!O3&lt;&gt;"○"&amp;CHAR(10)&amp;"（公立）",歳入歳出抄本!AF6="○"),"○",
IF(AND(はじめに入力してください!O3&lt;&gt;"○"&amp;CHAR(10)&amp;"（公立）",歳入歳出抄本!AF6="×"),"○",))))</f>
        <v>○</v>
      </c>
      <c r="Z11" s="1063" t="str">
        <f xml:space="preserve">
IF(AND(はじめに入力してください!O3="○"&amp;CHAR(10)&amp;"（公立）",歳入歳出抄本!AF6="○"),"適切に入力がされました。",
IF(AND(はじめに入力してください!O3="○"&amp;CHAR(10)&amp;"（公立）",歳入歳出抄本!AF6="×"),"【要修正】公立機関なので作成が必要です。",
IF(AND(はじめに入力してください!O3&lt;&gt;"○"&amp;CHAR(10)&amp;"（公立）",歳入歳出抄本!AF6="○"),"公立機関ではない場合、作成不要です。"&amp;CHAR(10)&amp;"（入力されていても特段問題はありません。）",
IF(AND(はじめに入力してください!O3&lt;&gt;"○"&amp;CHAR(10)&amp;"（公立）",歳入歳出抄本!AF6="×"),"公立機関ではない場合、作成不要です。"&amp;CHAR(10)&amp;"（入力されていても特段問題はありません。）",))))</f>
        <v>公立機関ではない場合、作成不要です。
（入力されていても特段問題はありません。）</v>
      </c>
      <c r="AA11" s="1064"/>
      <c r="AB11" s="1064"/>
      <c r="AC11" s="1064"/>
      <c r="AD11" s="1064"/>
    </row>
    <row r="12" spans="2:32" ht="15" customHeight="1" x14ac:dyDescent="0.65">
      <c r="B12" s="1076"/>
      <c r="C12" s="1076"/>
      <c r="D12" s="1076"/>
      <c r="E12" s="1058"/>
      <c r="F12" s="1076"/>
      <c r="G12" s="1058"/>
      <c r="H12" s="1069"/>
      <c r="X12" s="417"/>
      <c r="Y12" s="417"/>
      <c r="Z12" s="1065"/>
      <c r="AA12" s="1065"/>
      <c r="AB12" s="1065"/>
      <c r="AC12" s="1065"/>
      <c r="AD12" s="1065"/>
    </row>
    <row r="13" spans="2:32" ht="15" customHeight="1" x14ac:dyDescent="0.65">
      <c r="B13" s="1076"/>
      <c r="C13" s="1076"/>
      <c r="D13" s="1076"/>
      <c r="E13" s="1058"/>
      <c r="F13" s="1076"/>
      <c r="G13" s="1058"/>
      <c r="H13" s="1069"/>
      <c r="X13" s="418"/>
      <c r="Y13" s="418"/>
      <c r="Z13" s="1066"/>
      <c r="AA13" s="1066"/>
      <c r="AB13" s="1066"/>
      <c r="AC13" s="1066"/>
      <c r="AD13" s="1066"/>
      <c r="AF13" s="274">
        <f>COUNTIF(Y6:AD9,"○")</f>
        <v>0</v>
      </c>
    </row>
    <row r="14" spans="2:32" ht="15" customHeight="1" x14ac:dyDescent="0.65">
      <c r="B14" s="1076"/>
      <c r="C14" s="1076"/>
      <c r="D14" s="1076"/>
      <c r="E14" s="1058"/>
      <c r="F14" s="1076"/>
      <c r="G14" s="1058"/>
      <c r="H14" s="1069"/>
    </row>
    <row r="15" spans="2:32" ht="15" customHeight="1" x14ac:dyDescent="0.65">
      <c r="B15" s="1076"/>
      <c r="C15" s="1076"/>
      <c r="D15" s="1076"/>
      <c r="E15" s="1058"/>
      <c r="F15" s="1076"/>
      <c r="G15" s="1058"/>
      <c r="H15" s="1069"/>
    </row>
    <row r="16" spans="2:32" ht="15" customHeight="1" x14ac:dyDescent="0.65">
      <c r="B16" s="1076"/>
      <c r="C16" s="1076"/>
      <c r="D16" s="1076"/>
      <c r="E16" s="1058"/>
      <c r="F16" s="1076"/>
      <c r="G16" s="1058"/>
      <c r="H16" s="1069"/>
    </row>
    <row r="17" spans="2:24" ht="15" customHeight="1" x14ac:dyDescent="0.65">
      <c r="B17" s="1077"/>
      <c r="C17" s="1077"/>
      <c r="D17" s="1077"/>
      <c r="E17" s="1059"/>
      <c r="F17" s="1077"/>
      <c r="G17" s="1059"/>
      <c r="H17" s="1070"/>
    </row>
    <row r="18" spans="2:24" ht="15" customHeight="1" x14ac:dyDescent="0.65">
      <c r="B18" s="276" t="s">
        <v>26</v>
      </c>
      <c r="C18" s="276"/>
      <c r="D18" s="276"/>
      <c r="E18" s="276"/>
      <c r="F18" s="276"/>
      <c r="G18" s="276"/>
      <c r="H18" s="276"/>
    </row>
    <row r="19" spans="2:24" ht="15" customHeight="1" x14ac:dyDescent="0.65">
      <c r="B19" s="1071" t="s">
        <v>18</v>
      </c>
      <c r="C19" s="1071" t="s">
        <v>19</v>
      </c>
      <c r="D19" s="1071" t="s">
        <v>20</v>
      </c>
      <c r="E19" s="1073" t="s">
        <v>21</v>
      </c>
      <c r="F19" s="1071" t="s">
        <v>22</v>
      </c>
      <c r="G19" s="1074"/>
      <c r="H19" s="1071" t="s">
        <v>23</v>
      </c>
      <c r="X19" s="277"/>
    </row>
    <row r="20" spans="2:24" ht="15" customHeight="1" x14ac:dyDescent="0.65">
      <c r="B20" s="1071"/>
      <c r="C20" s="1071"/>
      <c r="D20" s="1071"/>
      <c r="E20" s="1073"/>
      <c r="F20" s="278" t="s">
        <v>24</v>
      </c>
      <c r="G20" s="279" t="s">
        <v>25</v>
      </c>
      <c r="H20" s="1071"/>
      <c r="X20" s="277"/>
    </row>
    <row r="21" spans="2:24" ht="15" customHeight="1" x14ac:dyDescent="0.65">
      <c r="B21" s="1075"/>
      <c r="C21" s="1075"/>
      <c r="D21" s="1075"/>
      <c r="E21" s="1057"/>
      <c r="F21" s="1075"/>
      <c r="G21" s="1057"/>
      <c r="H21" s="1068"/>
      <c r="X21" s="277"/>
    </row>
    <row r="22" spans="2:24" ht="15" customHeight="1" x14ac:dyDescent="0.65">
      <c r="B22" s="1076"/>
      <c r="C22" s="1076"/>
      <c r="D22" s="1076"/>
      <c r="E22" s="1058"/>
      <c r="F22" s="1076"/>
      <c r="G22" s="1058"/>
      <c r="H22" s="1069"/>
      <c r="X22" s="277"/>
    </row>
    <row r="23" spans="2:24" ht="15" customHeight="1" x14ac:dyDescent="0.65">
      <c r="B23" s="1076"/>
      <c r="C23" s="1076"/>
      <c r="D23" s="1076"/>
      <c r="E23" s="1058"/>
      <c r="F23" s="1076"/>
      <c r="G23" s="1058"/>
      <c r="H23" s="1069"/>
      <c r="X23" s="280"/>
    </row>
    <row r="24" spans="2:24" ht="15" customHeight="1" x14ac:dyDescent="0.65">
      <c r="B24" s="1076"/>
      <c r="C24" s="1076"/>
      <c r="D24" s="1076"/>
      <c r="E24" s="1058"/>
      <c r="F24" s="1076"/>
      <c r="G24" s="1058"/>
      <c r="H24" s="1069"/>
      <c r="X24" s="277"/>
    </row>
    <row r="25" spans="2:24" ht="15" customHeight="1" x14ac:dyDescent="0.65">
      <c r="B25" s="1076"/>
      <c r="C25" s="1076"/>
      <c r="D25" s="1076"/>
      <c r="E25" s="1058"/>
      <c r="F25" s="1076"/>
      <c r="G25" s="1058"/>
      <c r="H25" s="1069"/>
      <c r="X25" s="277"/>
    </row>
    <row r="26" spans="2:24" ht="15" customHeight="1" x14ac:dyDescent="0.65">
      <c r="B26" s="1076"/>
      <c r="C26" s="1076"/>
      <c r="D26" s="1076"/>
      <c r="E26" s="1058"/>
      <c r="F26" s="1076"/>
      <c r="G26" s="1058"/>
      <c r="H26" s="1069"/>
      <c r="X26" s="277"/>
    </row>
    <row r="27" spans="2:24" ht="15" customHeight="1" x14ac:dyDescent="0.65">
      <c r="B27" s="1076"/>
      <c r="C27" s="1076"/>
      <c r="D27" s="1076"/>
      <c r="E27" s="1058"/>
      <c r="F27" s="1076"/>
      <c r="G27" s="1058"/>
      <c r="H27" s="1069"/>
      <c r="X27" s="277"/>
    </row>
    <row r="28" spans="2:24" ht="15" customHeight="1" x14ac:dyDescent="0.65">
      <c r="B28" s="1076"/>
      <c r="C28" s="1076"/>
      <c r="D28" s="1076"/>
      <c r="E28" s="1058"/>
      <c r="F28" s="1076"/>
      <c r="G28" s="1058"/>
      <c r="H28" s="1069"/>
      <c r="X28" s="281"/>
    </row>
    <row r="29" spans="2:24" ht="15" customHeight="1" x14ac:dyDescent="0.65">
      <c r="B29" s="1076"/>
      <c r="C29" s="1076"/>
      <c r="D29" s="1076"/>
      <c r="E29" s="1058"/>
      <c r="F29" s="1076"/>
      <c r="G29" s="1058"/>
      <c r="H29" s="1069"/>
      <c r="X29" s="277"/>
    </row>
    <row r="30" spans="2:24" ht="15" customHeight="1" x14ac:dyDescent="0.65">
      <c r="B30" s="1076"/>
      <c r="C30" s="1076"/>
      <c r="D30" s="1076"/>
      <c r="E30" s="1058"/>
      <c r="F30" s="1076"/>
      <c r="G30" s="1058"/>
      <c r="H30" s="1069"/>
      <c r="X30" s="277"/>
    </row>
    <row r="31" spans="2:24" ht="15" customHeight="1" x14ac:dyDescent="0.65">
      <c r="B31" s="1076"/>
      <c r="C31" s="1076"/>
      <c r="D31" s="1076"/>
      <c r="E31" s="1058"/>
      <c r="F31" s="1076"/>
      <c r="G31" s="1058"/>
      <c r="H31" s="1069"/>
      <c r="X31" s="277"/>
    </row>
    <row r="32" spans="2:24" ht="15" customHeight="1" x14ac:dyDescent="0.65">
      <c r="B32" s="1077"/>
      <c r="C32" s="1077"/>
      <c r="D32" s="1077"/>
      <c r="E32" s="1059"/>
      <c r="F32" s="1077"/>
      <c r="G32" s="1059"/>
      <c r="H32" s="1070"/>
      <c r="X32" s="277"/>
    </row>
    <row r="33" spans="2:24" ht="15" customHeight="1" x14ac:dyDescent="0.65">
      <c r="X33" s="280"/>
    </row>
    <row r="34" spans="2:24" ht="15" customHeight="1" x14ac:dyDescent="0.65">
      <c r="B34" s="274" t="s">
        <v>27</v>
      </c>
      <c r="X34" s="277"/>
    </row>
    <row r="35" spans="2:24" ht="15" customHeight="1" x14ac:dyDescent="0.65">
      <c r="X35" s="277"/>
    </row>
    <row r="36" spans="2:24" ht="15" customHeight="1" x14ac:dyDescent="0.65">
      <c r="C36" s="282" t="str">
        <f>IF(テーブル!B14="","令和４年　　月　　日",テーブル!B14)</f>
        <v>提出日</v>
      </c>
      <c r="D36" s="282"/>
      <c r="E36" s="1072" t="str">
        <f>IF(表紙!N5="令和　年　月　　日","",表紙!N5)</f>
        <v/>
      </c>
      <c r="F36" s="783"/>
      <c r="X36" s="277"/>
    </row>
    <row r="37" spans="2:24" ht="15" customHeight="1" x14ac:dyDescent="0.65">
      <c r="X37" s="277"/>
    </row>
    <row r="38" spans="2:24" ht="15" customHeight="1" x14ac:dyDescent="0.65">
      <c r="C38" s="283" t="s">
        <v>105</v>
      </c>
      <c r="E38" s="1061" t="str">
        <f>表紙!L9</f>
        <v/>
      </c>
      <c r="F38" s="769"/>
      <c r="G38" s="769"/>
      <c r="H38" s="769"/>
      <c r="X38" s="277"/>
    </row>
    <row r="39" spans="2:24" ht="15" customHeight="1" x14ac:dyDescent="0.65">
      <c r="X39" s="284"/>
    </row>
    <row r="40" spans="2:24" ht="15" customHeight="1" x14ac:dyDescent="0.65">
      <c r="C40" s="283" t="s">
        <v>106</v>
      </c>
      <c r="E40" s="274" t="str">
        <f>はじめに入力してください!H7&amp;"　"&amp;はじめに入力してください!H8</f>
        <v>　</v>
      </c>
    </row>
    <row r="41" spans="2:24" ht="15" customHeight="1" x14ac:dyDescent="0.65">
      <c r="X41" s="277"/>
    </row>
    <row r="42" spans="2:24" ht="15" customHeight="1" x14ac:dyDescent="0.65">
      <c r="X42" s="277"/>
    </row>
    <row r="43" spans="2:24" ht="15" customHeight="1" x14ac:dyDescent="0.65">
      <c r="B43" s="274" t="s">
        <v>32</v>
      </c>
      <c r="X43" s="277"/>
    </row>
    <row r="44" spans="2:24" ht="15" customHeight="1" x14ac:dyDescent="0.65"/>
  </sheetData>
  <sheetProtection algorithmName="SHA-512" hashValue="gNMelX2K6Bkt6ogDEhjFJlvkKCsINr0sTPbVIndHmwrbcWI0DuL9UptO0OaZrTxeqbEvYdi5lLjf+k5qoi78kQ==" saltValue="JG7pXZAmFgmG753lwbhO2g==" spinCount="100000" sheet="1" objects="1" scenarios="1"/>
  <mergeCells count="54">
    <mergeCell ref="B2:H2"/>
    <mergeCell ref="B4:B5"/>
    <mergeCell ref="C4:C5"/>
    <mergeCell ref="D4:D5"/>
    <mergeCell ref="E4:E5"/>
    <mergeCell ref="F4:G4"/>
    <mergeCell ref="H4:H5"/>
    <mergeCell ref="H6:H17"/>
    <mergeCell ref="B6:B17"/>
    <mergeCell ref="C6:C17"/>
    <mergeCell ref="B19:B20"/>
    <mergeCell ref="C19:C20"/>
    <mergeCell ref="D19:D20"/>
    <mergeCell ref="D6:D17"/>
    <mergeCell ref="F6:F17"/>
    <mergeCell ref="G6:G17"/>
    <mergeCell ref="E6:E17"/>
    <mergeCell ref="B21:B32"/>
    <mergeCell ref="C21:C32"/>
    <mergeCell ref="D21:D32"/>
    <mergeCell ref="F21:F32"/>
    <mergeCell ref="E21:E32"/>
    <mergeCell ref="X4:X5"/>
    <mergeCell ref="AC6:AC7"/>
    <mergeCell ref="AD6:AD7"/>
    <mergeCell ref="AC8:AC9"/>
    <mergeCell ref="AD8:AD9"/>
    <mergeCell ref="AC4:AD4"/>
    <mergeCell ref="AA4:AA5"/>
    <mergeCell ref="Z4:Z5"/>
    <mergeCell ref="Y4:Y5"/>
    <mergeCell ref="AB4:AB5"/>
    <mergeCell ref="Z6:Z7"/>
    <mergeCell ref="AA6:AA7"/>
    <mergeCell ref="AB6:AB7"/>
    <mergeCell ref="Y8:Y9"/>
    <mergeCell ref="Z8:Z9"/>
    <mergeCell ref="AA8:AA9"/>
    <mergeCell ref="G21:G32"/>
    <mergeCell ref="G1:I1"/>
    <mergeCell ref="E38:H38"/>
    <mergeCell ref="Y11:Y13"/>
    <mergeCell ref="AF6:AF9"/>
    <mergeCell ref="X11:X13"/>
    <mergeCell ref="Z11:AD13"/>
    <mergeCell ref="AB8:AB9"/>
    <mergeCell ref="H21:H32"/>
    <mergeCell ref="X6:X7"/>
    <mergeCell ref="X8:X9"/>
    <mergeCell ref="Y6:Y7"/>
    <mergeCell ref="H19:H20"/>
    <mergeCell ref="E36:F36"/>
    <mergeCell ref="E19:E20"/>
    <mergeCell ref="F19:G19"/>
  </mergeCells>
  <phoneticPr fontId="1"/>
  <conditionalFormatting sqref="Y6:AD9">
    <cfRule type="containsText" dxfId="2" priority="3" operator="containsText" text="×">
      <formula>NOT(ISERROR(SEARCH("×",Y6)))</formula>
    </cfRule>
  </conditionalFormatting>
  <conditionalFormatting sqref="Y11:Y13">
    <cfRule type="containsText" dxfId="1" priority="2" operator="containsText" text="×">
      <formula>NOT(ISERROR(SEARCH("×",Y11)))</formula>
    </cfRule>
  </conditionalFormatting>
  <conditionalFormatting sqref="Z11:AD13">
    <cfRule type="containsText" dxfId="0"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D021-2781-427C-9CAF-D5391021381B}">
  <sheetPr>
    <tabColor rgb="FFFF0000"/>
  </sheetPr>
  <dimension ref="A1:E11"/>
  <sheetViews>
    <sheetView showGridLines="0" view="pageBreakPreview" zoomScale="60" zoomScaleNormal="100" workbookViewId="0">
      <selection activeCell="E8" sqref="E8"/>
    </sheetView>
  </sheetViews>
  <sheetFormatPr defaultColWidth="9" defaultRowHeight="15.9" x14ac:dyDescent="0.55000000000000004"/>
  <cols>
    <col min="1" max="1" width="9" style="285"/>
    <col min="2" max="3" width="50.640625" style="286" customWidth="1"/>
    <col min="4" max="5" width="50.640625" style="285" customWidth="1"/>
    <col min="6" max="16384" width="9" style="285"/>
  </cols>
  <sheetData>
    <row r="1" spans="1:5" x14ac:dyDescent="0.55000000000000004">
      <c r="E1" s="287" t="str">
        <f>IF(OR(はじめに入力してください!H6="",はじめに入力してください!H10=""),"",はじめに入力してください!H6&amp;"（"&amp;はじめに入力してください!H10&amp;"）")</f>
        <v/>
      </c>
    </row>
    <row r="2" spans="1:5" ht="26.15" x14ac:dyDescent="0.55000000000000004">
      <c r="A2" s="1079" t="str">
        <f>"令和５年度新型コロナウイルス感染症外来対応医療機関確保事業費補助金（"&amp;テーブル!B3&amp;"）に係る審査意見書"</f>
        <v>令和５年度新型コロナウイルス感染症外来対応医療機関確保事業費補助金（交付申請兼実績報告書）に係る審査意見書</v>
      </c>
      <c r="B2" s="1079"/>
      <c r="C2" s="1079"/>
      <c r="D2" s="1079"/>
      <c r="E2" s="1079"/>
    </row>
    <row r="4" spans="1:5" ht="120" customHeight="1" x14ac:dyDescent="0.55000000000000004">
      <c r="A4" s="1080" t="str">
        <f>"【御担当者様へ】
○標記補助金に係る（"&amp;テーブル!B3&amp;"）をご提出いただきありがとうございました。
○本補助金は全額、公金である国庫を原資としており、これを用いての設備整備は低廉かつ必要最小限であること及び、本県として当該原資により補助金を交付するにあたっては左記の妥当性について確認した上で、国に対し説明する責任を負います。
○上記に伴う形で補助金を活用して整備を行う医療機関（補助事業者）におかれても、実施しようとする整備の内容及び妥当性について説明する義務がありますことを御確認いただいた上で、以下の確認事項についてご回答をいただきますようお願いします。"</f>
        <v>【御担当者様へ】
○標記補助金に係る（交付申請兼実績報告書）をご提出いただきありがとうございました。
○本補助金は全額、公金である国庫を原資としており、これを用いての設備整備は低廉かつ必要最小限であること及び、本県として当該原資により補助金を交付するにあたっては左記の妥当性について確認した上で、国に対し説明する責任を負います。
○上記に伴う形で補助金を活用して整備を行う医療機関（補助事業者）におかれても、実施しようとする整備の内容及び妥当性について説明する義務がありますことを御確認いただいた上で、以下の確認事項についてご回答をいただきますようお願いします。</v>
      </c>
      <c r="B4" s="1080"/>
      <c r="C4" s="1080"/>
      <c r="D4" s="1080"/>
      <c r="E4" s="1080"/>
    </row>
    <row r="6" spans="1:5" s="288" customFormat="1" ht="19.3" x14ac:dyDescent="0.65">
      <c r="A6" s="290" t="s">
        <v>357</v>
      </c>
      <c r="B6" s="291" t="s">
        <v>358</v>
      </c>
      <c r="C6" s="291" t="s">
        <v>205</v>
      </c>
      <c r="D6" s="290" t="s">
        <v>359</v>
      </c>
      <c r="E6" s="290" t="s">
        <v>360</v>
      </c>
    </row>
    <row r="7" spans="1:5" s="289" customFormat="1" ht="19.3" x14ac:dyDescent="0.65">
      <c r="A7" s="292">
        <v>1</v>
      </c>
      <c r="B7" s="303"/>
      <c r="C7" s="303"/>
      <c r="D7" s="303"/>
      <c r="E7" s="303"/>
    </row>
    <row r="8" spans="1:5" ht="19.3" x14ac:dyDescent="0.55000000000000004">
      <c r="A8" s="291">
        <v>2</v>
      </c>
      <c r="B8" s="303"/>
      <c r="C8" s="303"/>
      <c r="D8" s="303"/>
      <c r="E8" s="305"/>
    </row>
    <row r="9" spans="1:5" ht="19.3" x14ac:dyDescent="0.65">
      <c r="A9" s="291">
        <v>3</v>
      </c>
      <c r="B9" s="303"/>
      <c r="C9" s="303"/>
      <c r="D9" s="303"/>
      <c r="E9" s="304"/>
    </row>
    <row r="10" spans="1:5" ht="19.3" x14ac:dyDescent="0.65">
      <c r="A10" s="291">
        <v>4</v>
      </c>
      <c r="B10" s="303"/>
      <c r="C10" s="303"/>
      <c r="D10" s="303"/>
      <c r="E10" s="304"/>
    </row>
    <row r="11" spans="1:5" ht="19.3" x14ac:dyDescent="0.65">
      <c r="A11" s="291">
        <v>5</v>
      </c>
      <c r="B11" s="303"/>
      <c r="C11" s="303"/>
      <c r="D11" s="303"/>
      <c r="E11" s="304"/>
    </row>
  </sheetData>
  <sheetProtection algorithmName="SHA-512" hashValue="trbG7yUyq9snj6eNwWs7pOFR08qDqd1eiLCmGl126ozXuAjaxcfaKHGjqASGINdIZq+DLwy2JZpdv4b55xL2ng==" saltValue="sFct9buXZK9UWkpV1bso6w==" spinCount="100000" sheet="1" objects="1" scenarios="1"/>
  <mergeCells count="2">
    <mergeCell ref="A2:E2"/>
    <mergeCell ref="A4:E4"/>
  </mergeCells>
  <phoneticPr fontId="1"/>
  <pageMargins left="0.7" right="0.7" top="0.75" bottom="0.75" header="0.3" footer="0.3"/>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E65D-E757-4708-A6F8-40B19FC1A8F6}">
  <sheetPr>
    <tabColor theme="5" tint="0.39997558519241921"/>
    <pageSetUpPr fitToPage="1"/>
  </sheetPr>
  <dimension ref="A1:W2"/>
  <sheetViews>
    <sheetView topLeftCell="G1" workbookViewId="0">
      <selection activeCell="H32" sqref="H32:N32"/>
    </sheetView>
  </sheetViews>
  <sheetFormatPr defaultRowHeight="18.45" x14ac:dyDescent="0.65"/>
  <cols>
    <col min="2" max="2" width="11.2109375" customWidth="1"/>
    <col min="3" max="3" width="23.140625" customWidth="1"/>
    <col min="12" max="12" width="9.140625" customWidth="1"/>
    <col min="22" max="22" width="16.85546875" customWidth="1"/>
  </cols>
  <sheetData>
    <row r="1" spans="1:23" x14ac:dyDescent="0.65">
      <c r="A1" t="s">
        <v>375</v>
      </c>
      <c r="B1" t="s">
        <v>376</v>
      </c>
      <c r="C1" t="s">
        <v>394</v>
      </c>
      <c r="D1" t="s">
        <v>377</v>
      </c>
      <c r="E1" t="s">
        <v>378</v>
      </c>
      <c r="F1" t="s">
        <v>379</v>
      </c>
      <c r="G1" t="s">
        <v>31</v>
      </c>
      <c r="H1" t="s">
        <v>380</v>
      </c>
      <c r="I1" t="s">
        <v>381</v>
      </c>
      <c r="J1" t="s">
        <v>382</v>
      </c>
      <c r="K1" t="s">
        <v>383</v>
      </c>
      <c r="L1" t="s">
        <v>384</v>
      </c>
      <c r="M1" t="s">
        <v>385</v>
      </c>
      <c r="N1" t="s">
        <v>236</v>
      </c>
      <c r="O1" t="s">
        <v>386</v>
      </c>
      <c r="P1" t="s">
        <v>295</v>
      </c>
      <c r="Q1" t="s">
        <v>387</v>
      </c>
      <c r="R1" t="s">
        <v>388</v>
      </c>
      <c r="S1" t="s">
        <v>389</v>
      </c>
      <c r="T1" t="s">
        <v>390</v>
      </c>
      <c r="U1" t="s">
        <v>391</v>
      </c>
      <c r="V1" t="s">
        <v>392</v>
      </c>
      <c r="W1" t="s">
        <v>393</v>
      </c>
    </row>
    <row r="2" spans="1:23" x14ac:dyDescent="0.65">
      <c r="B2" t="str">
        <f>表紙!N5</f>
        <v>令和　年　月　　日</v>
      </c>
      <c r="C2" s="359" t="str">
        <f>はじめに入力してください!AF13</f>
        <v/>
      </c>
      <c r="D2">
        <f>はじめに入力してください!H6</f>
        <v>0</v>
      </c>
      <c r="E2">
        <f>はじめに入力してください!H9</f>
        <v>0</v>
      </c>
      <c r="F2">
        <f>はじめに入力してください!H10</f>
        <v>0</v>
      </c>
      <c r="G2">
        <f>はじめに入力してください!H11</f>
        <v>0</v>
      </c>
      <c r="H2">
        <f>はじめに入力してください!H7</f>
        <v>0</v>
      </c>
      <c r="I2">
        <f>はじめに入力してください!H8</f>
        <v>0</v>
      </c>
      <c r="J2">
        <f>はじめに入力してください!H15</f>
        <v>0</v>
      </c>
      <c r="K2">
        <f>はじめに入力してください!H16</f>
        <v>0</v>
      </c>
      <c r="L2" s="306" t="str">
        <f>表紙!L45</f>
        <v/>
      </c>
      <c r="M2" t="str">
        <f ca="1">経費書!I18</f>
        <v/>
      </c>
      <c r="N2">
        <f ca="1">看板!AO3</f>
        <v>0</v>
      </c>
      <c r="O2">
        <f>HP!AO3</f>
        <v>0</v>
      </c>
      <c r="P2">
        <f>医療機器・サーモ・換気設備!AQ26</f>
        <v>0</v>
      </c>
      <c r="Q2">
        <f>医療機器・サーモ・換気設備!AQ41</f>
        <v>0</v>
      </c>
      <c r="R2">
        <f>医療機器・サーモ・換気設備!AQ67</f>
        <v>0</v>
      </c>
      <c r="S2">
        <f>はじめに入力してください!H18</f>
        <v>0</v>
      </c>
      <c r="T2" t="str">
        <f>はじめに入力してください!AF20</f>
        <v/>
      </c>
      <c r="U2" t="str">
        <f>はじめに入力してください!AF22</f>
        <v/>
      </c>
      <c r="V2" t="str">
        <f>IF(はじめに入力してください!H23=1,"普通",
IF(はじめに入力してください!H23=2,"当座",""))</f>
        <v/>
      </c>
      <c r="W2" t="str">
        <f>はじめに入力してください!AF24</f>
        <v/>
      </c>
    </row>
  </sheetData>
  <phoneticPr fontId="1"/>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B1:AN81"/>
  <sheetViews>
    <sheetView showGridLines="0" tabSelected="1" view="pageBreakPreview" zoomScale="80" zoomScaleNormal="100" zoomScaleSheetLayoutView="80" workbookViewId="0">
      <selection activeCell="H6" sqref="H6:N6"/>
    </sheetView>
  </sheetViews>
  <sheetFormatPr defaultColWidth="9" defaultRowHeight="15.9" x14ac:dyDescent="0.65"/>
  <cols>
    <col min="1" max="2" width="3.640625" style="27" customWidth="1"/>
    <col min="3" max="7" width="6.140625" style="27" customWidth="1"/>
    <col min="8" max="14" width="6.140625" style="221" customWidth="1"/>
    <col min="15" max="15" width="10.640625" style="42" customWidth="1"/>
    <col min="16" max="16" width="6.140625" style="28" customWidth="1"/>
    <col min="17" max="28" width="6.140625" style="27" customWidth="1"/>
    <col min="29" max="30" width="3.640625" style="27" customWidth="1"/>
    <col min="31" max="32" width="30.640625" style="28" customWidth="1"/>
    <col min="33" max="33" width="15.2109375" style="42" customWidth="1"/>
    <col min="34" max="34" width="10.2109375" style="27" bestFit="1" customWidth="1"/>
    <col min="35" max="36" width="10.2109375" style="27" customWidth="1"/>
    <col min="37" max="37" width="9.140625" style="27" bestFit="1" customWidth="1"/>
    <col min="38" max="38" width="15.140625" style="27" bestFit="1" customWidth="1"/>
    <col min="39" max="39" width="9" style="27"/>
    <col min="40" max="40" width="9.140625" style="27" bestFit="1" customWidth="1"/>
    <col min="41" max="16384" width="9" style="27"/>
  </cols>
  <sheetData>
    <row r="1" spans="2:40" ht="100" customHeight="1" x14ac:dyDescent="0.65">
      <c r="B1" s="26"/>
      <c r="C1" s="504" t="s">
        <v>142</v>
      </c>
      <c r="D1" s="505"/>
      <c r="E1" s="505"/>
      <c r="F1" s="505"/>
      <c r="G1" s="505"/>
      <c r="H1" s="506"/>
      <c r="I1" s="506"/>
      <c r="J1" s="506"/>
      <c r="K1" s="506"/>
      <c r="L1" s="506"/>
      <c r="M1" s="506"/>
      <c r="N1" s="506"/>
      <c r="O1" s="506"/>
      <c r="P1" s="506"/>
      <c r="Q1" s="506"/>
      <c r="R1" s="506"/>
      <c r="S1" s="506"/>
      <c r="T1" s="506"/>
      <c r="U1" s="506"/>
      <c r="V1" s="506"/>
      <c r="W1" s="506"/>
      <c r="X1" s="506"/>
      <c r="Y1" s="506"/>
      <c r="Z1" s="506"/>
      <c r="AA1" s="506"/>
      <c r="AB1" s="506"/>
      <c r="AC1" s="26"/>
      <c r="AD1" s="26"/>
      <c r="AF1" s="38"/>
    </row>
    <row r="2" spans="2:40" ht="20.149999999999999" customHeight="1" thickBot="1" x14ac:dyDescent="0.7">
      <c r="B2" s="523" t="s">
        <v>81</v>
      </c>
      <c r="C2" s="541"/>
      <c r="D2" s="541"/>
      <c r="E2" s="541"/>
      <c r="F2" s="541"/>
      <c r="G2" s="542"/>
      <c r="H2" s="523" t="s">
        <v>82</v>
      </c>
      <c r="I2" s="524"/>
      <c r="J2" s="524"/>
      <c r="K2" s="524"/>
      <c r="L2" s="524"/>
      <c r="M2" s="524"/>
      <c r="N2" s="525"/>
      <c r="O2" s="208" t="s">
        <v>80</v>
      </c>
      <c r="P2" s="567" t="s">
        <v>74</v>
      </c>
      <c r="Q2" s="568"/>
      <c r="R2" s="568"/>
      <c r="S2" s="568"/>
      <c r="T2" s="568"/>
      <c r="U2" s="568"/>
      <c r="V2" s="568"/>
      <c r="W2" s="568"/>
      <c r="X2" s="568"/>
      <c r="Y2" s="568"/>
      <c r="Z2" s="568"/>
      <c r="AA2" s="568"/>
      <c r="AB2" s="569"/>
      <c r="AC2" s="26"/>
      <c r="AD2" s="26"/>
      <c r="AE2" s="46" t="s">
        <v>147</v>
      </c>
      <c r="AF2" s="91" t="s">
        <v>144</v>
      </c>
    </row>
    <row r="3" spans="2:40" ht="25" customHeight="1" thickTop="1" x14ac:dyDescent="0.65">
      <c r="B3" s="560" t="s">
        <v>110</v>
      </c>
      <c r="C3" s="526" t="s">
        <v>77</v>
      </c>
      <c r="D3" s="527"/>
      <c r="E3" s="527"/>
      <c r="F3" s="527"/>
      <c r="G3" s="528"/>
      <c r="H3" s="449" t="s">
        <v>78</v>
      </c>
      <c r="I3" s="450"/>
      <c r="J3" s="450"/>
      <c r="K3" s="450"/>
      <c r="L3" s="450"/>
      <c r="M3" s="450"/>
      <c r="N3" s="451"/>
      <c r="O3" s="576" t="str">
        <f xml:space="preserve">
IF(AND(AM3="×",AM4="×",AM5="×"),"×",
IF(AND(AM3="×",AM4="×",AM5="○"),"○"&amp;CHAR(10)&amp;"（公立）",
IF(AND(AM3="×",AM4="○",AM5="×"),"○"&amp;CHAR(10)&amp;"（個人）",
IF(AND(AM3="×",AM4="○",AM5="○"),"×",
IF(AND(AM3="○",AM4="×",AM5="×"),"○"&amp;CHAR(10)&amp;"（法人）",
IF(AND(AM3="○",AM4="×",AM5="○"),"×",
IF(AND(AM3="○",AM4="○",AM5="×"),"×",
IF(AND(AM3="○",AM4="○",AM5="○"),"×",
))))))))</f>
        <v>×</v>
      </c>
      <c r="P3" s="509" t="str">
        <f xml:space="preserve">
IF(AND(AM3="×",AM4="×",AM5="×"),"【要修正】いずれかのボックスにチェックしてください。",
IF(AND(AM3="×",AM4="×",AM5="○"),"適切に入力がされました。",
IF(AND(AM3="×",AM4="○",AM5="×"),"適切に入力がされました。",
IF(AND(AM3="×",AM4="○",AM5="○"),"【要修正】複数のボックスにチェックされています。（いずれか１つのみチェックしてください。）",
IF(AND(AM3="○",AM4="×",AM5="×"),"適切に入力がされました。",
IF(AND(AM3="○",AM4="×",AM5="○"),"【要修正】複数のボックスにチェックされています。（いずれか１つのみチェックしてください。）",
IF(AND(AM3="○",AM4="○",AM5="×"),"【要修正】複数のボックスにチェックされています。（いずれか１つのみチェックしてください。）",
IF(AND(AM3="○",AM4="○",AM5="○"),"【要修正】全てのボックスにチェックされています。（いずれか１つのみチェックしてください。）",
))))))))</f>
        <v>【要修正】いずれかのボックスにチェックしてください。</v>
      </c>
      <c r="Q3" s="510"/>
      <c r="R3" s="510"/>
      <c r="S3" s="510"/>
      <c r="T3" s="510"/>
      <c r="U3" s="510"/>
      <c r="V3" s="510"/>
      <c r="W3" s="510"/>
      <c r="X3" s="511"/>
      <c r="Y3" s="511"/>
      <c r="Z3" s="511"/>
      <c r="AA3" s="511"/>
      <c r="AB3" s="512"/>
      <c r="AC3" s="26"/>
      <c r="AD3" s="26"/>
      <c r="AE3" s="438" t="str">
        <f>IF(OR(O3="○"&amp;CHAR(10)&amp;"（法人）",O3="○"&amp;CHAR(10)&amp;"（公立）",O3="○"&amp;CHAR(10)&amp;"（個人）"),"",C3&amp;"/")</f>
        <v>法人・個人事業主の別/</v>
      </c>
      <c r="AF3" s="416" t="s">
        <v>145</v>
      </c>
      <c r="AM3" s="89" t="str">
        <f>IF(AN3=TRUE,"○","×")</f>
        <v>×</v>
      </c>
      <c r="AN3" s="90" t="b">
        <v>0</v>
      </c>
    </row>
    <row r="4" spans="2:40" ht="25" customHeight="1" x14ac:dyDescent="0.65">
      <c r="B4" s="561"/>
      <c r="C4" s="529"/>
      <c r="D4" s="530"/>
      <c r="E4" s="530"/>
      <c r="F4" s="530"/>
      <c r="G4" s="531"/>
      <c r="H4" s="573" t="s">
        <v>79</v>
      </c>
      <c r="I4" s="574"/>
      <c r="J4" s="574"/>
      <c r="K4" s="574"/>
      <c r="L4" s="574"/>
      <c r="M4" s="574"/>
      <c r="N4" s="575"/>
      <c r="O4" s="577"/>
      <c r="P4" s="513"/>
      <c r="Q4" s="514"/>
      <c r="R4" s="514"/>
      <c r="S4" s="514"/>
      <c r="T4" s="514"/>
      <c r="U4" s="514"/>
      <c r="V4" s="514"/>
      <c r="W4" s="514"/>
      <c r="X4" s="515"/>
      <c r="Y4" s="515"/>
      <c r="Z4" s="515"/>
      <c r="AA4" s="515"/>
      <c r="AB4" s="516"/>
      <c r="AC4" s="26"/>
      <c r="AD4" s="26"/>
      <c r="AE4" s="439"/>
      <c r="AF4" s="417"/>
      <c r="AM4" s="89" t="str">
        <f>IF(AN4=TRUE,"○","×")</f>
        <v>×</v>
      </c>
      <c r="AN4" s="90" t="b">
        <v>0</v>
      </c>
    </row>
    <row r="5" spans="2:40" ht="25" customHeight="1" x14ac:dyDescent="0.65">
      <c r="B5" s="561"/>
      <c r="C5" s="532"/>
      <c r="D5" s="533"/>
      <c r="E5" s="533"/>
      <c r="F5" s="533"/>
      <c r="G5" s="534"/>
      <c r="H5" s="570" t="s">
        <v>93</v>
      </c>
      <c r="I5" s="571"/>
      <c r="J5" s="571"/>
      <c r="K5" s="571"/>
      <c r="L5" s="571"/>
      <c r="M5" s="571"/>
      <c r="N5" s="572"/>
      <c r="O5" s="577"/>
      <c r="P5" s="517"/>
      <c r="Q5" s="514"/>
      <c r="R5" s="514"/>
      <c r="S5" s="514"/>
      <c r="T5" s="514"/>
      <c r="U5" s="514"/>
      <c r="V5" s="514"/>
      <c r="W5" s="514"/>
      <c r="X5" s="515"/>
      <c r="Y5" s="515"/>
      <c r="Z5" s="515"/>
      <c r="AA5" s="515"/>
      <c r="AB5" s="516"/>
      <c r="AC5" s="26"/>
      <c r="AD5" s="26"/>
      <c r="AE5" s="440"/>
      <c r="AF5" s="418"/>
      <c r="AM5" s="89" t="str">
        <f>IF(AN5=TRUE,"○","×")</f>
        <v>×</v>
      </c>
      <c r="AN5" s="90" t="b">
        <v>0</v>
      </c>
    </row>
    <row r="6" spans="2:40" ht="25" customHeight="1" x14ac:dyDescent="0.65">
      <c r="B6" s="561"/>
      <c r="C6" s="446" t="s">
        <v>6</v>
      </c>
      <c r="D6" s="447"/>
      <c r="E6" s="447"/>
      <c r="F6" s="447"/>
      <c r="G6" s="448"/>
      <c r="H6" s="423"/>
      <c r="I6" s="444"/>
      <c r="J6" s="444"/>
      <c r="K6" s="444"/>
      <c r="L6" s="444"/>
      <c r="M6" s="444"/>
      <c r="N6" s="445"/>
      <c r="O6" s="29" t="str">
        <f>IF(COUNTA(H6)=0,"×","○")</f>
        <v>×</v>
      </c>
      <c r="P6" s="406" t="str">
        <f>IF(O6="×","【要修正】法人の場合は法人名、個人事業主の場合は屋号を入力してください。","適切に入力がされました。")</f>
        <v>【要修正】法人の場合は法人名、個人事業主の場合は屋号を入力してください。</v>
      </c>
      <c r="Q6" s="518"/>
      <c r="R6" s="518"/>
      <c r="S6" s="518"/>
      <c r="T6" s="518"/>
      <c r="U6" s="518"/>
      <c r="V6" s="518"/>
      <c r="W6" s="518"/>
      <c r="X6" s="515"/>
      <c r="Y6" s="515"/>
      <c r="Z6" s="515"/>
      <c r="AA6" s="515"/>
      <c r="AB6" s="516"/>
      <c r="AC6" s="26"/>
      <c r="AD6" s="26"/>
      <c r="AE6" s="212" t="str">
        <f>IF(O6="○","",C6&amp;"/")</f>
        <v>事業者名/</v>
      </c>
      <c r="AF6" s="212" t="str">
        <f>ASC(H6)</f>
        <v/>
      </c>
    </row>
    <row r="7" spans="2:40" ht="25" customHeight="1" x14ac:dyDescent="0.65">
      <c r="B7" s="561"/>
      <c r="C7" s="446" t="s">
        <v>7</v>
      </c>
      <c r="D7" s="447"/>
      <c r="E7" s="447"/>
      <c r="F7" s="447"/>
      <c r="G7" s="448"/>
      <c r="H7" s="423"/>
      <c r="I7" s="444"/>
      <c r="J7" s="444"/>
      <c r="K7" s="444"/>
      <c r="L7" s="444"/>
      <c r="M7" s="444"/>
      <c r="N7" s="445"/>
      <c r="O7" s="29" t="str">
        <f>IF(COUNTA(H7)=0,"×","○")</f>
        <v>×</v>
      </c>
      <c r="P7" s="406" t="str">
        <f>IF(O7="×","【要修正】代表者の職名（「理事長」等）を入力してください。","適切に入力がされました。")</f>
        <v>【要修正】代表者の職名（「理事長」等）を入力してください。</v>
      </c>
      <c r="Q7" s="518"/>
      <c r="R7" s="518"/>
      <c r="S7" s="518"/>
      <c r="T7" s="518"/>
      <c r="U7" s="518"/>
      <c r="V7" s="518"/>
      <c r="W7" s="518"/>
      <c r="X7" s="515"/>
      <c r="Y7" s="515"/>
      <c r="Z7" s="515"/>
      <c r="AA7" s="515"/>
      <c r="AB7" s="516"/>
      <c r="AC7" s="26"/>
      <c r="AD7" s="26"/>
      <c r="AE7" s="212" t="str">
        <f>IF(O7="○","",C7&amp;"/")</f>
        <v>代表者役職/</v>
      </c>
      <c r="AF7" s="212" t="str">
        <f t="shared" ref="AF7:AF11" si="0">ASC(H7)</f>
        <v/>
      </c>
    </row>
    <row r="8" spans="2:40" ht="25" customHeight="1" x14ac:dyDescent="0.65">
      <c r="B8" s="561"/>
      <c r="C8" s="446" t="s">
        <v>4</v>
      </c>
      <c r="D8" s="447"/>
      <c r="E8" s="447"/>
      <c r="F8" s="447"/>
      <c r="G8" s="448"/>
      <c r="H8" s="423"/>
      <c r="I8" s="444"/>
      <c r="J8" s="444"/>
      <c r="K8" s="444"/>
      <c r="L8" s="444"/>
      <c r="M8" s="444"/>
      <c r="N8" s="445"/>
      <c r="O8" s="29" t="str">
        <f>IF(COUNTA(H8)=0,"×","○")</f>
        <v>×</v>
      </c>
      <c r="P8" s="406" t="str">
        <f>IF(O8="×","【要修正】代表者の氏名（例：「愛知　太郎」）を入力してください。","適切に入力がされました。")</f>
        <v>【要修正】代表者の氏名（例：「愛知　太郎」）を入力してください。</v>
      </c>
      <c r="Q8" s="518"/>
      <c r="R8" s="518"/>
      <c r="S8" s="518"/>
      <c r="T8" s="518"/>
      <c r="U8" s="518"/>
      <c r="V8" s="518"/>
      <c r="W8" s="518"/>
      <c r="X8" s="515"/>
      <c r="Y8" s="515"/>
      <c r="Z8" s="515"/>
      <c r="AA8" s="515"/>
      <c r="AB8" s="516"/>
      <c r="AC8" s="26"/>
      <c r="AD8" s="26"/>
      <c r="AE8" s="212" t="str">
        <f>IF(O8="○","",C8&amp;"/")</f>
        <v>代表者氏名/</v>
      </c>
      <c r="AF8" s="212" t="str">
        <f t="shared" si="0"/>
        <v/>
      </c>
    </row>
    <row r="9" spans="2:40" ht="25" customHeight="1" x14ac:dyDescent="0.65">
      <c r="B9" s="561"/>
      <c r="C9" s="446" t="s">
        <v>15</v>
      </c>
      <c r="D9" s="447"/>
      <c r="E9" s="447"/>
      <c r="F9" s="447"/>
      <c r="G9" s="448"/>
      <c r="H9" s="423"/>
      <c r="I9" s="444"/>
      <c r="J9" s="444"/>
      <c r="K9" s="444"/>
      <c r="L9" s="444"/>
      <c r="M9" s="444"/>
      <c r="N9" s="445"/>
      <c r="O9" s="29" t="str">
        <f>IF(COUNTA(H9)=0,"×","○")</f>
        <v>×</v>
      </c>
      <c r="P9" s="406"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518"/>
      <c r="R9" s="518"/>
      <c r="S9" s="518"/>
      <c r="T9" s="518"/>
      <c r="U9" s="518"/>
      <c r="V9" s="518"/>
      <c r="W9" s="518"/>
      <c r="X9" s="515"/>
      <c r="Y9" s="515"/>
      <c r="Z9" s="515"/>
      <c r="AA9" s="515"/>
      <c r="AB9" s="516"/>
      <c r="AC9" s="26"/>
      <c r="AD9" s="26"/>
      <c r="AE9" s="212" t="str">
        <f>IF(O9="○","",C9&amp;"/")</f>
        <v>所在地/</v>
      </c>
      <c r="AF9" s="212" t="str">
        <f t="shared" si="0"/>
        <v/>
      </c>
    </row>
    <row r="10" spans="2:40" ht="25" customHeight="1" x14ac:dyDescent="0.65">
      <c r="B10" s="561"/>
      <c r="C10" s="446" t="s">
        <v>33</v>
      </c>
      <c r="D10" s="447"/>
      <c r="E10" s="447"/>
      <c r="F10" s="447"/>
      <c r="G10" s="448"/>
      <c r="H10" s="423"/>
      <c r="I10" s="444"/>
      <c r="J10" s="444"/>
      <c r="K10" s="444"/>
      <c r="L10" s="444"/>
      <c r="M10" s="444"/>
      <c r="N10" s="445"/>
      <c r="O10" s="29"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513"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514"/>
      <c r="R10" s="514"/>
      <c r="S10" s="514"/>
      <c r="T10" s="514"/>
      <c r="U10" s="514"/>
      <c r="V10" s="514"/>
      <c r="W10" s="514"/>
      <c r="X10" s="515"/>
      <c r="Y10" s="515"/>
      <c r="Z10" s="515"/>
      <c r="AA10" s="515"/>
      <c r="AB10" s="516"/>
      <c r="AC10" s="26"/>
      <c r="AD10" s="26"/>
      <c r="AE10" s="212"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c r="AF10" s="212" t="str">
        <f t="shared" si="0"/>
        <v/>
      </c>
    </row>
    <row r="11" spans="2:40" ht="25" customHeight="1" x14ac:dyDescent="0.65">
      <c r="B11" s="561"/>
      <c r="C11" s="446" t="s">
        <v>31</v>
      </c>
      <c r="D11" s="447"/>
      <c r="E11" s="447"/>
      <c r="F11" s="447"/>
      <c r="G11" s="448"/>
      <c r="H11" s="423"/>
      <c r="I11" s="444"/>
      <c r="J11" s="444"/>
      <c r="K11" s="444"/>
      <c r="L11" s="444"/>
      <c r="M11" s="444"/>
      <c r="N11" s="445"/>
      <c r="O11" s="29" t="str">
        <f>IF(COUNTA(H11)=0,"×","○")</f>
        <v>×</v>
      </c>
      <c r="P11" s="513" t="str">
        <f>IF(COUNTA(H11)=0,"【要修正】「施設の名称」欄に入力した施設の所在地を入力してください。","適切に入力がされました。")</f>
        <v>【要修正】「施設の名称」欄に入力した施設の所在地を入力してください。</v>
      </c>
      <c r="Q11" s="514"/>
      <c r="R11" s="514"/>
      <c r="S11" s="514"/>
      <c r="T11" s="514"/>
      <c r="U11" s="514"/>
      <c r="V11" s="514"/>
      <c r="W11" s="514"/>
      <c r="X11" s="514"/>
      <c r="Y11" s="514"/>
      <c r="Z11" s="514"/>
      <c r="AA11" s="514"/>
      <c r="AB11" s="578"/>
      <c r="AC11" s="30"/>
      <c r="AD11" s="30"/>
      <c r="AE11" s="212" t="str">
        <f t="shared" ref="AE11:AE31" si="1">IF(O11="○","",C11&amp;"/")</f>
        <v>施設所在地/</v>
      </c>
      <c r="AF11" s="212" t="str">
        <f t="shared" si="0"/>
        <v/>
      </c>
    </row>
    <row r="12" spans="2:40" ht="35.15" customHeight="1" x14ac:dyDescent="0.65">
      <c r="B12" s="561"/>
      <c r="C12" s="446" t="s">
        <v>9</v>
      </c>
      <c r="D12" s="447"/>
      <c r="E12" s="447"/>
      <c r="F12" s="447"/>
      <c r="G12" s="448"/>
      <c r="H12" s="31" t="s">
        <v>396</v>
      </c>
      <c r="I12" s="381">
        <v>6</v>
      </c>
      <c r="J12" s="32" t="s">
        <v>164</v>
      </c>
      <c r="K12" s="381">
        <v>3</v>
      </c>
      <c r="L12" s="32" t="s">
        <v>242</v>
      </c>
      <c r="M12" s="80"/>
      <c r="N12" s="33" t="s">
        <v>83</v>
      </c>
      <c r="O12" s="29" t="str">
        <f xml:space="preserve">
IF(AND(AF12&gt;=DATE(2024,3,15),AF12&lt;=DATE(2024,3,31)),"○",
IF(OR(AF12&lt;DATE(2024,3,15),AF12&gt;DATE(2024,3,31)),"×"))</f>
        <v>×</v>
      </c>
      <c r="P12" s="579" t="str">
        <f xml:space="preserve">
IF(AND(AF12&gt;=DATE(2024,3,15),AF12&lt;=DATE(2024,3,31)),"適切に入力がされました。",
IF(OR(AF12&lt;DATE(2024,3,15),AF12&gt;DATE(2024,3,31)),"【要修正】3月15日から3月31日まで※の日付を入力してください。（※県要綱の定めに基づき、知事が定める期間。４月以降の提出により実際の提出の日付と異なっていても問題ありません。）"))</f>
        <v>【要修正】3月15日から3月31日まで※の日付を入力してください。（※県要綱の定めに基づき、知事が定める期間。４月以降の提出により実際の提出の日付と異なっていても問題ありません。）</v>
      </c>
      <c r="Q12" s="580"/>
      <c r="R12" s="580"/>
      <c r="S12" s="580"/>
      <c r="T12" s="580"/>
      <c r="U12" s="580"/>
      <c r="V12" s="580"/>
      <c r="W12" s="580"/>
      <c r="X12" s="580"/>
      <c r="Y12" s="580"/>
      <c r="Z12" s="580"/>
      <c r="AA12" s="580"/>
      <c r="AB12" s="581"/>
      <c r="AC12" s="30"/>
      <c r="AD12" s="30"/>
      <c r="AE12" s="212" t="str">
        <f>IF(O12="○","",C12&amp;"/")</f>
        <v>提出日/</v>
      </c>
      <c r="AF12" s="343" t="str">
        <f>IF(COUNTA(I12,K12,M12)=3,DATE(IF(I12=5,2023,2024),K12,M12),"")</f>
        <v/>
      </c>
    </row>
    <row r="13" spans="2:40" ht="35.15" customHeight="1" x14ac:dyDescent="0.65">
      <c r="B13" s="561"/>
      <c r="C13" s="446" t="s">
        <v>394</v>
      </c>
      <c r="D13" s="585"/>
      <c r="E13" s="585"/>
      <c r="F13" s="585"/>
      <c r="G13" s="586"/>
      <c r="H13" s="317" t="s">
        <v>47</v>
      </c>
      <c r="I13" s="80"/>
      <c r="J13" s="318" t="s">
        <v>395</v>
      </c>
      <c r="K13" s="80"/>
      <c r="L13" s="318" t="s">
        <v>242</v>
      </c>
      <c r="M13" s="80"/>
      <c r="N13" s="319" t="s">
        <v>448</v>
      </c>
      <c r="O13" s="387" t="str">
        <f xml:space="preserve">
IF(COUNTA(I13,K13,M13)&lt;3,"×",
IF(COUNTIF(テーブル!F36:F74,AF13)=1,"○",
"×"
))</f>
        <v>×</v>
      </c>
      <c r="P13" s="587" t="str">
        <f xml:space="preserve">
IF(COUNTA(I13,K13,M13)&lt;3,"【要修正】外来対応医療機関指定日（"&amp;TEXT(DATE(2023,3,10),"yyyy年m月d日")&amp;"～"&amp;TEXT(DATE(2024,3,31),"yyyy年m月d日")&amp;"）の日付を入力してください。"&amp;CHAR(10)&amp;"指定日が当該期間外である医療機関については本補助金を申請できません。",
IF(COUNTIF(テーブル!F36:F74,AF13)=1,"適切に入力がされました。",
"【要修正】入力された日付に一致する外来対応医療機関の指定日がありません。（日付の入力後、年または月の数値を変更した場合に生じ得ますため、月または日を選択し直してください。）"))</f>
        <v>【要修正】外来対応医療機関指定日（2023年3月10日～2024年3月31日）の日付を入力してください。
指定日が当該期間外である医療機関については本補助金を申請できません。</v>
      </c>
      <c r="Q13" s="588"/>
      <c r="R13" s="588"/>
      <c r="S13" s="588"/>
      <c r="T13" s="588"/>
      <c r="U13" s="588"/>
      <c r="V13" s="588"/>
      <c r="W13" s="588"/>
      <c r="X13" s="588"/>
      <c r="Y13" s="588"/>
      <c r="Z13" s="588"/>
      <c r="AA13" s="588"/>
      <c r="AB13" s="589"/>
      <c r="AC13" s="30"/>
      <c r="AD13" s="30"/>
      <c r="AE13" s="307" t="str">
        <f>IF(O13="○","",C13&amp;"/")</f>
        <v>外来対応医療機関指定日/</v>
      </c>
      <c r="AF13" s="343" t="str">
        <f>IF(COUNTA(I13,K13,M13)=3,DATE(IF(I13=5,2023,2024),K13,M13),"")</f>
        <v/>
      </c>
      <c r="AG13" s="367" t="str">
        <f>"令和"&amp;I13&amp;"年"</f>
        <v>令和年</v>
      </c>
      <c r="AH13" s="41" t="str">
        <f>IF(COUNTA(H13:K13)&lt;&gt;4,"","令和"&amp;I13&amp;"年"&amp;K13&amp;"月")</f>
        <v/>
      </c>
    </row>
    <row r="14" spans="2:40" ht="25" customHeight="1" x14ac:dyDescent="0.65">
      <c r="B14" s="561"/>
      <c r="C14" s="446" t="s">
        <v>10</v>
      </c>
      <c r="D14" s="447"/>
      <c r="E14" s="447"/>
      <c r="F14" s="447"/>
      <c r="G14" s="448"/>
      <c r="H14" s="423"/>
      <c r="I14" s="444"/>
      <c r="J14" s="444"/>
      <c r="K14" s="444"/>
      <c r="L14" s="444"/>
      <c r="M14" s="444"/>
      <c r="N14" s="445"/>
      <c r="O14" s="29" t="s">
        <v>85</v>
      </c>
      <c r="P14" s="513" t="s">
        <v>100</v>
      </c>
      <c r="Q14" s="514"/>
      <c r="R14" s="514"/>
      <c r="S14" s="514"/>
      <c r="T14" s="514"/>
      <c r="U14" s="514"/>
      <c r="V14" s="514"/>
      <c r="W14" s="514"/>
      <c r="X14" s="514"/>
      <c r="Y14" s="514"/>
      <c r="Z14" s="514"/>
      <c r="AA14" s="514"/>
      <c r="AB14" s="578"/>
      <c r="AC14" s="30"/>
      <c r="AD14" s="30"/>
      <c r="AE14" s="212" t="str">
        <f t="shared" si="1"/>
        <v/>
      </c>
      <c r="AF14" s="46" t="s">
        <v>145</v>
      </c>
      <c r="AG14" s="127"/>
      <c r="AH14" s="127"/>
      <c r="AI14" s="127"/>
      <c r="AJ14" s="127"/>
      <c r="AK14" s="57"/>
    </row>
    <row r="15" spans="2:40" ht="25" customHeight="1" x14ac:dyDescent="0.65">
      <c r="B15" s="561"/>
      <c r="C15" s="446" t="s">
        <v>11</v>
      </c>
      <c r="D15" s="447"/>
      <c r="E15" s="447"/>
      <c r="F15" s="447"/>
      <c r="G15" s="448"/>
      <c r="H15" s="423"/>
      <c r="I15" s="444"/>
      <c r="J15" s="444"/>
      <c r="K15" s="444"/>
      <c r="L15" s="444"/>
      <c r="M15" s="444"/>
      <c r="N15" s="445"/>
      <c r="O15" s="29" t="str">
        <f>IF(COUNTA(H15)=0,"×","○")</f>
        <v>×</v>
      </c>
      <c r="P15" s="406" t="str">
        <f>IF(COUNTA(H15)=0,"【要修正】ご担当される方の所属あるいは職名（医師、事務等）を入力してください。","適切に入力がされました。")</f>
        <v>【要修正】ご担当される方の所属あるいは職名（医師、事務等）を入力してください。</v>
      </c>
      <c r="Q15" s="518"/>
      <c r="R15" s="518"/>
      <c r="S15" s="518"/>
      <c r="T15" s="518"/>
      <c r="U15" s="518"/>
      <c r="V15" s="518"/>
      <c r="W15" s="518"/>
      <c r="X15" s="515"/>
      <c r="Y15" s="515"/>
      <c r="Z15" s="515"/>
      <c r="AA15" s="515"/>
      <c r="AB15" s="516"/>
      <c r="AC15" s="26"/>
      <c r="AD15" s="26"/>
      <c r="AE15" s="212" t="str">
        <f t="shared" si="1"/>
        <v>担当部署/</v>
      </c>
      <c r="AF15" s="92" t="str">
        <f>ASC(H15)</f>
        <v/>
      </c>
      <c r="AI15" s="57"/>
      <c r="AJ15" s="143"/>
      <c r="AK15" s="57"/>
    </row>
    <row r="16" spans="2:40" ht="25" customHeight="1" x14ac:dyDescent="0.65">
      <c r="B16" s="561"/>
      <c r="C16" s="446" t="s">
        <v>12</v>
      </c>
      <c r="D16" s="447"/>
      <c r="E16" s="447"/>
      <c r="F16" s="447"/>
      <c r="G16" s="448"/>
      <c r="H16" s="423"/>
      <c r="I16" s="444"/>
      <c r="J16" s="444"/>
      <c r="K16" s="444"/>
      <c r="L16" s="444"/>
      <c r="M16" s="444"/>
      <c r="N16" s="445"/>
      <c r="O16" s="29" t="str">
        <f>IF(COUNTA(H16)=0,"×","○")</f>
        <v>×</v>
      </c>
      <c r="P16" s="406" t="str">
        <f>IF(COUNTA(H16)=0,"【要修正】この申請をご担当される方の氏名（フルネーム）を入力してください。（例：愛知　太郎）","適切に入力がされました。")</f>
        <v>【要修正】この申請をご担当される方の氏名（フルネーム）を入力してください。（例：愛知　太郎）</v>
      </c>
      <c r="Q16" s="518"/>
      <c r="R16" s="518"/>
      <c r="S16" s="518"/>
      <c r="T16" s="518"/>
      <c r="U16" s="518"/>
      <c r="V16" s="518"/>
      <c r="W16" s="518"/>
      <c r="X16" s="515"/>
      <c r="Y16" s="515"/>
      <c r="Z16" s="515"/>
      <c r="AA16" s="515"/>
      <c r="AB16" s="516"/>
      <c r="AC16" s="26"/>
      <c r="AD16" s="26"/>
      <c r="AE16" s="212" t="str">
        <f t="shared" si="1"/>
        <v>担当者名/</v>
      </c>
      <c r="AF16" s="92" t="str">
        <f>ASC(H16)</f>
        <v/>
      </c>
    </row>
    <row r="17" spans="2:38" ht="25" customHeight="1" x14ac:dyDescent="0.65">
      <c r="B17" s="561"/>
      <c r="C17" s="446" t="s">
        <v>75</v>
      </c>
      <c r="D17" s="447"/>
      <c r="E17" s="447"/>
      <c r="F17" s="447"/>
      <c r="G17" s="448"/>
      <c r="H17" s="434"/>
      <c r="I17" s="435"/>
      <c r="J17" s="436"/>
      <c r="K17" s="435"/>
      <c r="L17" s="436"/>
      <c r="M17" s="437"/>
      <c r="N17" s="157"/>
      <c r="O17" s="29" t="str">
        <f>IF(COUNTA(H17,J17,L17)=3,"○","×")</f>
        <v>×</v>
      </c>
      <c r="P17" s="406" t="str">
        <f>IF(O17="×","【要修正】《ハイフンは入力不要》やりとりをするための電話番号を入力してください。","適切に入力がされました。")</f>
        <v>【要修正】《ハイフンは入力不要》やりとりをするための電話番号を入力してください。</v>
      </c>
      <c r="Q17" s="518"/>
      <c r="R17" s="518"/>
      <c r="S17" s="518"/>
      <c r="T17" s="518"/>
      <c r="U17" s="518"/>
      <c r="V17" s="518"/>
      <c r="W17" s="518"/>
      <c r="X17" s="515"/>
      <c r="Y17" s="515"/>
      <c r="Z17" s="515"/>
      <c r="AA17" s="515"/>
      <c r="AB17" s="516"/>
      <c r="AC17" s="26"/>
      <c r="AD17" s="26"/>
      <c r="AE17" s="212" t="str">
        <f t="shared" si="1"/>
        <v>電話番号（担当直通）/</v>
      </c>
      <c r="AF17" s="92" t="str">
        <f>IF(O17="○",ASC(H17)&amp;"-"&amp;ASC(J17)&amp;"-"&amp;ASC(L17),"")</f>
        <v/>
      </c>
    </row>
    <row r="18" spans="2:38" ht="25" customHeight="1" thickBot="1" x14ac:dyDescent="0.7">
      <c r="B18" s="562"/>
      <c r="C18" s="441" t="s">
        <v>76</v>
      </c>
      <c r="D18" s="442"/>
      <c r="E18" s="442"/>
      <c r="F18" s="442"/>
      <c r="G18" s="443"/>
      <c r="H18" s="520"/>
      <c r="I18" s="521"/>
      <c r="J18" s="521"/>
      <c r="K18" s="521"/>
      <c r="L18" s="521"/>
      <c r="M18" s="521"/>
      <c r="N18" s="522"/>
      <c r="O18" s="207" t="str">
        <f>IF(COUNTA(H18)=0,"×","○")</f>
        <v>×</v>
      </c>
      <c r="P18" s="463" t="str">
        <f>IF(COUNTA(H18)=0,"【要修正】【重要：間違えないように】やりとりをするためのメールアドレスを入力してください。","適切に入力がされました。")</f>
        <v>【要修正】【重要：間違えないように】やりとりをするためのメールアドレスを入力してください。</v>
      </c>
      <c r="Q18" s="519"/>
      <c r="R18" s="519"/>
      <c r="S18" s="519"/>
      <c r="T18" s="519"/>
      <c r="U18" s="519"/>
      <c r="V18" s="519"/>
      <c r="W18" s="519"/>
      <c r="X18" s="464"/>
      <c r="Y18" s="464"/>
      <c r="Z18" s="464"/>
      <c r="AA18" s="464"/>
      <c r="AB18" s="465"/>
      <c r="AC18" s="26"/>
      <c r="AD18" s="26"/>
      <c r="AE18" s="212" t="str">
        <f t="shared" si="1"/>
        <v>Mailｱﾄﾞﾚｽ（担当直通）/</v>
      </c>
      <c r="AF18" s="92" t="str">
        <f>ASC(H18)</f>
        <v/>
      </c>
    </row>
    <row r="19" spans="2:38" ht="25" customHeight="1" thickTop="1" x14ac:dyDescent="0.65">
      <c r="B19" s="563" t="s">
        <v>111</v>
      </c>
      <c r="C19" s="582" t="s">
        <v>157</v>
      </c>
      <c r="D19" s="583"/>
      <c r="E19" s="583"/>
      <c r="F19" s="583"/>
      <c r="G19" s="584"/>
      <c r="H19" s="204"/>
      <c r="I19" s="205"/>
      <c r="J19" s="205"/>
      <c r="K19" s="206"/>
      <c r="L19" s="419"/>
      <c r="M19" s="419"/>
      <c r="N19" s="420"/>
      <c r="O19" s="146" t="str">
        <f xml:space="preserve">
IF(テーブル!B3="事前協議","○",
IF(AND(OR(テーブル!B3="交付申請兼実績報告書",テーブル!B3="交付申請",テーブル!B3="交付申請（２次以降）"),COUNTA(H19:K19)=4),"○",
IF(AND(OR(テーブル!B3="交付申請兼実績報告書",テーブル!B3="交付申請",テーブル!B3="交付申請（２次以降）"),COUNTA(H19:K19)&lt;&gt;4),"×",
IF(テーブル!B3="変更申請","○",
IF(テーブル!B3="実績報告","○")))))</f>
        <v>×</v>
      </c>
      <c r="P19" s="429" t="str">
        <f xml:space="preserve">
IF(テーブル!B3="事前協議","－",
IF(AND(OR(テーブル!B3="交付申請兼実績報告書",テーブル!B3="交付申請",テーブル!B3="交付申請（２次以降）"),COUNTA(H19:K19)=4),"適切に入力がされました。",
IF(AND(OR(テーブル!B3="交付申請兼実績報告書",テーブル!B3="交付申請",テーブル!B3="交付申請（２次以降）"),COUNTA(H19:K19)&lt;&gt;4),"【要修正】振込先口座の金融機関コード（４桁）を入力してください。",
IF(テーブル!B3="変更申請","－",
IF(テーブル!B3="実績報告","－")))))</f>
        <v>【要修正】振込先口座の金融機関コード（４桁）を入力してください。</v>
      </c>
      <c r="Q19" s="430"/>
      <c r="R19" s="430"/>
      <c r="S19" s="430"/>
      <c r="T19" s="430"/>
      <c r="U19" s="430"/>
      <c r="V19" s="430"/>
      <c r="W19" s="430"/>
      <c r="X19" s="430"/>
      <c r="Y19" s="430"/>
      <c r="Z19" s="430"/>
      <c r="AA19" s="430"/>
      <c r="AB19" s="431"/>
      <c r="AC19" s="26"/>
      <c r="AD19" s="26"/>
      <c r="AE19" s="212" t="str">
        <f t="shared" si="1"/>
        <v>金融機関番号/</v>
      </c>
      <c r="AF19" s="92" t="str">
        <f>ASC(H19&amp;I19&amp;J19&amp;K19)</f>
        <v/>
      </c>
      <c r="AL19" s="42" t="s">
        <v>107</v>
      </c>
    </row>
    <row r="20" spans="2:38" ht="25" customHeight="1" x14ac:dyDescent="0.65">
      <c r="B20" s="564"/>
      <c r="C20" s="403" t="s">
        <v>109</v>
      </c>
      <c r="D20" s="432"/>
      <c r="E20" s="432"/>
      <c r="F20" s="432"/>
      <c r="G20" s="433"/>
      <c r="H20" s="423"/>
      <c r="I20" s="424"/>
      <c r="J20" s="424"/>
      <c r="K20" s="424"/>
      <c r="L20" s="424"/>
      <c r="M20" s="424"/>
      <c r="N20" s="425"/>
      <c r="O20" s="29" t="str">
        <f xml:space="preserve">
IF(テーブル!B3="事前協議","○",
IF(AND(OR(テーブル!B3="交付申請兼実績報告書",テーブル!B3="交付申請",テーブル!B3="交付申請（２次以降）"),COUNTA(H20)=1),"○",
IF(AND(OR(テーブル!B3="交付申請兼実績報告書",テーブル!B3="交付申請",テーブル!B3="交付申請（２次以降）"),COUNTA(H20)&lt;&gt;1),"×",
IF(テーブル!B3="変更申請","○",
IF(テーブル!B3="実績報告","○")))))</f>
        <v>×</v>
      </c>
      <c r="P20" s="426" t="str">
        <f xml:space="preserve">
IF(テーブル!B3="事前協議","－",
IF(AND(OR(テーブル!B3="交付申請兼実績報告書",テーブル!B3="交付申請",テーブル!B3="交付申請（２次以降）"),COUNTA(H20)=1),"適切に入力がされました",
IF(AND(OR(テーブル!B3="交付申請兼実績報告書",テーブル!B3="交付申請",テーブル!B3="交付申請（２次以降）"),COUNTA(H20)&lt;&gt;1),"【要修正】振込先口座の金融機関名を入力してください。（「○○銀行」まで）",
IF(テーブル!B3="変更申請","－",
IF(テーブル!B3="実績報告","－")))))</f>
        <v>【要修正】振込先口座の金融機関名を入力してください。（「○○銀行」まで）</v>
      </c>
      <c r="Q20" s="427"/>
      <c r="R20" s="427"/>
      <c r="S20" s="427"/>
      <c r="T20" s="427"/>
      <c r="U20" s="427"/>
      <c r="V20" s="427"/>
      <c r="W20" s="427"/>
      <c r="X20" s="427"/>
      <c r="Y20" s="427"/>
      <c r="Z20" s="427"/>
      <c r="AA20" s="427"/>
      <c r="AB20" s="428"/>
      <c r="AC20" s="26"/>
      <c r="AD20" s="26"/>
      <c r="AE20" s="212" t="str">
        <f t="shared" si="1"/>
        <v>金融機関名/</v>
      </c>
      <c r="AF20" s="92" t="str">
        <f t="shared" ref="AF20:AF22" si="2">ASC(H20)</f>
        <v/>
      </c>
    </row>
    <row r="21" spans="2:38" ht="25" customHeight="1" x14ac:dyDescent="0.65">
      <c r="B21" s="564"/>
      <c r="C21" s="403" t="s">
        <v>158</v>
      </c>
      <c r="D21" s="432"/>
      <c r="E21" s="432"/>
      <c r="F21" s="432"/>
      <c r="G21" s="433"/>
      <c r="H21" s="95"/>
      <c r="I21" s="124"/>
      <c r="J21" s="125"/>
      <c r="K21" s="421"/>
      <c r="L21" s="421"/>
      <c r="M21" s="421"/>
      <c r="N21" s="422"/>
      <c r="O21" s="29" t="str">
        <f xml:space="preserve">
IF(テーブル!B3="事前協議","○",
IF(AND(OR(テーブル!B3="交付申請兼実績報告書",テーブル!B3="交付申請",テーブル!B3="交付申請（２次以降）"),COUNTA(H21:J21)=3),"○",
IF(AND(OR(テーブル!B3="交付申請兼実績報告書",テーブル!B3="交付申請",テーブル!B3="交付申請（２次以降）"),COUNTA(H21:J21)&lt;&gt;3),"×",
IF(テーブル!B3="変更申請","○",
IF(テーブル!B3="実績報告","○")))))</f>
        <v>×</v>
      </c>
      <c r="P21" s="426" t="str">
        <f xml:space="preserve">
IF(テーブル!B3="事前協議","－",
IF(AND(OR(テーブル!B3="交付申請兼実績報告書",テーブル!B3="交付申請",テーブル!B3="交付申請（２次以降）"),COUNTA(H21:J21)=3),"適切に入力がされました。",
IF(AND(OR(テーブル!B3="交付申請兼実績報告書",テーブル!B3="交付申請",テーブル!B3="交付申請（２次以降）"),COUNTA(H21:J21)&lt;&gt;3),"【要修正】振込先口座の支店コード（３桁）を入力してください。",
IF(テーブル!B3="変更申請","－",
IF(テーブル!B3="実績報告","－")))))</f>
        <v>【要修正】振込先口座の支店コード（３桁）を入力してください。</v>
      </c>
      <c r="Q21" s="427"/>
      <c r="R21" s="427"/>
      <c r="S21" s="427"/>
      <c r="T21" s="427"/>
      <c r="U21" s="427"/>
      <c r="V21" s="427"/>
      <c r="W21" s="427"/>
      <c r="X21" s="427"/>
      <c r="Y21" s="427"/>
      <c r="Z21" s="427"/>
      <c r="AA21" s="427"/>
      <c r="AB21" s="428"/>
      <c r="AC21" s="26"/>
      <c r="AD21" s="26"/>
      <c r="AE21" s="212" t="str">
        <f t="shared" si="1"/>
        <v>支店番号/</v>
      </c>
      <c r="AF21" s="92" t="str">
        <f>ASC(H19&amp;I19&amp;J19&amp;K19&amp;H21&amp;I21&amp;J21)</f>
        <v/>
      </c>
    </row>
    <row r="22" spans="2:38" ht="25" customHeight="1" x14ac:dyDescent="0.65">
      <c r="B22" s="564"/>
      <c r="C22" s="403" t="s">
        <v>113</v>
      </c>
      <c r="D22" s="432"/>
      <c r="E22" s="432"/>
      <c r="F22" s="432"/>
      <c r="G22" s="433"/>
      <c r="H22" s="423"/>
      <c r="I22" s="424"/>
      <c r="J22" s="424"/>
      <c r="K22" s="424"/>
      <c r="L22" s="424"/>
      <c r="M22" s="424"/>
      <c r="N22" s="425"/>
      <c r="O22" s="29" t="str">
        <f xml:space="preserve">
IF(テーブル!B3="事前協議","○",
IF(AND(OR(テーブル!B3="交付申請兼実績報告書",テーブル!B3="交付申請",テーブル!B3="交付申請（２次以降）"),COUNTA(H22)=1),"○",
IF(AND(OR(テーブル!B3="交付申請兼実績報告書",テーブル!B3="交付申請",テーブル!B3="交付申請（２次以降）"),COUNTA(H22)&lt;&gt;1),"×",
IF(テーブル!B3="変更申請","○",
IF(テーブル!B3="実績報告","○")))))</f>
        <v>×</v>
      </c>
      <c r="P22" s="426" t="str">
        <f xml:space="preserve">
IF(テーブル!B3="事前協議","－",
IF(AND(OR(テーブル!B3="交付申請兼実績報告書",テーブル!B3="交付申請",テーブル!B3="交付申請（２次以降）"),COUNTA(H22)=1),"適切に入力がされました",
IF(AND(OR(テーブル!B3="交付申請兼実績報告書",テーブル!B3="交付申請",テーブル!B3="交付申請（２次以降）"),COUNTA(H22)&lt;&gt;1),"【要修正】振込先口座の店名（支店名）を入力してください。",
IF(テーブル!B3="変更申請","－",
IF(テーブル!B3="実績報告","－")))))</f>
        <v>【要修正】振込先口座の店名（支店名）を入力してください。</v>
      </c>
      <c r="Q22" s="427"/>
      <c r="R22" s="427"/>
      <c r="S22" s="427"/>
      <c r="T22" s="427"/>
      <c r="U22" s="427"/>
      <c r="V22" s="427"/>
      <c r="W22" s="427"/>
      <c r="X22" s="427"/>
      <c r="Y22" s="427"/>
      <c r="Z22" s="427"/>
      <c r="AA22" s="427"/>
      <c r="AB22" s="428"/>
      <c r="AC22" s="26"/>
      <c r="AD22" s="26"/>
      <c r="AE22" s="212" t="str">
        <f t="shared" si="1"/>
        <v>店名/</v>
      </c>
      <c r="AF22" s="92" t="str">
        <f t="shared" si="2"/>
        <v/>
      </c>
    </row>
    <row r="23" spans="2:38" ht="25" customHeight="1" x14ac:dyDescent="0.65">
      <c r="B23" s="564"/>
      <c r="C23" s="403" t="s">
        <v>114</v>
      </c>
      <c r="D23" s="432"/>
      <c r="E23" s="432"/>
      <c r="F23" s="432"/>
      <c r="G23" s="433"/>
      <c r="H23" s="96"/>
      <c r="I23" s="459" t="s">
        <v>350</v>
      </c>
      <c r="J23" s="459"/>
      <c r="K23" s="459"/>
      <c r="L23" s="459"/>
      <c r="M23" s="459"/>
      <c r="N23" s="566"/>
      <c r="O23" s="29" t="str">
        <f xml:space="preserve">
IF(テーブル!B3="事前協議","○",
IF(AND(OR(テーブル!B3="交付申請兼実績報告書",テーブル!B3="交付申請",テーブル!B3="交付申請（２次以降）"),COUNTA(H23)=1),"○",
IF(AND(OR(テーブル!B3="交付申請兼実績報告書",テーブル!B3="交付申請",テーブル!B3="交付申請（２次以降）"),COUNTA(H23)&lt;&gt;1),"×",
IF(テーブル!B3="変更申請","○",
IF(テーブル!B3="実績報告","○")))))</f>
        <v>×</v>
      </c>
      <c r="P23" s="426" t="str">
        <f xml:space="preserve">
IF(テーブル!B3="事前協議","－",
IF(AND(OR(テーブル!B3="交付申請兼実績報告書",テーブル!B3="交付申請",テーブル!B3="交付申請（２次以降）"),COUNTA(H23)=1),"適切に入力がされました。",
IF(AND(OR(テーブル!B3="交付申請兼実績報告書",テーブル!B3="交付申請",テーブル!B3="交付申請（２次以降）"),COUNTA(H23)&lt;&gt;1),"【要修正】預金口座種別を選択してください。",
IF(テーブル!B3="変更申請","○",
IF(テーブル!B3="実績報告","○")))))</f>
        <v>【要修正】預金口座種別を選択してください。</v>
      </c>
      <c r="Q23" s="427"/>
      <c r="R23" s="427"/>
      <c r="S23" s="427"/>
      <c r="T23" s="427"/>
      <c r="U23" s="427"/>
      <c r="V23" s="427"/>
      <c r="W23" s="427"/>
      <c r="X23" s="427"/>
      <c r="Y23" s="427"/>
      <c r="Z23" s="427"/>
      <c r="AA23" s="427"/>
      <c r="AB23" s="428"/>
      <c r="AC23" s="26"/>
      <c r="AD23" s="26"/>
      <c r="AE23" s="212" t="str">
        <f t="shared" si="1"/>
        <v>預金種類/</v>
      </c>
      <c r="AF23" s="92" t="str">
        <f>ASC(H23)</f>
        <v/>
      </c>
      <c r="AL23" s="41">
        <v>1</v>
      </c>
    </row>
    <row r="24" spans="2:38" ht="25" customHeight="1" x14ac:dyDescent="0.65">
      <c r="B24" s="564"/>
      <c r="C24" s="403" t="s">
        <v>115</v>
      </c>
      <c r="D24" s="432"/>
      <c r="E24" s="432"/>
      <c r="F24" s="432"/>
      <c r="G24" s="433"/>
      <c r="H24" s="95"/>
      <c r="I24" s="124"/>
      <c r="J24" s="124"/>
      <c r="K24" s="124"/>
      <c r="L24" s="124"/>
      <c r="M24" s="124"/>
      <c r="N24" s="125"/>
      <c r="O24" s="29" t="str">
        <f xml:space="preserve">
IF(テーブル!B3="事前協議","○",
IF(AND(OR(テーブル!B3="交付申請兼実績報告書",テーブル!B3="交付申請",テーブル!B3="交付申請（２次以降）"),COUNTA(H24:N24)=7),"○",
IF(AND(OR(テーブル!B3="交付申請兼実績報告書",テーブル!B3="交付申請",テーブル!B3="交付申請（２次以降）"),COUNTA(H24:N24)&lt;&gt;7),"×",
IF(テーブル!B3="変更申請","○",
IF(AND(テーブル!B3="実績報告","○",COUNTA(H24:N24)=7),"○",
IF(AND(テーブル!B3="実績報告","○",COUNTA(H24:N24)&lt;&gt;7),"○",))))))</f>
        <v>×</v>
      </c>
      <c r="P24" s="426" t="str">
        <f xml:space="preserve">
IF(テーブル!B3="事前協議","－",
IF(AND(OR(テーブル!B3="交付申請兼実績報告書",テーブル!B3="交付申請",テーブル!B3="交付申請（２次以降）"),COUNTA(H24:N24)=7),"適切に入力がされました。",
IF(AND(OR(テーブル!B3="交付申請兼実績報告書",テーブル!B3="交付申請",テーブル!B3="交付申請（２次以降）"),COUNTA(H24:N24)&lt;&gt;7),"【要修正】振込先口座番号（７桁）を入力してください。（７桁以下の番号は先頭に「0」を入力。）",
IF(テーブル!B3="変更申請","－",
IF(テーブル!B3="実績報告","－")))))</f>
        <v>【要修正】振込先口座番号（７桁）を入力してください。（７桁以下の番号は先頭に「0」を入力。）</v>
      </c>
      <c r="Q24" s="427"/>
      <c r="R24" s="427"/>
      <c r="S24" s="427"/>
      <c r="T24" s="427"/>
      <c r="U24" s="427"/>
      <c r="V24" s="427"/>
      <c r="W24" s="427"/>
      <c r="X24" s="427"/>
      <c r="Y24" s="427"/>
      <c r="Z24" s="427"/>
      <c r="AA24" s="427"/>
      <c r="AB24" s="428"/>
      <c r="AC24" s="26"/>
      <c r="AD24" s="26"/>
      <c r="AE24" s="212" t="str">
        <f t="shared" si="1"/>
        <v>口座番号/</v>
      </c>
      <c r="AF24" s="93" t="str">
        <f>ASC(H24&amp;I24&amp;J24&amp;K24&amp;L24&amp;M24&amp;N24)</f>
        <v/>
      </c>
      <c r="AL24" s="41">
        <v>2</v>
      </c>
    </row>
    <row r="25" spans="2:38" ht="25" customHeight="1" thickBot="1" x14ac:dyDescent="0.7">
      <c r="B25" s="565"/>
      <c r="C25" s="535" t="s">
        <v>108</v>
      </c>
      <c r="D25" s="536"/>
      <c r="E25" s="536"/>
      <c r="F25" s="536"/>
      <c r="G25" s="537"/>
      <c r="H25" s="538"/>
      <c r="I25" s="539"/>
      <c r="J25" s="539"/>
      <c r="K25" s="539"/>
      <c r="L25" s="539"/>
      <c r="M25" s="539"/>
      <c r="N25" s="540"/>
      <c r="O25" s="207" t="str">
        <f xml:space="preserve">
IF(テーブル!B3="事前協議","○",
IF(AND(OR(テーブル!B3="交付申請兼実績報告書",テーブル!B3="交付申請",テーブル!B3="交付申請（２次以降）"),COUNTA(H25)=1),"○",
IF(AND(OR(テーブル!B3="交付申請兼実績報告書",テーブル!B3="交付申請",テーブル!B3="交付申請（２次以降）"),COUNTA(H25)&lt;&gt;1),"×",
IF(テーブル!B3="変更申請","○",
IF(テーブル!B3="実績報告","○")))))</f>
        <v>×</v>
      </c>
      <c r="P25" s="463" t="str">
        <f xml:space="preserve">
IF(テーブル!B3="事前協議","－",
IF(AND(OR(テーブル!B3="交付申請兼実績報告書",テーブル!B3="交付申請",テーブル!B3="交付申請（２次以降）"),COUNTA(H25)=1),"適切に入力がされました。",
IF(AND(OR(テーブル!B3="交付申請兼実績報告書",テーブル!B3="交付申請",テーブル!B3="交付申請（２次以降）"),COUNTA(H25)&lt;&gt;1),"【要修正】振込先口座の名義（半角ｶﾅ）を入力してください。",
IF(テーブル!B3="変更申請","－",
IF(テーブル!B3="実績報告","－")))))</f>
        <v>【要修正】振込先口座の名義（半角ｶﾅ）を入力してください。</v>
      </c>
      <c r="Q25" s="464"/>
      <c r="R25" s="464"/>
      <c r="S25" s="464"/>
      <c r="T25" s="464"/>
      <c r="U25" s="464"/>
      <c r="V25" s="464"/>
      <c r="W25" s="464"/>
      <c r="X25" s="464"/>
      <c r="Y25" s="464"/>
      <c r="Z25" s="464"/>
      <c r="AA25" s="464"/>
      <c r="AB25" s="465"/>
      <c r="AC25" s="26"/>
      <c r="AD25" s="26"/>
      <c r="AE25" s="212" t="str">
        <f t="shared" si="1"/>
        <v>振込先口座名義（半角ｶﾅ）/</v>
      </c>
      <c r="AF25" s="92" t="str">
        <f>ASC(H25)</f>
        <v/>
      </c>
    </row>
    <row r="26" spans="2:38" ht="25" customHeight="1" thickTop="1" thickBot="1" x14ac:dyDescent="0.7">
      <c r="B26" s="209"/>
      <c r="C26" s="487" t="s">
        <v>342</v>
      </c>
      <c r="D26" s="488"/>
      <c r="E26" s="488"/>
      <c r="F26" s="488"/>
      <c r="G26" s="489"/>
      <c r="H26" s="490" t="s">
        <v>364</v>
      </c>
      <c r="I26" s="491"/>
      <c r="J26" s="491"/>
      <c r="K26" s="491"/>
      <c r="L26" s="491"/>
      <c r="M26" s="491"/>
      <c r="N26" s="492"/>
      <c r="O26" s="211" t="str">
        <f>基本情報!AE1</f>
        <v>×</v>
      </c>
      <c r="P26" s="493" t="str">
        <f>VLOOKUP(O26,基本情報!AP6:AQ8,2,FALSE)</f>
        <v>【要修正】未入力または入力不十分の箇所があります。</v>
      </c>
      <c r="Q26" s="494"/>
      <c r="R26" s="494"/>
      <c r="S26" s="494"/>
      <c r="T26" s="494"/>
      <c r="U26" s="494"/>
      <c r="V26" s="494"/>
      <c r="W26" s="494"/>
      <c r="X26" s="494"/>
      <c r="Y26" s="494"/>
      <c r="Z26" s="494"/>
      <c r="AA26" s="494"/>
      <c r="AB26" s="495"/>
      <c r="AC26" s="26"/>
      <c r="AD26" s="26"/>
      <c r="AE26" s="212" t="str">
        <f t="shared" si="1"/>
        <v>基本情報/</v>
      </c>
      <c r="AF26" s="92"/>
    </row>
    <row r="27" spans="2:38" ht="25" customHeight="1" thickTop="1" x14ac:dyDescent="0.65">
      <c r="B27" s="394" t="s">
        <v>296</v>
      </c>
      <c r="C27" s="397" t="s">
        <v>288</v>
      </c>
      <c r="D27" s="398"/>
      <c r="E27" s="398"/>
      <c r="F27" s="398"/>
      <c r="G27" s="399"/>
      <c r="H27" s="200" t="s">
        <v>47</v>
      </c>
      <c r="I27" s="388" t="str">
        <f>IF(額内訳書!H6&lt;&gt;0,額内訳書!H6,"")</f>
        <v/>
      </c>
      <c r="J27" s="201" t="s">
        <v>49</v>
      </c>
      <c r="K27" s="388" t="str">
        <f>IF(額内訳書!J6&lt;&gt;0,額内訳書!J6,"")</f>
        <v/>
      </c>
      <c r="L27" s="201" t="s">
        <v>290</v>
      </c>
      <c r="M27" s="388" t="str">
        <f>IF(額内訳書!L6&lt;&gt;0,額内訳書!L6,"")</f>
        <v/>
      </c>
      <c r="N27" s="202" t="s">
        <v>83</v>
      </c>
      <c r="O27" s="199" t="str">
        <f xml:space="preserve">
IF(H33="","×",
IF(看板!AZ2="◎","◎",
IF(看板!AZ2="○","○",
IF(看板!AZ2="×","×"))))</f>
        <v>×</v>
      </c>
      <c r="P27" s="400" t="str">
        <f xml:space="preserve">
IF(H33="","【要修正】事前協議の有無を入力してください。",
IF(看板!AZ2="◎","適切に入力されました。",
IF(看板!AZ2="○","申請しない場合には入力不要です。",
IF(看板!AZ2="×","【要修正】「看板」シートの入力が不十分です。"))))</f>
        <v>【要修正】事前協議の有無を入力してください。</v>
      </c>
      <c r="Q27" s="401"/>
      <c r="R27" s="401"/>
      <c r="S27" s="401"/>
      <c r="T27" s="401"/>
      <c r="U27" s="401"/>
      <c r="V27" s="401"/>
      <c r="W27" s="401"/>
      <c r="X27" s="401"/>
      <c r="Y27" s="401"/>
      <c r="Z27" s="401"/>
      <c r="AA27" s="401"/>
      <c r="AB27" s="402"/>
      <c r="AC27" s="26"/>
      <c r="AD27" s="26"/>
      <c r="AE27" s="212" t="str">
        <f t="shared" si="1"/>
        <v>患者案内のための看板の設置料/</v>
      </c>
      <c r="AF27" s="92"/>
    </row>
    <row r="28" spans="2:38" ht="25" customHeight="1" x14ac:dyDescent="0.65">
      <c r="B28" s="395"/>
      <c r="C28" s="403" t="s">
        <v>293</v>
      </c>
      <c r="D28" s="404"/>
      <c r="E28" s="404"/>
      <c r="F28" s="404"/>
      <c r="G28" s="405"/>
      <c r="H28" s="147" t="s">
        <v>47</v>
      </c>
      <c r="I28" s="388" t="str">
        <f>IF(額内訳書!H7&lt;&gt;0,額内訳書!H7,"")</f>
        <v/>
      </c>
      <c r="J28" s="148" t="s">
        <v>49</v>
      </c>
      <c r="K28" s="389" t="str">
        <f>IF(額内訳書!J7&lt;&gt;0,額内訳書!J7,"")</f>
        <v/>
      </c>
      <c r="L28" s="148" t="s">
        <v>290</v>
      </c>
      <c r="M28" s="389" t="str">
        <f>IF(額内訳書!L7&lt;&gt;0,額内訳書!L7,"")</f>
        <v/>
      </c>
      <c r="N28" s="149" t="s">
        <v>83</v>
      </c>
      <c r="O28" s="29" t="str">
        <f xml:space="preserve">
IF(H33="","×",
IF(HP!AZ4="◎","◎",
IF(HP!AZ4="○","○",
IF(HP!AZ4="×","×"))))</f>
        <v>×</v>
      </c>
      <c r="P28" s="406" t="str">
        <f xml:space="preserve">
IF(H33="","【要修正】事前協議の有無を入力してください。",
IF(HP!AZ4="◎","適切に入力されました。",
IF(HP!AZ4="○","申請しない場合には入力不要です。",
IF(HP!AZ4="×","【要修正】「HP」シートの入力が不十分です。"))))</f>
        <v>【要修正】事前協議の有無を入力してください。</v>
      </c>
      <c r="Q28" s="407"/>
      <c r="R28" s="407"/>
      <c r="S28" s="407"/>
      <c r="T28" s="407"/>
      <c r="U28" s="407"/>
      <c r="V28" s="407"/>
      <c r="W28" s="407"/>
      <c r="X28" s="407"/>
      <c r="Y28" s="407"/>
      <c r="Z28" s="407"/>
      <c r="AA28" s="407"/>
      <c r="AB28" s="408"/>
      <c r="AC28" s="26"/>
      <c r="AD28" s="26"/>
      <c r="AE28" s="212" t="str">
        <f t="shared" si="1"/>
        <v xml:space="preserve"> ホームページ/</v>
      </c>
      <c r="AF28" s="92"/>
    </row>
    <row r="29" spans="2:38" ht="25" customHeight="1" x14ac:dyDescent="0.65">
      <c r="B29" s="395"/>
      <c r="C29" s="403" t="s">
        <v>294</v>
      </c>
      <c r="D29" s="404"/>
      <c r="E29" s="404"/>
      <c r="F29" s="404"/>
      <c r="G29" s="405"/>
      <c r="H29" s="147" t="s">
        <v>47</v>
      </c>
      <c r="I29" s="389" t="str">
        <f>IF(額内訳書!H8&lt;&gt;0,額内訳書!H8,"")</f>
        <v/>
      </c>
      <c r="J29" s="148" t="s">
        <v>49</v>
      </c>
      <c r="K29" s="389" t="str">
        <f>IF(額内訳書!J8&lt;&gt;0,額内訳書!J8,"")</f>
        <v/>
      </c>
      <c r="L29" s="148" t="s">
        <v>290</v>
      </c>
      <c r="M29" s="389" t="str">
        <f>IF(額内訳書!L8&lt;&gt;0,額内訳書!L8,"")</f>
        <v/>
      </c>
      <c r="N29" s="149" t="s">
        <v>83</v>
      </c>
      <c r="O29" s="29" t="str">
        <f xml:space="preserve">
IF(H33="","×",
IF(医療機器・サーモ・換気設備!AW67="◎","◎",
IF(医療機器・サーモ・換気設備!AW67="○","○",
IF(医療機器・サーモ・換気設備!AW67="×","×"))))</f>
        <v>×</v>
      </c>
      <c r="P29" s="406" t="str">
        <f xml:space="preserve">
IF(H33="","【要修正】事前協議の有無を入力してください。",
IF(医療機器・サーモ・換気設備!AW67="◎","適切に入力されました。",
IF(医療機器・サーモ・換気設備!AW67="○","申請しない場合には入力不要です。",
IF(医療機器・サーモ・換気設備!AW67="×","【要修正】「医療機器・サーモ・換気設備」シートの入力が不十分です。"))))</f>
        <v>【要修正】事前協議の有無を入力してください。</v>
      </c>
      <c r="Q29" s="407"/>
      <c r="R29" s="407"/>
      <c r="S29" s="407"/>
      <c r="T29" s="407"/>
      <c r="U29" s="407"/>
      <c r="V29" s="407"/>
      <c r="W29" s="407"/>
      <c r="X29" s="407"/>
      <c r="Y29" s="407"/>
      <c r="Z29" s="407"/>
      <c r="AA29" s="407"/>
      <c r="AB29" s="408"/>
      <c r="AC29" s="26"/>
      <c r="AD29" s="26"/>
      <c r="AE29" s="212" t="str">
        <f t="shared" si="1"/>
        <v>換気設備修繕費/</v>
      </c>
      <c r="AF29" s="92"/>
    </row>
    <row r="30" spans="2:38" ht="25" customHeight="1" x14ac:dyDescent="0.65">
      <c r="B30" s="395"/>
      <c r="C30" s="409" t="s">
        <v>295</v>
      </c>
      <c r="D30" s="404"/>
      <c r="E30" s="404"/>
      <c r="F30" s="404"/>
      <c r="G30" s="405"/>
      <c r="H30" s="147" t="s">
        <v>47</v>
      </c>
      <c r="I30" s="389" t="str">
        <f>IF(額内訳書!H9&lt;&gt;0,額内訳書!H9,"")</f>
        <v/>
      </c>
      <c r="J30" s="148" t="s">
        <v>49</v>
      </c>
      <c r="K30" s="389" t="str">
        <f>IF(額内訳書!J9&lt;&gt;0,額内訳書!J9,"")</f>
        <v/>
      </c>
      <c r="L30" s="148" t="s">
        <v>290</v>
      </c>
      <c r="M30" s="389" t="str">
        <f>IF(額内訳書!L9&lt;&gt;0,額内訳書!L9,"")</f>
        <v/>
      </c>
      <c r="N30" s="149" t="s">
        <v>83</v>
      </c>
      <c r="O30" s="29" t="str">
        <f xml:space="preserve">
IF(H33="","×",
IF(医療機器・サーモ・換気設備!AW26="◎","◎",
IF(医療機器・サーモ・換気設備!AW26="○","○",
IF(医療機器・サーモ・換気設備!AW26="×","×"))))</f>
        <v>×</v>
      </c>
      <c r="P30" s="406" t="str">
        <f xml:space="preserve">
IF(H33="","【要修正】事前協議の有無を入力してください。",
IF(医療機器・サーモ・換気設備!AW26="◎","適切に入力されました。",
IF(医療機器・サーモ・換気設備!AW26="○","申請しない場合には入力不要です。",
IF(医療機器・サーモ・換気設備!AW26="×","【要修正】「医療機器・サーモ・換気設備」シートの入力が不十分です。"))))</f>
        <v>【要修正】事前協議の有無を入力してください。</v>
      </c>
      <c r="Q30" s="407"/>
      <c r="R30" s="407"/>
      <c r="S30" s="407"/>
      <c r="T30" s="407"/>
      <c r="U30" s="407"/>
      <c r="V30" s="407"/>
      <c r="W30" s="407"/>
      <c r="X30" s="407"/>
      <c r="Y30" s="407"/>
      <c r="Z30" s="407"/>
      <c r="AA30" s="407"/>
      <c r="AB30" s="408"/>
      <c r="AC30" s="26"/>
      <c r="AD30" s="26"/>
      <c r="AE30" s="212" t="str">
        <f t="shared" si="1"/>
        <v>医療機器/</v>
      </c>
      <c r="AF30" s="92"/>
    </row>
    <row r="31" spans="2:38" ht="25" customHeight="1" thickBot="1" x14ac:dyDescent="0.7">
      <c r="B31" s="396"/>
      <c r="C31" s="410" t="s">
        <v>292</v>
      </c>
      <c r="D31" s="411"/>
      <c r="E31" s="411"/>
      <c r="F31" s="411"/>
      <c r="G31" s="412"/>
      <c r="H31" s="150" t="s">
        <v>47</v>
      </c>
      <c r="I31" s="389" t="str">
        <f>IF(額内訳書!H10&lt;&gt;0,額内訳書!H10,"")</f>
        <v/>
      </c>
      <c r="J31" s="151" t="s">
        <v>49</v>
      </c>
      <c r="K31" s="389" t="str">
        <f>IF(額内訳書!J10&lt;&gt;0,額内訳書!J10,"")</f>
        <v/>
      </c>
      <c r="L31" s="151" t="s">
        <v>290</v>
      </c>
      <c r="M31" s="389" t="str">
        <f>IF(額内訳書!L10&lt;&gt;0,額内訳書!L10,"")</f>
        <v/>
      </c>
      <c r="N31" s="152" t="s">
        <v>83</v>
      </c>
      <c r="O31" s="153" t="str">
        <f xml:space="preserve">
IF(H33="","×",
IF(医療機器・サーモ・換気設備!AW41="◎","◎",
IF(医療機器・サーモ・換気設備!AW41="○","○",
IF(医療機器・サーモ・換気設備!AW41="×","×"))))</f>
        <v>×</v>
      </c>
      <c r="P31" s="413" t="str">
        <f xml:space="preserve">
IF(H33="","【要修正】事前協議の有無を入力してください。",
IF(医療機器・サーモ・換気設備!AW41="◎","適切に入力されました。",
IF(医療機器・サーモ・換気設備!AW41="○","申請しない場合には入力不要です。",
IF(医療機器・サーモ・換気設備!AW41="×","【要修正】「医療機器・サーモ・換気設備」シートの入力が不十分です。"))))</f>
        <v>【要修正】事前協議の有無を入力してください。</v>
      </c>
      <c r="Q31" s="414"/>
      <c r="R31" s="414"/>
      <c r="S31" s="414"/>
      <c r="T31" s="414"/>
      <c r="U31" s="414"/>
      <c r="V31" s="414"/>
      <c r="W31" s="414"/>
      <c r="X31" s="414"/>
      <c r="Y31" s="414"/>
      <c r="Z31" s="414"/>
      <c r="AA31" s="414"/>
      <c r="AB31" s="415"/>
      <c r="AC31" s="26"/>
      <c r="AD31" s="26"/>
      <c r="AE31" s="212" t="str">
        <f t="shared" si="1"/>
        <v>非接触サーモグラフィーカメラ/</v>
      </c>
      <c r="AF31" s="92"/>
    </row>
    <row r="32" spans="2:38" ht="150" customHeight="1" thickTop="1" thickBot="1" x14ac:dyDescent="0.7">
      <c r="B32" s="209" t="s">
        <v>112</v>
      </c>
      <c r="C32" s="485" t="s">
        <v>94</v>
      </c>
      <c r="D32" s="486"/>
      <c r="E32" s="486"/>
      <c r="F32" s="486"/>
      <c r="G32" s="486"/>
      <c r="H32" s="452"/>
      <c r="I32" s="453"/>
      <c r="J32" s="453"/>
      <c r="K32" s="453"/>
      <c r="L32" s="453"/>
      <c r="M32" s="453"/>
      <c r="N32" s="454"/>
      <c r="O32" s="203" t="str">
        <f>IF(H32=テーブル!C26,"○",IF(H32="","×",IF(H32=テーブル!C27,"×")))</f>
        <v>×</v>
      </c>
      <c r="P32" s="455" t="str">
        <f xml:space="preserve">
IF(H32=テーブル!C26,"適切に入力がされました。",
IF(H32="","【要修正】【下記いずれにも該当する場合、「申立てする」を選択してください。】
・補助を受ける経費について他の補助金等の交付を受けていないこと。
・外来対応医療機関として指定を受けてから少なくとも令和５年度中は指定継続の上、外来対応を行うこと。
・令和５年度中に外来対応医療機関の指定が解除された際、本補助金の交付申請を取り下げること。"&amp;"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
IF(H32=テーブル!C27,"【申請する場合は要修正】
申立事項に該当しない申請者に対して交付を行うことはできません。")))</f>
        <v>【要修正】【下記いずれにも該当する場合、「申立てする」を選択してください。】
・補助を受ける経費について他の補助金等の交付を受けていないこと。
・外来対応医療機関として指定を受けてから少なくとも令和５年度中は指定継続の上、外来対応を行うこと。
・令和５年度中に外来対応医療機関の指定が解除された際、本補助金の交付申請を取り下げること。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v>
      </c>
      <c r="Q32" s="456"/>
      <c r="R32" s="456"/>
      <c r="S32" s="456"/>
      <c r="T32" s="456"/>
      <c r="U32" s="456"/>
      <c r="V32" s="456"/>
      <c r="W32" s="456"/>
      <c r="X32" s="456"/>
      <c r="Y32" s="456"/>
      <c r="Z32" s="456"/>
      <c r="AA32" s="456"/>
      <c r="AB32" s="457"/>
      <c r="AC32" s="26"/>
      <c r="AD32" s="26"/>
      <c r="AE32" s="212" t="str">
        <f>IF(O32="○","","申立事項/")</f>
        <v>申立事項/</v>
      </c>
      <c r="AF32" s="46" t="s">
        <v>146</v>
      </c>
      <c r="AG32" s="76"/>
    </row>
    <row r="33" spans="2:33" ht="64.75" customHeight="1" thickTop="1" thickBot="1" x14ac:dyDescent="0.7">
      <c r="B33" s="209" t="s">
        <v>397</v>
      </c>
      <c r="C33" s="501" t="s">
        <v>398</v>
      </c>
      <c r="D33" s="502"/>
      <c r="E33" s="502"/>
      <c r="F33" s="502"/>
      <c r="G33" s="503"/>
      <c r="H33" s="452"/>
      <c r="I33" s="499"/>
      <c r="J33" s="499"/>
      <c r="K33" s="499"/>
      <c r="L33" s="499"/>
      <c r="M33" s="499"/>
      <c r="N33" s="500"/>
      <c r="O33" s="203" t="str">
        <f>IF(COUNTA(H33)=0,"×","○")</f>
        <v>×</v>
      </c>
      <c r="P33" s="496" t="str">
        <f>IF(COUNTA(H33)=0,"【要修正】事前協議の有無を入力してください。","適切に入力がされました。")</f>
        <v>【要修正】事前協議の有無を入力してください。</v>
      </c>
      <c r="Q33" s="497" t="str">
        <f t="shared" ref="Q33:AB33" si="3">IF(COUNTA(J33)=0,"×","○")</f>
        <v>×</v>
      </c>
      <c r="R33" s="497" t="str">
        <f t="shared" si="3"/>
        <v>×</v>
      </c>
      <c r="S33" s="497" t="str">
        <f t="shared" si="3"/>
        <v>×</v>
      </c>
      <c r="T33" s="497" t="str">
        <f t="shared" si="3"/>
        <v>×</v>
      </c>
      <c r="U33" s="497" t="str">
        <f t="shared" si="3"/>
        <v>×</v>
      </c>
      <c r="V33" s="497" t="str">
        <f t="shared" si="3"/>
        <v>○</v>
      </c>
      <c r="W33" s="497" t="str">
        <f t="shared" si="3"/>
        <v>○</v>
      </c>
      <c r="X33" s="497" t="str">
        <f t="shared" si="3"/>
        <v>○</v>
      </c>
      <c r="Y33" s="497" t="str">
        <f t="shared" si="3"/>
        <v>○</v>
      </c>
      <c r="Z33" s="497" t="str">
        <f t="shared" si="3"/>
        <v>○</v>
      </c>
      <c r="AA33" s="497" t="str">
        <f t="shared" si="3"/>
        <v>○</v>
      </c>
      <c r="AB33" s="498" t="str">
        <f t="shared" si="3"/>
        <v>○</v>
      </c>
      <c r="AC33" s="26"/>
      <c r="AD33" s="26"/>
      <c r="AE33" s="308" t="str">
        <f>IF(O33="○","","事前協議/")</f>
        <v>事前協議/</v>
      </c>
      <c r="AF33" s="46">
        <f>H33</f>
        <v>0</v>
      </c>
      <c r="AG33" s="76"/>
    </row>
    <row r="34" spans="2:33" ht="15" customHeight="1" thickTop="1" x14ac:dyDescent="0.65">
      <c r="B34" s="26"/>
      <c r="C34" s="34"/>
      <c r="D34" s="127"/>
      <c r="E34" s="127"/>
      <c r="F34" s="127"/>
      <c r="G34" s="127"/>
      <c r="H34" s="127"/>
      <c r="I34" s="35"/>
      <c r="J34" s="35"/>
      <c r="K34" s="35"/>
      <c r="L34" s="35"/>
      <c r="M34" s="35"/>
      <c r="N34" s="35"/>
      <c r="O34" s="127"/>
      <c r="P34" s="36"/>
      <c r="Q34" s="37"/>
      <c r="R34" s="37"/>
      <c r="S34" s="37"/>
      <c r="T34" s="37"/>
      <c r="U34" s="37"/>
      <c r="V34" s="37"/>
      <c r="W34" s="37"/>
      <c r="X34" s="26"/>
      <c r="Y34" s="26"/>
      <c r="Z34" s="26"/>
      <c r="AA34" s="26"/>
      <c r="AB34" s="26"/>
      <c r="AC34" s="26"/>
      <c r="AD34" s="26"/>
      <c r="AE34" s="38"/>
    </row>
    <row r="35" spans="2:33" ht="60" customHeight="1" x14ac:dyDescent="0.65">
      <c r="C35" s="39" t="s">
        <v>101</v>
      </c>
      <c r="D35" s="544" t="s">
        <v>73</v>
      </c>
      <c r="E35" s="545"/>
      <c r="F35" s="40" t="str">
        <f>IF(COUNTIF(O3:O33,"×")&gt;=1,"×","○")</f>
        <v>×</v>
      </c>
      <c r="G35" s="466" t="str">
        <f>IF(F35="○","適切に入力がされました。","【要修正】次の項目が適切に入力されているかご確認ください→"&amp;AE3&amp;AE6&amp;AE7&amp;AE8&amp;AE9&amp;AE10&amp;AE11&amp;AE12&amp;AE13&amp;AE14&amp;AE15&amp;AE16&amp;AE17&amp;AE18&amp;AE19&amp;AE20&amp;AE21&amp;AE22&amp;AE23&amp;AE24&amp;AE25&amp;AE26&amp;AE27&amp;AE28&amp;AE29&amp;AE30&amp;AE31&amp;AE32&amp;AE33)</f>
        <v>【要修正】次の項目が適切に入力されているかご確認ください→法人・個人事業主の別/事業者名/代表者役職/代表者氏名/所在地/施設所在地/提出日/外来対応医療機関指定日/担当部署/担当者名/電話番号（担当直通）/Mailｱﾄﾞﾚｽ（担当直通）/金融機関番号/金融機関名/支店番号/店名/預金種類/口座番号/振込先口座名義（半角ｶﾅ）/基本情報/患者案内のための看板の設置料/ ホームページ/換気設備修繕費/医療機器/非接触サーモグラフィーカメラ/申立事項/事前協議/</v>
      </c>
      <c r="H35" s="466"/>
      <c r="I35" s="466"/>
      <c r="J35" s="466"/>
      <c r="K35" s="466"/>
      <c r="L35" s="466"/>
      <c r="M35" s="466"/>
      <c r="N35" s="466"/>
      <c r="O35" s="466"/>
      <c r="P35" s="466"/>
      <c r="Q35" s="467"/>
      <c r="R35" s="467"/>
      <c r="S35" s="467"/>
      <c r="T35" s="467"/>
      <c r="U35" s="467"/>
      <c r="V35" s="467"/>
      <c r="W35" s="467"/>
      <c r="X35" s="467"/>
      <c r="Y35" s="467"/>
      <c r="Z35" s="467"/>
      <c r="AA35" s="467"/>
      <c r="AB35" s="467"/>
      <c r="AF35" s="41" t="str">
        <f>IF(COUNTA(H6,H7,H8,H9,H12,H15,H16,H17,H18)=9,"○","×")</f>
        <v>×</v>
      </c>
    </row>
    <row r="36" spans="2:33" ht="15" customHeight="1" x14ac:dyDescent="0.65">
      <c r="C36" s="42"/>
      <c r="D36" s="34"/>
      <c r="E36" s="127"/>
      <c r="F36" s="127"/>
      <c r="G36" s="43"/>
      <c r="H36" s="43"/>
      <c r="I36" s="43"/>
      <c r="J36" s="43"/>
      <c r="K36" s="43"/>
      <c r="L36" s="43"/>
      <c r="M36" s="43"/>
      <c r="N36" s="43"/>
      <c r="O36" s="43"/>
      <c r="P36" s="43"/>
      <c r="Q36" s="26"/>
      <c r="R36" s="26"/>
      <c r="S36" s="26"/>
      <c r="T36" s="26"/>
      <c r="U36" s="26"/>
      <c r="V36" s="26"/>
      <c r="W36" s="26"/>
      <c r="X36" s="26"/>
      <c r="Y36" s="26"/>
      <c r="Z36" s="26"/>
      <c r="AA36" s="26"/>
      <c r="AB36" s="26"/>
      <c r="AE36" s="154" t="s">
        <v>291</v>
      </c>
      <c r="AF36" s="41"/>
    </row>
    <row r="37" spans="2:33" ht="120" customHeight="1" x14ac:dyDescent="0.65">
      <c r="C37" s="507" t="s">
        <v>143</v>
      </c>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row>
    <row r="38" spans="2:33" ht="20.149999999999999" customHeight="1" x14ac:dyDescent="0.65">
      <c r="C38" s="44"/>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2:33" ht="40" customHeight="1" x14ac:dyDescent="0.65">
      <c r="C39" s="44"/>
      <c r="D39" s="458" t="s">
        <v>92</v>
      </c>
      <c r="E39" s="459"/>
      <c r="F39" s="40" t="str">
        <f ca="1">IF(COUNTIF(O42:O50,"×")&gt;=1,"×","○")</f>
        <v>×</v>
      </c>
      <c r="G39" s="460" t="str">
        <f ca="1">IF(F39="○","適切に入力がされました。","【要修正】次の様式が適切に入力されているかご確認ください→"&amp;AE42&amp;AE43&amp;AE44&amp;AE45&amp;AE46&amp;AE47&amp;AE48&amp;AE49&amp;AE50)&amp;IF(COUNTIF(O49:O49,"○")=3,"明細シートがいずれも入力されていません。","")</f>
        <v>【要修正】次の様式が適切に入力されているかご確認ください→はじめに入力してください/様式１（表紙）/様式１－２（額内訳書）/基本情報/</v>
      </c>
      <c r="H39" s="461"/>
      <c r="I39" s="461"/>
      <c r="J39" s="461"/>
      <c r="K39" s="461"/>
      <c r="L39" s="461"/>
      <c r="M39" s="461"/>
      <c r="N39" s="461"/>
      <c r="O39" s="461"/>
      <c r="P39" s="461"/>
      <c r="Q39" s="461"/>
      <c r="R39" s="461"/>
      <c r="S39" s="461"/>
      <c r="T39" s="461"/>
      <c r="U39" s="461"/>
      <c r="V39" s="461"/>
      <c r="W39" s="461"/>
      <c r="X39" s="461"/>
      <c r="Y39" s="461"/>
      <c r="Z39" s="461"/>
      <c r="AA39" s="461"/>
      <c r="AB39" s="462"/>
    </row>
    <row r="40" spans="2:33" ht="20.149999999999999" customHeight="1" x14ac:dyDescent="0.65">
      <c r="C40" s="44"/>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2:33" ht="40" customHeight="1" x14ac:dyDescent="0.65">
      <c r="B41" s="42"/>
      <c r="C41" s="480" t="s">
        <v>86</v>
      </c>
      <c r="D41" s="481"/>
      <c r="E41" s="481"/>
      <c r="F41" s="481"/>
      <c r="G41" s="481"/>
      <c r="H41" s="481"/>
      <c r="I41" s="458" t="s">
        <v>90</v>
      </c>
      <c r="J41" s="475"/>
      <c r="K41" s="475"/>
      <c r="L41" s="475"/>
      <c r="M41" s="475"/>
      <c r="N41" s="476"/>
      <c r="O41" s="46" t="s">
        <v>72</v>
      </c>
      <c r="P41" s="472" t="s">
        <v>74</v>
      </c>
      <c r="Q41" s="473"/>
      <c r="R41" s="473"/>
      <c r="S41" s="473"/>
      <c r="T41" s="473"/>
      <c r="U41" s="473"/>
      <c r="V41" s="473"/>
      <c r="W41" s="473"/>
      <c r="X41" s="473"/>
      <c r="Y41" s="473"/>
      <c r="Z41" s="473"/>
      <c r="AA41" s="473"/>
      <c r="AB41" s="474"/>
      <c r="AC41" s="42"/>
      <c r="AD41" s="42"/>
    </row>
    <row r="42" spans="2:33" ht="63" customHeight="1" x14ac:dyDescent="0.65">
      <c r="B42" s="42"/>
      <c r="C42" s="468" t="s">
        <v>87</v>
      </c>
      <c r="D42" s="469"/>
      <c r="E42" s="469"/>
      <c r="F42" s="469"/>
      <c r="G42" s="469"/>
      <c r="H42" s="469"/>
      <c r="I42" s="477" t="s">
        <v>88</v>
      </c>
      <c r="J42" s="478"/>
      <c r="K42" s="478"/>
      <c r="L42" s="478"/>
      <c r="M42" s="478"/>
      <c r="N42" s="479"/>
      <c r="O42" s="29" t="str">
        <f>F35</f>
        <v>×</v>
      </c>
      <c r="P42" s="460" t="str">
        <f>G35</f>
        <v>【要修正】次の項目が適切に入力されているかご確認ください→法人・個人事業主の別/事業者名/代表者役職/代表者氏名/所在地/施設所在地/提出日/外来対応医療機関指定日/担当部署/担当者名/電話番号（担当直通）/Mailｱﾄﾞﾚｽ（担当直通）/金融機関番号/金融機関名/支店番号/店名/預金種類/口座番号/振込先口座名義（半角ｶﾅ）/基本情報/患者案内のための看板の設置料/ ホームページ/換気設備修繕費/医療機器/非接触サーモグラフィーカメラ/申立事項/事前協議/</v>
      </c>
      <c r="Q42" s="470"/>
      <c r="R42" s="470"/>
      <c r="S42" s="470"/>
      <c r="T42" s="470"/>
      <c r="U42" s="470"/>
      <c r="V42" s="470"/>
      <c r="W42" s="470"/>
      <c r="X42" s="470"/>
      <c r="Y42" s="470"/>
      <c r="Z42" s="470"/>
      <c r="AA42" s="470"/>
      <c r="AB42" s="471"/>
      <c r="AC42" s="42"/>
      <c r="AD42" s="42"/>
      <c r="AE42" s="212" t="str">
        <f>IF(O42="×",C42&amp;"/","")</f>
        <v>はじめに入力してください/</v>
      </c>
    </row>
    <row r="43" spans="2:33" ht="40" customHeight="1" x14ac:dyDescent="0.65">
      <c r="B43" s="42"/>
      <c r="C43" s="468" t="str">
        <f xml:space="preserve">
IF(OR(テーブル!B3="事前協議",テーブル!B3="交付申請兼実績報告書",テーブル!B3="交付申請",テーブル!B3="交付申請（２次以降）"),"様式１（表紙）",
IF(テーブル!B3="変更申請","様式２（表紙）",
IF(テーブル!B3="実績報告","様式３（表紙）")))</f>
        <v>様式１（表紙）</v>
      </c>
      <c r="D43" s="469"/>
      <c r="E43" s="469"/>
      <c r="F43" s="469"/>
      <c r="G43" s="469"/>
      <c r="H43" s="469"/>
      <c r="I43" s="477" t="s">
        <v>88</v>
      </c>
      <c r="J43" s="478"/>
      <c r="K43" s="478"/>
      <c r="L43" s="478"/>
      <c r="M43" s="478"/>
      <c r="N43" s="479"/>
      <c r="O43" s="29" t="str">
        <f>O42</f>
        <v>×</v>
      </c>
      <c r="P43" s="460" t="str">
        <f>IF(O43="×","【要修正】様式１は入力項目がありませんが、「はじめに入力してください」が適切に入力されていないため正しく表示できていません。","適切に入力がされました。")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43" s="470"/>
      <c r="R43" s="470"/>
      <c r="S43" s="470"/>
      <c r="T43" s="470"/>
      <c r="U43" s="470"/>
      <c r="V43" s="470"/>
      <c r="W43" s="470"/>
      <c r="X43" s="470"/>
      <c r="Y43" s="470"/>
      <c r="Z43" s="470"/>
      <c r="AA43" s="470"/>
      <c r="AB43" s="471"/>
      <c r="AC43" s="42"/>
      <c r="AD43" s="42"/>
      <c r="AE43" s="212" t="str">
        <f t="shared" ref="AE43:AE50" si="4">IF(O43="×",C43&amp;"/","")</f>
        <v>様式１（表紙）/</v>
      </c>
    </row>
    <row r="44" spans="2:33" ht="40" customHeight="1" x14ac:dyDescent="0.65">
      <c r="B44" s="42"/>
      <c r="C44" s="466" t="str">
        <f xml:space="preserve">
IF(OR(テーブル!B3="事前協議",テーブル!B3="交付申請兼実績報告書",テーブル!B3="交付申請",テーブル!B3="交付申請（２次以降）"),"様式１－１（経費書）",
IF(テーブル!B3="変更申請","様式１－１（経費書）",
IF(テーブル!B3="実績報告","様式３－１（経費書）")))</f>
        <v>様式１－１（経費書）</v>
      </c>
      <c r="D44" s="469"/>
      <c r="E44" s="469"/>
      <c r="F44" s="469"/>
      <c r="G44" s="469"/>
      <c r="H44" s="469"/>
      <c r="I44" s="477" t="s">
        <v>88</v>
      </c>
      <c r="J44" s="478"/>
      <c r="K44" s="478"/>
      <c r="L44" s="478"/>
      <c r="M44" s="478"/>
      <c r="N44" s="479"/>
      <c r="O44" s="29" t="s">
        <v>84</v>
      </c>
      <c r="P44" s="460" t="s">
        <v>91</v>
      </c>
      <c r="Q44" s="470"/>
      <c r="R44" s="470"/>
      <c r="S44" s="470"/>
      <c r="T44" s="470"/>
      <c r="U44" s="470"/>
      <c r="V44" s="470"/>
      <c r="W44" s="470"/>
      <c r="X44" s="470"/>
      <c r="Y44" s="470"/>
      <c r="Z44" s="470"/>
      <c r="AA44" s="470"/>
      <c r="AB44" s="471"/>
      <c r="AC44" s="42"/>
      <c r="AD44" s="42"/>
      <c r="AE44" s="212" t="str">
        <f t="shared" si="4"/>
        <v/>
      </c>
    </row>
    <row r="45" spans="2:33" ht="60" customHeight="1" x14ac:dyDescent="0.65">
      <c r="B45" s="42"/>
      <c r="C45" s="466" t="str">
        <f xml:space="preserve">
IF(OR(テーブル!B3="事前協議",テーブル!B3="交付申請兼実績報告書",テーブル!B3="交付申請",テーブル!B3="交付申請（２次以降）"),"様式１－２（額内訳書）",
IF(テーブル!B3="変更申請","様式１－２（額内訳書）",
IF(テーブル!B3="実績報告","様式３－２（額内訳書）")))</f>
        <v>様式１－２（額内訳書）</v>
      </c>
      <c r="D45" s="469"/>
      <c r="E45" s="469"/>
      <c r="F45" s="469"/>
      <c r="G45" s="469"/>
      <c r="H45" s="469"/>
      <c r="I45" s="477" t="s">
        <v>88</v>
      </c>
      <c r="J45" s="478"/>
      <c r="K45" s="478"/>
      <c r="L45" s="478"/>
      <c r="M45" s="478"/>
      <c r="N45" s="479"/>
      <c r="O45" s="29" t="str">
        <f>O42</f>
        <v>×</v>
      </c>
      <c r="P45" s="546" t="str">
        <f>IF(O43="×","【要修正】様式１－２は入力項目がありませんが、「はじめに入力してください」が適切に入力されていないため正しく表示できていません。","適切に入力がされました。")</f>
        <v>【要修正】様式１－２は入力項目がありませんが、「はじめに入力してください」が適切に入力されていないため正しく表示できていません。</v>
      </c>
      <c r="Q45" s="547"/>
      <c r="R45" s="547"/>
      <c r="S45" s="547"/>
      <c r="T45" s="547"/>
      <c r="U45" s="547"/>
      <c r="V45" s="547"/>
      <c r="W45" s="547"/>
      <c r="X45" s="547"/>
      <c r="Y45" s="547"/>
      <c r="Z45" s="547"/>
      <c r="AA45" s="547"/>
      <c r="AB45" s="548"/>
      <c r="AC45" s="42"/>
      <c r="AD45" s="42"/>
      <c r="AE45" s="212" t="str">
        <f t="shared" si="4"/>
        <v>様式１－２（額内訳書）/</v>
      </c>
    </row>
    <row r="46" spans="2:33" ht="148" customHeight="1" x14ac:dyDescent="0.65">
      <c r="B46" s="42"/>
      <c r="C46" s="482" t="s">
        <v>235</v>
      </c>
      <c r="D46" s="483"/>
      <c r="E46" s="483"/>
      <c r="F46" s="483"/>
      <c r="G46" s="483"/>
      <c r="H46" s="484"/>
      <c r="I46" s="477" t="s">
        <v>88</v>
      </c>
      <c r="J46" s="478"/>
      <c r="K46" s="478"/>
      <c r="L46" s="478"/>
      <c r="M46" s="478"/>
      <c r="N46" s="479"/>
      <c r="O46" s="29" t="str">
        <f>基本情報!AE1</f>
        <v>×</v>
      </c>
      <c r="P46" s="460" t="str">
        <f>"助成申請をする場合、「１．診療日」、「２．診療体制」、「３．外来対応実績」及び「４.  診療及び検査の実施手順」いずれも適切に入力されていることが必要です。"&amp;CHAR(10)&amp;"申請する場合、それぞれの項目が未入力、入力不十分となっていないかご確認ください。"&amp;CHAR(10)&amp;
"☆【総合判定】"&amp;基本情報!AE1
&amp;CHAR(10)&amp;
IF(基本情報!AJ5="×","・「１．診療日」：【要修正】入力が不十分です。",
IF(基本情報!AJ5="○","・「１．診療日」：適切に入力がされました。"))
&amp;CHAR(10)&amp;
IF(基本情報!AJ20="×","・「２．診療体制」：【要修正】入力が不十分です。",
IF(基本情報!AJ20="○","・「２．診療体制」：適切に入力がされました。"))
&amp;CHAR(10)&amp;
IF(基本情報!AJ45="×","・「３．外来対応実績」：【要修正】入力が不十分です。",
IF(基本情報!AJ45="○","・「３．外来対応実績 」：適切に入力がされました。"))
&amp;CHAR(10)&amp;
IF(基本情報!AJ54="×","・「４．診療及び検査の実施手順」：【要修正】入力が不十分な列があるため、シートを再度ご確認ください。",
IF(基本情報!AJ54="○","・「４．診療及び検査の実施手順」：適切に入力がされました。"
))</f>
        <v>助成申請をする場合、「１．診療日」、「２．診療体制」、「３．外来対応実績」及び「４.  診療及び検査の実施手順」いずれも適切に入力されていることが必要です。
申請する場合、それぞれの項目が未入力、入力不十分となっていないかご確認ください。
☆【総合判定】×
・「１．診療日」：【要修正】入力が不十分です。
・「２．診療体制」：【要修正】入力が不十分です。
・「３．外来対応実績」：【要修正】入力が不十分です。
・「４．診療及び検査の実施手順」：【要修正】入力が不十分な列があるため、シートを再度ご確認ください。</v>
      </c>
      <c r="Q46" s="470"/>
      <c r="R46" s="470"/>
      <c r="S46" s="470"/>
      <c r="T46" s="470"/>
      <c r="U46" s="470"/>
      <c r="V46" s="470"/>
      <c r="W46" s="470"/>
      <c r="X46" s="470"/>
      <c r="Y46" s="470"/>
      <c r="Z46" s="470"/>
      <c r="AA46" s="470"/>
      <c r="AB46" s="471"/>
      <c r="AC46" s="42"/>
      <c r="AD46" s="42"/>
      <c r="AE46" s="212" t="str">
        <f t="shared" si="4"/>
        <v>基本情報/</v>
      </c>
    </row>
    <row r="47" spans="2:33" ht="142.4" customHeight="1" x14ac:dyDescent="0.65">
      <c r="B47" s="42"/>
      <c r="C47" s="482" t="s">
        <v>236</v>
      </c>
      <c r="D47" s="483"/>
      <c r="E47" s="483"/>
      <c r="F47" s="483"/>
      <c r="G47" s="483"/>
      <c r="H47" s="484"/>
      <c r="I47" s="556" t="s">
        <v>238</v>
      </c>
      <c r="J47" s="478"/>
      <c r="K47" s="478"/>
      <c r="L47" s="478"/>
      <c r="M47" s="478"/>
      <c r="N47" s="559"/>
      <c r="O47" s="29" t="str">
        <f ca="1">看板!AZ2</f>
        <v>○</v>
      </c>
      <c r="P47" s="460" t="str">
        <f ca="1">"看板設置料の助成申請をする場合、「１．寸法内訳」及び「２．経費等内訳」いずれも適切に入力されていることが必要です。"&amp;CHAR(10)&amp;"申請する場合、それぞれの項目が未入力、入力不十分となっていないかご確認ください。"&amp;CHAR(10)&amp;
"☆【総合判定】"&amp;看板!AZ2
&amp;CHAR(10)&amp;
IF(看板!Z30="×","・「１．寸法内訳（道路看板）」(１種類目)：【要修正】入力が不十分です。",
IF(看板!Z30="○","・「１．寸法内訳（道路看板）」(１種類目)：入力なし",
IF(看板!Z30="◎","・「１．寸法内訳（道路看板）」(１種類目)：適切に入力がされました。")))
&amp;CHAR(10)&amp;
IF(看板!Z42="×","・「１．寸法内訳（道路看板）」(２種類目)：【要修正】入力が不十分です。",
IF(看板!Z42="○","・「１．寸法内訳（道路看板）」(２種類目)：入力なし",
IF(看板!Z42="◎","・「１．寸法内訳（道路看板）」(２種類目)：適切に入力がされました。")))
&amp;CHAR(10)&amp;
IF(看板!Z55="×","・「１．寸法内訳（電柱広告）」：【要修正】入力が不十分です。",
IF(看板!Z55="○","・「１．寸法内訳（電柱広告）」：入力なし",
IF(看板!Z55="◎","・「１．寸法内訳（電柱広告）」：適切に入力がされました。")))
&amp;CHAR(10)&amp;
IF(看板!Z67="×","・「１．寸法内訳（敷地内看板）」：【要修正】入力が不十分です。",
IF(看板!Z67="○","・「１．寸法内訳（敷地内看板）」：入力なし",
IF(看板!Z67="◎","・「１．寸法内訳（敷地内看板）」：適切に入力がされました。")))
&amp;CHAR(10)&amp;
IF(看板!AH85="×","・「２．経費等内訳」：【要修正】入力が不十分な行があるため、シートを再度ご確認ください。",
IF(看板!AH85="○","・「２．経費等内訳」：入力なし",
IF(看板!AH85="◎","・「２．経費等内訳」：適切に入力がされました。")))</f>
        <v>看板設置料の助成申請をする場合、「１．寸法内訳」及び「２．経費等内訳」いずれも適切に入力されていることが必要です。
申請する場合、それぞれの項目が未入力、入力不十分となっていないかご確認ください。
☆【総合判定】○
・「１．寸法内訳（道路看板）」(１種類目)：入力なし
・「１．寸法内訳（道路看板）」(２種類目)：入力なし
・「１．寸法内訳（電柱広告）」：入力なし
・「１．寸法内訳（敷地内看板）」：入力なし
・「２．経費等内訳」：入力なし</v>
      </c>
      <c r="Q47" s="470"/>
      <c r="R47" s="470"/>
      <c r="S47" s="470"/>
      <c r="T47" s="470"/>
      <c r="U47" s="470"/>
      <c r="V47" s="470"/>
      <c r="W47" s="470"/>
      <c r="X47" s="470"/>
      <c r="Y47" s="470"/>
      <c r="Z47" s="470"/>
      <c r="AA47" s="470"/>
      <c r="AB47" s="471"/>
      <c r="AC47" s="42"/>
      <c r="AD47" s="42"/>
      <c r="AE47" s="212" t="str">
        <f t="shared" ca="1" si="4"/>
        <v/>
      </c>
    </row>
    <row r="48" spans="2:33" ht="112.4" customHeight="1" x14ac:dyDescent="0.65">
      <c r="B48" s="42"/>
      <c r="C48" s="482" t="s">
        <v>237</v>
      </c>
      <c r="D48" s="483"/>
      <c r="E48" s="483"/>
      <c r="F48" s="483"/>
      <c r="G48" s="483"/>
      <c r="H48" s="484"/>
      <c r="I48" s="556" t="s">
        <v>239</v>
      </c>
      <c r="J48" s="557"/>
      <c r="K48" s="557"/>
      <c r="L48" s="557"/>
      <c r="M48" s="557"/>
      <c r="N48" s="558"/>
      <c r="O48" s="29" t="str">
        <f>HP!AZ4</f>
        <v>○</v>
      </c>
      <c r="P48" s="460" t="str">
        <f>"ホームページ改修費の助成申請をする場合、「１．寸法内訳」及び「２．経費等内訳」いずれも適切に入力されていることが必要です。"&amp;CHAR(10)&amp;"申請する場合、それぞれの項目が未入力、入力不十分となっていないかご確認ください。"&amp;CHAR(10)&amp;
"☆【総合判定】"&amp;HP!AZ4
&amp;CHAR(10)&amp;
IF(HP!AW23="×","・「１．寸法内訳」：【要修正】入力が不十分です。",
IF(HP!AW23="○","・「１．寸法内訳」：入力なし",
IF(HP!AW23="◎","・「１．寸法内訳」：適切に入力がされました。")))
&amp;CHAR(10)&amp;
IF(HP!Q34="×","・「２．経費等内訳」：【要修正】入力が不十分な行があるため、シートを再度ご確認ください。",
IF(HP!Q34="○","・「２．経費等内訳」：入力なし",
IF(HP!Q34="◎","・「２．経費等内訳」：適切に入力がされました。")))</f>
        <v>ホームページ改修費の助成申請をする場合、「１．寸法内訳」及び「２．経費等内訳」いずれも適切に入力されていることが必要です。
申請する場合、それぞれの項目が未入力、入力不十分となっていないかご確認ください。
☆【総合判定】○
・「１．寸法内訳」：入力なし
・「２．経費等内訳」：入力なし</v>
      </c>
      <c r="Q48" s="470"/>
      <c r="R48" s="470"/>
      <c r="S48" s="470"/>
      <c r="T48" s="470"/>
      <c r="U48" s="470"/>
      <c r="V48" s="470"/>
      <c r="W48" s="470"/>
      <c r="X48" s="470"/>
      <c r="Y48" s="470"/>
      <c r="Z48" s="470"/>
      <c r="AA48" s="470"/>
      <c r="AB48" s="471"/>
      <c r="AC48" s="42"/>
      <c r="AD48" s="42"/>
      <c r="AE48" s="212" t="str">
        <f t="shared" si="4"/>
        <v/>
      </c>
    </row>
    <row r="49" spans="2:40" ht="143.69999999999999" customHeight="1" x14ac:dyDescent="0.65">
      <c r="B49" s="42"/>
      <c r="C49" s="406" t="s">
        <v>353</v>
      </c>
      <c r="D49" s="407"/>
      <c r="E49" s="407"/>
      <c r="F49" s="407"/>
      <c r="G49" s="407"/>
      <c r="H49" s="550"/>
      <c r="I49" s="551" t="s">
        <v>352</v>
      </c>
      <c r="J49" s="552"/>
      <c r="K49" s="552"/>
      <c r="L49" s="552"/>
      <c r="M49" s="552"/>
      <c r="N49" s="553"/>
      <c r="O49" s="29" t="str">
        <f>医療機器・サーモ・換気設備!AX2</f>
        <v>○</v>
      </c>
      <c r="P49" s="460" t="str">
        <f>"医療機器、サーモグラフィーカメラ及び換気設備について助成申請する場合、それぞれの必要記載事項がいずれも適切に入力されていることが必要です。"&amp;CHAR(10)&amp;"申請する場合、それぞれの項目が未入力、入力不十分となっていないかご確認ください。"&amp;CHAR(10)&amp;
"☆【総合判定】"&amp;医療機器・サーモ・換気設備!AX2&amp;
IF(医療機器・サーモ・換気設備!AX2="○","（申請しない場合は入力不要です。）",
IF(医療機器・サーモ・換気設備!AX2="×","（【要修正】入力が不十分な箇所があります。申請しない場合は全ての欄を空欄にしてください。）",
IF(医療機器・サーモ・換気設備!AX2="◎","（適切に入力がされました。）")))
&amp;CHAR(10)&amp;
"【医療機器】判定："&amp;医療機器・サーモ・換気設備!AW2&amp;
IF(医療機器・サーモ・換気設備!AW2="○","（申請しない場合は入力不要です。）",
IF(医療機器・サーモ・換気設備!AW2="×","（【要修正】入力が不十分な箇所があります。申請しない場合は全ての欄を空欄にしてください。）",
IF(医療機器・サーモ・換気設備!AW2="◎","（適切に入力がされました。）")))
&amp;CHAR(10)&amp;
"【サーモグラフィーカメラ】判定："&amp;医療機器・サーモ・換気設備!AW3&amp;
IF(医療機器・サーモ・換気設備!AW3="○","（申請しない場合は入力不要です。）",
IF(医療機器・サーモ・換気設備!AW3="×","（【要修正】入力が不十分な箇所があります。申請しない場合は全ての欄を空欄にしてください。）",
IF(医療機器・サーモ・換気設備!AW3="◎","（適切に入力がされました。）")))
&amp;CHAR(10)&amp;
"【換気設備】判定："&amp;医療機器・サーモ・換気設備!AW4&amp;
IF(医療機器・サーモ・換気設備!AW4="○","（申請しない場合は入力不要です。）",
IF(医療機器・サーモ・換気設備!AW4="×","（【要修正】入力が不十分な箇所があります。申請しない場合は全ての欄を空欄にしてください。）",
IF(医療機器・サーモ・換気設備!AW4="◎","（適切に入力がされました。）")))</f>
        <v>医療機器、サーモグラフィーカメラ及び換気設備について助成申請する場合、それぞれの必要記載事項がいずれも適切に入力されていることが必要です。
申請する場合、それぞれの項目が未入力、入力不十分となっていないかご確認ください。
☆【総合判定】○（申請しない場合は入力不要です。）
【医療機器】判定：○（申請しない場合は入力不要です。）
【サーモグラフィーカメラ】判定：○（申請しない場合は入力不要です。）
【換気設備】判定：○（申請しない場合は入力不要です。）</v>
      </c>
      <c r="Q49" s="554"/>
      <c r="R49" s="554"/>
      <c r="S49" s="554"/>
      <c r="T49" s="554"/>
      <c r="U49" s="554"/>
      <c r="V49" s="554"/>
      <c r="W49" s="554"/>
      <c r="X49" s="554"/>
      <c r="Y49" s="554"/>
      <c r="Z49" s="554"/>
      <c r="AA49" s="554"/>
      <c r="AB49" s="555"/>
      <c r="AC49" s="42"/>
      <c r="AD49" s="42"/>
      <c r="AE49" s="212" t="str">
        <f t="shared" si="4"/>
        <v/>
      </c>
    </row>
    <row r="50" spans="2:40" ht="40" customHeight="1" x14ac:dyDescent="0.65">
      <c r="B50" s="42"/>
      <c r="C50" s="466" t="str">
        <f xml:space="preserve">
IF(OR(テーブル!B3="事前協議",テーブル!B3="交付申請",テーブル!B3="交付申請（２次以降）"),"様式１－３（歳入歳出予算書抄本）",
IF(テーブル!B3="変更申請","様式１－３（歳入歳出予算書抄本）",
IF(テーブル!B3="交付申請兼実績報告書","様式１－３（歳入歳出決算書（見込書）抄本）",
IF(テーブル!B3="実績報告","様式３－３"&amp;CHAR(10)&amp;"（歳入歳出決算書（見込書）抄本）"))))</f>
        <v>様式１－３（歳入歳出決算書（見込書）抄本）</v>
      </c>
      <c r="D50" s="549"/>
      <c r="E50" s="549"/>
      <c r="F50" s="549"/>
      <c r="G50" s="549"/>
      <c r="H50" s="549"/>
      <c r="I50" s="426" t="s">
        <v>89</v>
      </c>
      <c r="J50" s="543"/>
      <c r="K50" s="543"/>
      <c r="L50" s="543"/>
      <c r="M50" s="543"/>
      <c r="N50" s="476"/>
      <c r="O50" s="29" t="str">
        <f>歳入歳出抄本!Y11</f>
        <v>○</v>
      </c>
      <c r="P50" s="460" t="str">
        <f>歳入歳出抄本!Z11</f>
        <v>公立機関ではない場合、作成不要です。
（入力されていても特段問題はありません。）</v>
      </c>
      <c r="Q50" s="461"/>
      <c r="R50" s="461"/>
      <c r="S50" s="461"/>
      <c r="T50" s="461"/>
      <c r="U50" s="461"/>
      <c r="V50" s="461"/>
      <c r="W50" s="461"/>
      <c r="X50" s="461"/>
      <c r="Y50" s="461"/>
      <c r="Z50" s="461"/>
      <c r="AA50" s="461"/>
      <c r="AB50" s="462"/>
      <c r="AC50" s="42"/>
      <c r="AD50" s="42"/>
      <c r="AE50" s="212" t="str">
        <f t="shared" si="4"/>
        <v/>
      </c>
    </row>
    <row r="51" spans="2:40" x14ac:dyDescent="0.65">
      <c r="AM51" s="27">
        <v>1</v>
      </c>
      <c r="AN51" s="27" t="s">
        <v>400</v>
      </c>
    </row>
    <row r="52" spans="2:40" x14ac:dyDescent="0.65">
      <c r="AM52" s="27">
        <v>2</v>
      </c>
      <c r="AN52" s="27" t="s">
        <v>399</v>
      </c>
    </row>
    <row r="53" spans="2:40" x14ac:dyDescent="0.65">
      <c r="AM53" s="27">
        <v>3</v>
      </c>
    </row>
    <row r="54" spans="2:40" x14ac:dyDescent="0.65">
      <c r="AM54" s="27">
        <v>4</v>
      </c>
    </row>
    <row r="55" spans="2:40" x14ac:dyDescent="0.65">
      <c r="AM55" s="27">
        <v>5</v>
      </c>
    </row>
    <row r="56" spans="2:40" x14ac:dyDescent="0.65">
      <c r="AM56" s="27">
        <v>6</v>
      </c>
    </row>
    <row r="57" spans="2:40" x14ac:dyDescent="0.65">
      <c r="AM57" s="27">
        <v>7</v>
      </c>
    </row>
    <row r="58" spans="2:40" x14ac:dyDescent="0.65">
      <c r="AM58" s="27">
        <v>8</v>
      </c>
    </row>
    <row r="59" spans="2:40" x14ac:dyDescent="0.65">
      <c r="AM59" s="27">
        <v>9</v>
      </c>
    </row>
    <row r="60" spans="2:40" x14ac:dyDescent="0.65">
      <c r="AM60" s="27">
        <v>10</v>
      </c>
    </row>
    <row r="61" spans="2:40" x14ac:dyDescent="0.65">
      <c r="AM61" s="27">
        <v>11</v>
      </c>
    </row>
    <row r="62" spans="2:40" x14ac:dyDescent="0.65">
      <c r="AM62" s="27">
        <v>12</v>
      </c>
    </row>
    <row r="63" spans="2:40" x14ac:dyDescent="0.65">
      <c r="AM63" s="27">
        <v>13</v>
      </c>
    </row>
    <row r="64" spans="2:40" x14ac:dyDescent="0.65">
      <c r="AM64" s="27">
        <v>14</v>
      </c>
    </row>
    <row r="65" spans="39:39" x14ac:dyDescent="0.65">
      <c r="AM65" s="27">
        <v>15</v>
      </c>
    </row>
    <row r="66" spans="39:39" x14ac:dyDescent="0.65">
      <c r="AM66" s="27">
        <v>16</v>
      </c>
    </row>
    <row r="67" spans="39:39" x14ac:dyDescent="0.65">
      <c r="AM67" s="27">
        <v>17</v>
      </c>
    </row>
    <row r="68" spans="39:39" x14ac:dyDescent="0.65">
      <c r="AM68" s="27">
        <v>18</v>
      </c>
    </row>
    <row r="69" spans="39:39" x14ac:dyDescent="0.65">
      <c r="AM69" s="27">
        <v>19</v>
      </c>
    </row>
    <row r="70" spans="39:39" x14ac:dyDescent="0.65">
      <c r="AM70" s="27">
        <v>20</v>
      </c>
    </row>
    <row r="71" spans="39:39" x14ac:dyDescent="0.65">
      <c r="AM71" s="27">
        <v>21</v>
      </c>
    </row>
    <row r="72" spans="39:39" x14ac:dyDescent="0.65">
      <c r="AM72" s="27">
        <v>22</v>
      </c>
    </row>
    <row r="73" spans="39:39" x14ac:dyDescent="0.65">
      <c r="AM73" s="27">
        <v>23</v>
      </c>
    </row>
    <row r="74" spans="39:39" x14ac:dyDescent="0.65">
      <c r="AM74" s="27">
        <v>24</v>
      </c>
    </row>
    <row r="75" spans="39:39" x14ac:dyDescent="0.65">
      <c r="AM75" s="27">
        <v>25</v>
      </c>
    </row>
    <row r="76" spans="39:39" x14ac:dyDescent="0.65">
      <c r="AM76" s="27">
        <v>26</v>
      </c>
    </row>
    <row r="77" spans="39:39" x14ac:dyDescent="0.65">
      <c r="AM77" s="27">
        <v>27</v>
      </c>
    </row>
    <row r="78" spans="39:39" x14ac:dyDescent="0.65">
      <c r="AM78" s="27">
        <v>28</v>
      </c>
    </row>
    <row r="79" spans="39:39" x14ac:dyDescent="0.65">
      <c r="AM79" s="27">
        <v>29</v>
      </c>
    </row>
    <row r="80" spans="39:39" x14ac:dyDescent="0.65">
      <c r="AM80" s="27">
        <v>30</v>
      </c>
    </row>
    <row r="81" spans="39:39" x14ac:dyDescent="0.65">
      <c r="AM81" s="27">
        <v>31</v>
      </c>
    </row>
  </sheetData>
  <sheetProtection algorithmName="SHA-512" hashValue="G9z7fxPfrgDhvGRrXaqXPmH6YCdbCMW+GUjeBtzf2d83twgLEsBkufzFFCGA5tRHfSnc8KONDAPmpiql/xf4tw==" saltValue="fWxpOTRNVhG2sQyoy7Xk+A==" spinCount="100000" sheet="1" objects="1" scenarios="1"/>
  <mergeCells count="128">
    <mergeCell ref="B3:B18"/>
    <mergeCell ref="B19:B25"/>
    <mergeCell ref="C23:G23"/>
    <mergeCell ref="I23:N23"/>
    <mergeCell ref="P23:AB23"/>
    <mergeCell ref="C24:G24"/>
    <mergeCell ref="P24:AB24"/>
    <mergeCell ref="P2:AB2"/>
    <mergeCell ref="H5:N5"/>
    <mergeCell ref="H6:N6"/>
    <mergeCell ref="H11:N11"/>
    <mergeCell ref="H4:N4"/>
    <mergeCell ref="O3:O5"/>
    <mergeCell ref="P14:AB14"/>
    <mergeCell ref="P12:AB12"/>
    <mergeCell ref="P11:AB11"/>
    <mergeCell ref="H14:N14"/>
    <mergeCell ref="C17:G17"/>
    <mergeCell ref="C22:G22"/>
    <mergeCell ref="P21:AB21"/>
    <mergeCell ref="H7:N7"/>
    <mergeCell ref="C19:G19"/>
    <mergeCell ref="C13:G13"/>
    <mergeCell ref="P13:AB13"/>
    <mergeCell ref="I50:N50"/>
    <mergeCell ref="H15:N15"/>
    <mergeCell ref="H16:N16"/>
    <mergeCell ref="P50:AB50"/>
    <mergeCell ref="D35:E35"/>
    <mergeCell ref="P43:AB43"/>
    <mergeCell ref="P44:AB44"/>
    <mergeCell ref="P45:AB45"/>
    <mergeCell ref="I43:N43"/>
    <mergeCell ref="I44:N44"/>
    <mergeCell ref="I45:N45"/>
    <mergeCell ref="C50:H50"/>
    <mergeCell ref="C43:H43"/>
    <mergeCell ref="C44:H44"/>
    <mergeCell ref="C49:H49"/>
    <mergeCell ref="I49:N49"/>
    <mergeCell ref="P49:AB49"/>
    <mergeCell ref="I48:N48"/>
    <mergeCell ref="C48:H48"/>
    <mergeCell ref="P48:AB48"/>
    <mergeCell ref="C16:G16"/>
    <mergeCell ref="P47:AB47"/>
    <mergeCell ref="I47:N47"/>
    <mergeCell ref="C47:H47"/>
    <mergeCell ref="C1:AB1"/>
    <mergeCell ref="C37:AB37"/>
    <mergeCell ref="P3:AB5"/>
    <mergeCell ref="P15:AB15"/>
    <mergeCell ref="P16:AB16"/>
    <mergeCell ref="P17:AB17"/>
    <mergeCell ref="P18:AB18"/>
    <mergeCell ref="P10:AB10"/>
    <mergeCell ref="P9:AB9"/>
    <mergeCell ref="P8:AB8"/>
    <mergeCell ref="P7:AB7"/>
    <mergeCell ref="P6:AB6"/>
    <mergeCell ref="H18:N18"/>
    <mergeCell ref="H2:N2"/>
    <mergeCell ref="C3:G5"/>
    <mergeCell ref="C6:G6"/>
    <mergeCell ref="C7:G7"/>
    <mergeCell ref="C8:G8"/>
    <mergeCell ref="C9:G9"/>
    <mergeCell ref="C10:G10"/>
    <mergeCell ref="C14:G14"/>
    <mergeCell ref="C25:G25"/>
    <mergeCell ref="H25:N25"/>
    <mergeCell ref="B2:G2"/>
    <mergeCell ref="H32:N32"/>
    <mergeCell ref="P32:AB32"/>
    <mergeCell ref="D39:E39"/>
    <mergeCell ref="G39:AB39"/>
    <mergeCell ref="P25:AB25"/>
    <mergeCell ref="G35:AB35"/>
    <mergeCell ref="C42:H42"/>
    <mergeCell ref="C45:H45"/>
    <mergeCell ref="P46:AB46"/>
    <mergeCell ref="P41:AB41"/>
    <mergeCell ref="P42:AB42"/>
    <mergeCell ref="I41:N41"/>
    <mergeCell ref="I42:N42"/>
    <mergeCell ref="C41:H41"/>
    <mergeCell ref="I46:N46"/>
    <mergeCell ref="C46:H46"/>
    <mergeCell ref="C32:G32"/>
    <mergeCell ref="C26:G26"/>
    <mergeCell ref="H26:N26"/>
    <mergeCell ref="P26:AB26"/>
    <mergeCell ref="P33:AB33"/>
    <mergeCell ref="H33:N33"/>
    <mergeCell ref="C33:G33"/>
    <mergeCell ref="AF3:AF5"/>
    <mergeCell ref="L19:N19"/>
    <mergeCell ref="K21:N21"/>
    <mergeCell ref="H22:N22"/>
    <mergeCell ref="P20:AB20"/>
    <mergeCell ref="P22:AB22"/>
    <mergeCell ref="P19:AB19"/>
    <mergeCell ref="C20:G20"/>
    <mergeCell ref="H20:N20"/>
    <mergeCell ref="C21:G21"/>
    <mergeCell ref="H17:I17"/>
    <mergeCell ref="J17:K17"/>
    <mergeCell ref="L17:M17"/>
    <mergeCell ref="AE3:AE5"/>
    <mergeCell ref="C18:G18"/>
    <mergeCell ref="H8:N8"/>
    <mergeCell ref="C15:G15"/>
    <mergeCell ref="C11:G11"/>
    <mergeCell ref="C12:G12"/>
    <mergeCell ref="H3:N3"/>
    <mergeCell ref="H9:N9"/>
    <mergeCell ref="H10:N10"/>
    <mergeCell ref="B27:B31"/>
    <mergeCell ref="C27:G27"/>
    <mergeCell ref="P27:AB27"/>
    <mergeCell ref="C28:G28"/>
    <mergeCell ref="P28:AB28"/>
    <mergeCell ref="C29:G29"/>
    <mergeCell ref="P29:AB29"/>
    <mergeCell ref="C30:G30"/>
    <mergeCell ref="P30:AB30"/>
    <mergeCell ref="C31:G31"/>
    <mergeCell ref="P31:AB31"/>
  </mergeCells>
  <phoneticPr fontId="1"/>
  <conditionalFormatting sqref="O3:O34">
    <cfRule type="containsText" dxfId="81" priority="18" operator="containsText" text="×">
      <formula>NOT(ISERROR(SEARCH("×",O3)))</formula>
    </cfRule>
    <cfRule type="containsText" dxfId="80" priority="20" operator="containsText" text="×">
      <formula>NOT(ISERROR(SEARCH("×",O3)))</formula>
    </cfRule>
  </conditionalFormatting>
  <conditionalFormatting sqref="P34:W34 P15:W18 P46:AB48 P19:P33 P14 P3:W13">
    <cfRule type="containsText" dxfId="79" priority="19" operator="containsText" text="要修正">
      <formula>NOT(ISERROR(SEARCH("要修正",P3)))</formula>
    </cfRule>
  </conditionalFormatting>
  <conditionalFormatting sqref="F35 O42:O50">
    <cfRule type="containsText" dxfId="78" priority="17" operator="containsText" text="×">
      <formula>NOT(ISERROR(SEARCH("×",F35)))</formula>
    </cfRule>
  </conditionalFormatting>
  <conditionalFormatting sqref="G35:AB35">
    <cfRule type="containsText" dxfId="77" priority="16" operator="containsText" text="要修正">
      <formula>NOT(ISERROR(SEARCH("要修正",G35)))</formula>
    </cfRule>
  </conditionalFormatting>
  <conditionalFormatting sqref="P49 P42:AB48 P50:AB50">
    <cfRule type="containsText" dxfId="76" priority="13" operator="containsText" text="要修正">
      <formula>NOT(ISERROR(SEARCH("要修正",P42)))</formula>
    </cfRule>
    <cfRule type="cellIs" dxfId="75" priority="14" operator="equal">
      <formula>"要修正"</formula>
    </cfRule>
  </conditionalFormatting>
  <conditionalFormatting sqref="F39">
    <cfRule type="containsText" dxfId="74" priority="10" operator="containsText" text="×">
      <formula>NOT(ISERROR(SEARCH("×",F39)))</formula>
    </cfRule>
  </conditionalFormatting>
  <conditionalFormatting sqref="G39:AB39">
    <cfRule type="containsText" dxfId="73" priority="9" operator="containsText" text="要修正">
      <formula>NOT(ISERROR(SEARCH("要修正",G39)))</formula>
    </cfRule>
  </conditionalFormatting>
  <conditionalFormatting sqref="P46:AB48">
    <cfRule type="containsText" dxfId="72" priority="6" operator="containsText" text="要修正">
      <formula>NOT(ISERROR(SEARCH("要修正",P46)))</formula>
    </cfRule>
    <cfRule type="cellIs" dxfId="71" priority="7" operator="equal">
      <formula>"要修正"</formula>
    </cfRule>
  </conditionalFormatting>
  <conditionalFormatting sqref="P46:AB48">
    <cfRule type="containsText" dxfId="70" priority="4" operator="containsText" text="要修正">
      <formula>NOT(ISERROR(SEARCH("要修正",P46)))</formula>
    </cfRule>
  </conditionalFormatting>
  <dataValidations count="10">
    <dataValidation type="list" allowBlank="1" showInputMessage="1" showErrorMessage="1" sqref="H23" xr:uid="{00000000-0002-0000-0100-000000000000}">
      <formula1>$AL$23:$AL$24</formula1>
    </dataValidation>
    <dataValidation imeMode="halfAlpha" allowBlank="1" showInputMessage="1" showErrorMessage="1" sqref="H17:M17" xr:uid="{00000000-0002-0000-0100-000002000000}"/>
    <dataValidation type="whole" operator="equal" allowBlank="1" showInputMessage="1" showErrorMessage="1" error="3を入力してください。_x000a_4月1日～4月5日に提出する場合には3月31日と入力してください。" sqref="K12" xr:uid="{EDC5634C-5450-45A0-BC73-B628CA337D40}">
      <formula1>3</formula1>
    </dataValidation>
    <dataValidation type="list" allowBlank="1" showInputMessage="1" showErrorMessage="1" error="提出日の日付を入力してください。" sqref="M13" xr:uid="{FB895EDB-A9C3-4BF4-9BFB-FE863A63C199}">
      <formula1>INDIRECT($AH$13)</formula1>
    </dataValidation>
    <dataValidation type="textLength" imeMode="halfKatakana" allowBlank="1" showInputMessage="1" showErrorMessage="1" errorTitle="入力した字数が多すぎます" error="振込先口座のｶﾅ名義は30字以内で入力してください。" sqref="H25:H31 I25:N25 J27:J31 L27:L31 N27:N31" xr:uid="{00000000-0002-0000-0100-000001000000}">
      <formula1>1</formula1>
      <formula2>30</formula2>
    </dataValidation>
    <dataValidation type="whole" operator="equal" allowBlank="1" showInputMessage="1" showErrorMessage="1" error="令和6年の「6」を入力してください。" sqref="I12" xr:uid="{00000000-0002-0000-0100-000004000000}">
      <formula1>6</formula1>
    </dataValidation>
    <dataValidation type="whole" allowBlank="1" showInputMessage="1" showErrorMessage="1" error="0から9までの値を１マスに１字ずつ入力してください。" sqref="H24:N24 H21:J21 H19:K19" xr:uid="{66C10471-1886-491C-85A8-8C3EB8DBF9C9}">
      <formula1>0</formula1>
      <formula2>9</formula2>
    </dataValidation>
    <dataValidation type="list" allowBlank="1" showInputMessage="1" showErrorMessage="1" sqref="H33:N33" xr:uid="{7930F617-A62E-41FA-8891-DDDCF66D67A1}">
      <formula1>$AN$51:$AN$52</formula1>
    </dataValidation>
    <dataValidation type="list" allowBlank="1" showInputMessage="1" showErrorMessage="1" error="５，または６を入力してください。" sqref="I13" xr:uid="{E6A78487-EF8C-4908-96BE-A212CE6B7DB0}">
      <formula1>"5,6"</formula1>
    </dataValidation>
    <dataValidation type="list" allowBlank="1" showInputMessage="1" showErrorMessage="1" error="3を入力してください。_x000a_4月1日～4月5日に提出する場合には3月31日と入力してください。" sqref="K13" xr:uid="{2E4280AA-231A-4C46-BE11-98F87390FA92}">
      <formula1>INDIRECT($AG$13)</formula1>
    </dataValidation>
  </dataValidations>
  <printOptions horizontalCentered="1"/>
  <pageMargins left="0.70866141732283472" right="0.70866141732283472" top="0.74803149606299213" bottom="0.74803149606299213" header="0.31496062992125984" footer="0.31496062992125984"/>
  <pageSetup paperSize="9" scale="33" orientation="portrait" r:id="rId1"/>
  <rowBreaks count="1" manualBreakCount="1">
    <brk id="13"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87086</xdr:colOff>
                    <xdr:row>2</xdr:row>
                    <xdr:rowOff>59871</xdr:rowOff>
                  </from>
                  <to>
                    <xdr:col>7</xdr:col>
                    <xdr:colOff>332014</xdr:colOff>
                    <xdr:row>2</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87086</xdr:colOff>
                    <xdr:row>3</xdr:row>
                    <xdr:rowOff>76200</xdr:rowOff>
                  </from>
                  <to>
                    <xdr:col>7</xdr:col>
                    <xdr:colOff>332014</xdr:colOff>
                    <xdr:row>3</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87086</xdr:colOff>
                    <xdr:row>4</xdr:row>
                    <xdr:rowOff>38100</xdr:rowOff>
                  </from>
                  <to>
                    <xdr:col>7</xdr:col>
                    <xdr:colOff>429986</xdr:colOff>
                    <xdr:row>4</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テーブル!$C$26:$C$27</xm:f>
          </x14:formula1>
          <xm:sqref>H32:N32</xm:sqref>
        </x14:dataValidation>
        <x14:dataValidation type="list" allowBlank="1" showInputMessage="1" showErrorMessage="1" xr:uid="{37CBB5BE-DBD7-4572-9660-A93F3C6831BF}">
          <x14:formula1>
            <xm:f>テーブル!$L$36:$L$52</xm:f>
          </x14:formula1>
          <xm:sqref>M12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7F67-C138-4B7D-BA3A-32175CE5730C}">
  <sheetPr>
    <tabColor theme="5" tint="0.39997558519241921"/>
    <pageSetUpPr fitToPage="1"/>
  </sheetPr>
  <dimension ref="A1:BC520"/>
  <sheetViews>
    <sheetView showGridLines="0" view="pageBreakPreview" zoomScale="70" zoomScaleNormal="100" zoomScaleSheetLayoutView="70" workbookViewId="0">
      <selection activeCell="B8" sqref="B8:E8"/>
    </sheetView>
  </sheetViews>
  <sheetFormatPr defaultColWidth="9" defaultRowHeight="19.3" x14ac:dyDescent="0.65"/>
  <cols>
    <col min="1" max="1" width="9.140625" style="234" customWidth="1"/>
    <col min="2" max="47" width="3.640625" style="234" customWidth="1"/>
    <col min="48" max="48" width="3.7109375" style="234" customWidth="1"/>
    <col min="49" max="50" width="3.640625" style="234" customWidth="1"/>
    <col min="51" max="52" width="9" style="234"/>
    <col min="53" max="53" width="16" style="234" customWidth="1"/>
    <col min="54" max="54" width="8.7109375" style="234" customWidth="1"/>
    <col min="55" max="16384" width="9" style="234"/>
  </cols>
  <sheetData>
    <row r="1" spans="1:55" x14ac:dyDescent="0.65">
      <c r="AB1" s="604" t="s">
        <v>71</v>
      </c>
      <c r="AC1" s="605"/>
      <c r="AD1" s="606"/>
      <c r="AE1" s="604" t="str">
        <f>IF(COUNTIF(AK1:AN1,"○")=4,"○","×")</f>
        <v>×</v>
      </c>
      <c r="AF1" s="605"/>
      <c r="AG1" s="605"/>
      <c r="AH1" s="606"/>
      <c r="AK1" s="234" t="str">
        <f>AJ5</f>
        <v>×</v>
      </c>
      <c r="AL1" s="234" t="str">
        <f>AJ20</f>
        <v>×</v>
      </c>
      <c r="AM1" s="234" t="str">
        <f>AJ45</f>
        <v>×</v>
      </c>
      <c r="AN1" s="234" t="str">
        <f>AJ54</f>
        <v>×</v>
      </c>
    </row>
    <row r="2" spans="1:55" ht="29.15" x14ac:dyDescent="0.65">
      <c r="A2" s="638" t="s">
        <v>234</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224"/>
      <c r="AK2" s="224"/>
    </row>
    <row r="3" spans="1:55" ht="29.15" x14ac:dyDescent="0.65">
      <c r="A3" s="638"/>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224"/>
      <c r="AK3" s="224"/>
    </row>
    <row r="4" spans="1:55" x14ac:dyDescent="0.65">
      <c r="D4" s="235"/>
      <c r="E4" s="235"/>
      <c r="F4" s="235"/>
      <c r="G4" s="235"/>
      <c r="H4" s="235"/>
      <c r="I4" s="235"/>
      <c r="J4" s="235"/>
      <c r="K4" s="235"/>
      <c r="L4" s="235"/>
      <c r="M4" s="235"/>
      <c r="N4" s="235"/>
      <c r="O4" s="235"/>
      <c r="P4" s="235"/>
      <c r="Q4" s="235"/>
      <c r="R4" s="235"/>
      <c r="S4" s="235"/>
      <c r="T4" s="235"/>
      <c r="U4" s="235"/>
    </row>
    <row r="5" spans="1:55" x14ac:dyDescent="0.65">
      <c r="A5" s="622" t="str">
        <f>"１．診療日　【判定】"&amp;AJ5&amp;"（"&amp;VLOOKUP(AJ5,AP6:AQ8,2,FALSE)&amp;"）"</f>
        <v>１．診療日　【判定】×（【要修正】未入力または入力不十分の箇所があります。）</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234" t="str">
        <f>IF(COUNTIF(AJ8:AJ9,"○")=2,"○","×")</f>
        <v>×</v>
      </c>
    </row>
    <row r="6" spans="1:55" x14ac:dyDescent="0.65">
      <c r="A6" s="309" t="s">
        <v>430</v>
      </c>
      <c r="C6" s="310"/>
      <c r="D6" s="310"/>
      <c r="E6" s="310"/>
      <c r="F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L6" s="234" t="s">
        <v>232</v>
      </c>
      <c r="AP6" s="234" t="s">
        <v>85</v>
      </c>
      <c r="AQ6" s="234" t="s">
        <v>340</v>
      </c>
      <c r="BC6" s="234" t="s">
        <v>416</v>
      </c>
    </row>
    <row r="7" spans="1:55" x14ac:dyDescent="0.65">
      <c r="A7" s="311" t="s">
        <v>414</v>
      </c>
      <c r="B7" s="604" t="s">
        <v>415</v>
      </c>
      <c r="C7" s="653"/>
      <c r="D7" s="653"/>
      <c r="E7" s="654"/>
      <c r="F7" s="310"/>
      <c r="G7" s="316"/>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BC7" s="234" t="s">
        <v>417</v>
      </c>
    </row>
    <row r="8" spans="1:55" x14ac:dyDescent="0.65">
      <c r="A8" s="311" t="s">
        <v>407</v>
      </c>
      <c r="B8" s="632"/>
      <c r="C8" s="633"/>
      <c r="D8" s="633"/>
      <c r="E8" s="634"/>
      <c r="F8" s="645"/>
      <c r="G8" s="646"/>
      <c r="H8" s="645"/>
      <c r="I8" s="646"/>
      <c r="J8" s="645"/>
      <c r="K8" s="646"/>
      <c r="L8" s="645"/>
      <c r="M8" s="646"/>
      <c r="N8" s="645"/>
      <c r="O8" s="646"/>
      <c r="AJ8" s="234" t="str">
        <f>IF(COUNTA(B8:E14)=7,"○","×")</f>
        <v>×</v>
      </c>
      <c r="AL8" s="234" t="s">
        <v>233</v>
      </c>
      <c r="AP8" s="234" t="s">
        <v>339</v>
      </c>
      <c r="AQ8" s="234" t="s">
        <v>341</v>
      </c>
    </row>
    <row r="9" spans="1:55" x14ac:dyDescent="0.65">
      <c r="A9" s="311" t="s">
        <v>408</v>
      </c>
      <c r="B9" s="632"/>
      <c r="C9" s="633"/>
      <c r="D9" s="633"/>
      <c r="E9" s="634"/>
      <c r="F9" s="314"/>
      <c r="G9" s="314"/>
      <c r="H9" s="314"/>
      <c r="I9" s="314"/>
      <c r="J9" s="314"/>
      <c r="K9" s="314"/>
      <c r="L9" s="314"/>
      <c r="M9" s="314"/>
      <c r="N9" s="314"/>
      <c r="O9" s="314"/>
      <c r="AJ9" s="234" t="str">
        <f>IF(COUNTA(A17)=1,"○","×")</f>
        <v>×</v>
      </c>
    </row>
    <row r="10" spans="1:55" x14ac:dyDescent="0.65">
      <c r="A10" s="311" t="s">
        <v>409</v>
      </c>
      <c r="B10" s="632"/>
      <c r="C10" s="633"/>
      <c r="D10" s="633"/>
      <c r="E10" s="634"/>
      <c r="F10" s="315"/>
      <c r="H10" s="315"/>
      <c r="I10" s="315"/>
      <c r="J10" s="315"/>
      <c r="K10" s="315"/>
      <c r="L10" s="315"/>
      <c r="M10" s="315"/>
      <c r="N10" s="315"/>
      <c r="O10" s="315"/>
    </row>
    <row r="11" spans="1:55" x14ac:dyDescent="0.65">
      <c r="A11" s="311" t="s">
        <v>410</v>
      </c>
      <c r="B11" s="632"/>
      <c r="C11" s="633"/>
      <c r="D11" s="633"/>
      <c r="E11" s="634"/>
      <c r="F11" s="313"/>
    </row>
    <row r="12" spans="1:55" x14ac:dyDescent="0.65">
      <c r="A12" s="311" t="s">
        <v>411</v>
      </c>
      <c r="B12" s="632"/>
      <c r="C12" s="633"/>
      <c r="D12" s="633"/>
      <c r="E12" s="634"/>
      <c r="F12" s="313"/>
    </row>
    <row r="13" spans="1:55" x14ac:dyDescent="0.65">
      <c r="A13" s="311" t="s">
        <v>412</v>
      </c>
      <c r="B13" s="632"/>
      <c r="C13" s="633"/>
      <c r="D13" s="633"/>
      <c r="E13" s="634"/>
    </row>
    <row r="14" spans="1:55" x14ac:dyDescent="0.65">
      <c r="A14" s="311" t="s">
        <v>413</v>
      </c>
      <c r="B14" s="632"/>
      <c r="C14" s="633"/>
      <c r="D14" s="633"/>
      <c r="E14" s="634"/>
    </row>
    <row r="15" spans="1:55" x14ac:dyDescent="0.65">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L15" s="234" t="s">
        <v>300</v>
      </c>
    </row>
    <row r="16" spans="1:55" x14ac:dyDescent="0.65">
      <c r="A16" s="320" t="s">
        <v>299</v>
      </c>
      <c r="AL16" s="234" t="s">
        <v>301</v>
      </c>
    </row>
    <row r="17" spans="1:36" x14ac:dyDescent="0.65">
      <c r="A17" s="639"/>
      <c r="B17" s="640"/>
      <c r="C17" s="640"/>
      <c r="D17" s="640"/>
      <c r="E17" s="640"/>
      <c r="F17" s="640"/>
      <c r="G17" s="640"/>
      <c r="H17" s="640"/>
      <c r="I17" s="640"/>
      <c r="J17" s="640"/>
      <c r="K17" s="640"/>
      <c r="L17" s="640"/>
      <c r="M17" s="640"/>
      <c r="N17" s="641"/>
    </row>
    <row r="18" spans="1:36" x14ac:dyDescent="0.65">
      <c r="A18" s="642"/>
      <c r="B18" s="643"/>
      <c r="C18" s="643"/>
      <c r="D18" s="643"/>
      <c r="E18" s="643"/>
      <c r="F18" s="643"/>
      <c r="G18" s="643"/>
      <c r="H18" s="643"/>
      <c r="I18" s="643"/>
      <c r="J18" s="643"/>
      <c r="K18" s="643"/>
      <c r="L18" s="643"/>
      <c r="M18" s="643"/>
      <c r="N18" s="644"/>
    </row>
    <row r="19" spans="1:36" x14ac:dyDescent="0.65">
      <c r="A19" s="313"/>
      <c r="B19" s="313"/>
      <c r="C19" s="313"/>
      <c r="D19" s="313"/>
      <c r="E19" s="313"/>
      <c r="F19" s="313"/>
      <c r="G19" s="313"/>
      <c r="H19" s="313"/>
      <c r="I19" s="313"/>
      <c r="J19" s="313"/>
      <c r="K19" s="313"/>
      <c r="L19" s="313"/>
      <c r="M19" s="313"/>
      <c r="N19" s="313"/>
    </row>
    <row r="20" spans="1:36" x14ac:dyDescent="0.65">
      <c r="A20" s="622" t="str">
        <f>"２．診療体制　【判定】"&amp;AJ20&amp;"（"&amp;VLOOKUP(AJ20,AP6:AQ8,2,FALSE)&amp;"）"</f>
        <v>２．診療体制　【判定】×（【要修正】未入力または入力不十分の箇所があります。）</v>
      </c>
      <c r="B20" s="623"/>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234" t="str">
        <f>IF(COUNTIF(AJ21:AJ27,"○")=2,"○","×")</f>
        <v>×</v>
      </c>
    </row>
    <row r="21" spans="1:36" x14ac:dyDescent="0.65">
      <c r="A21" s="622" t="str">
        <f>"（１）スタッフの状況　【判定】"&amp;AJ21&amp;"（"&amp;VLOOKUP(AJ21,AP6:AQ8,2,FALSE)&amp;"）"</f>
        <v>（１）スタッフの状況　【判定】×（【要修正】未入力または入力不十分の箇所があります。）</v>
      </c>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234" t="str">
        <f>IF(COUNTA(A24:E25)=2,"○","×")</f>
        <v>×</v>
      </c>
    </row>
    <row r="22" spans="1:36" x14ac:dyDescent="0.65">
      <c r="A22" s="320" t="s">
        <v>302</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row>
    <row r="23" spans="1:36" x14ac:dyDescent="0.65">
      <c r="A23" s="604" t="s">
        <v>303</v>
      </c>
      <c r="B23" s="654"/>
      <c r="C23" s="604" t="s">
        <v>304</v>
      </c>
      <c r="D23" s="653"/>
      <c r="E23" s="654"/>
      <c r="F23" s="604" t="s">
        <v>41</v>
      </c>
      <c r="G23" s="653"/>
      <c r="H23" s="653"/>
      <c r="I23" s="302"/>
    </row>
    <row r="24" spans="1:36" x14ac:dyDescent="0.65">
      <c r="A24" s="659"/>
      <c r="B24" s="661"/>
      <c r="C24" s="659"/>
      <c r="D24" s="660"/>
      <c r="E24" s="661"/>
      <c r="F24" s="655">
        <f>SUM(A24:E25)</f>
        <v>0</v>
      </c>
      <c r="G24" s="656"/>
      <c r="H24" s="656"/>
      <c r="I24" s="324"/>
    </row>
    <row r="25" spans="1:36" x14ac:dyDescent="0.65">
      <c r="A25" s="662"/>
      <c r="B25" s="664"/>
      <c r="C25" s="662"/>
      <c r="D25" s="663"/>
      <c r="E25" s="664"/>
      <c r="F25" s="657"/>
      <c r="G25" s="658"/>
      <c r="H25" s="658"/>
      <c r="I25" s="324"/>
    </row>
    <row r="27" spans="1:36" x14ac:dyDescent="0.65">
      <c r="A27" s="622" t="str">
        <f>"（２）診察を行う場所　【判定】"&amp;AJ27&amp;"（"&amp;VLOOKUP(AJ27,AP6:AQ8,2,FALSE)&amp;"）"</f>
        <v>（２）診察を行う場所　【判定】×（【要修正】未入力または入力不十分の箇所があります。）</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236" t="str">
        <f>IF(COUNTIF(AJ28:AJ30,"○")=3,"○","×")</f>
        <v>×</v>
      </c>
    </row>
    <row r="28" spans="1:36" x14ac:dyDescent="0.65">
      <c r="B28" s="628" t="s">
        <v>305</v>
      </c>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J28" s="236" t="str">
        <f>IF(COUNTA(B30)=1,"○","×")</f>
        <v>×</v>
      </c>
    </row>
    <row r="29" spans="1:36" x14ac:dyDescent="0.65">
      <c r="A29" s="628" t="s">
        <v>306</v>
      </c>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J29" s="236" t="str">
        <f>IF(COUNTA(B34)=1,"○","×")</f>
        <v>×</v>
      </c>
    </row>
    <row r="30" spans="1:36" x14ac:dyDescent="0.65">
      <c r="B30" s="647"/>
      <c r="C30" s="648"/>
      <c r="D30" s="648"/>
      <c r="E30" s="649"/>
      <c r="AJ30" s="236" t="str">
        <f>IF(AND(B34="その他",COUNTA(B38)=0),"×","○")</f>
        <v>○</v>
      </c>
    </row>
    <row r="31" spans="1:36" x14ac:dyDescent="0.65">
      <c r="B31" s="650"/>
      <c r="C31" s="651"/>
      <c r="D31" s="651"/>
      <c r="E31" s="652"/>
    </row>
    <row r="33" spans="1:38" x14ac:dyDescent="0.65">
      <c r="A33" s="628" t="s">
        <v>307</v>
      </c>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row>
    <row r="34" spans="1:38" x14ac:dyDescent="0.65">
      <c r="B34" s="627"/>
      <c r="C34" s="673"/>
      <c r="D34" s="673"/>
      <c r="E34" s="673"/>
      <c r="F34" s="673"/>
      <c r="G34" s="673"/>
      <c r="H34" s="673"/>
      <c r="I34" s="673"/>
      <c r="J34" s="673"/>
      <c r="K34" s="673"/>
      <c r="L34" s="674"/>
      <c r="M34" s="674"/>
      <c r="N34" s="674"/>
      <c r="O34" s="675"/>
      <c r="AL34" s="234" t="s">
        <v>308</v>
      </c>
    </row>
    <row r="35" spans="1:38" x14ac:dyDescent="0.65">
      <c r="B35" s="676"/>
      <c r="C35" s="677"/>
      <c r="D35" s="677"/>
      <c r="E35" s="677"/>
      <c r="F35" s="677"/>
      <c r="G35" s="677"/>
      <c r="H35" s="677"/>
      <c r="I35" s="677"/>
      <c r="J35" s="677"/>
      <c r="K35" s="677"/>
      <c r="L35" s="678"/>
      <c r="M35" s="678"/>
      <c r="N35" s="678"/>
      <c r="O35" s="679"/>
      <c r="AL35" s="234" t="s">
        <v>309</v>
      </c>
    </row>
    <row r="36" spans="1:38" x14ac:dyDescent="0.65">
      <c r="AL36" s="234" t="s">
        <v>102</v>
      </c>
    </row>
    <row r="37" spans="1:38" x14ac:dyDescent="0.65">
      <c r="B37" s="630" t="s">
        <v>310</v>
      </c>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row>
    <row r="38" spans="1:38" x14ac:dyDescent="0.65">
      <c r="B38" s="607"/>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6"/>
    </row>
    <row r="39" spans="1:38" x14ac:dyDescent="0.65">
      <c r="B39" s="667"/>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9"/>
    </row>
    <row r="40" spans="1:38" x14ac:dyDescent="0.65">
      <c r="B40" s="667"/>
      <c r="C40" s="668"/>
      <c r="D40" s="668"/>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9"/>
    </row>
    <row r="41" spans="1:38" x14ac:dyDescent="0.65">
      <c r="B41" s="667"/>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9"/>
    </row>
    <row r="42" spans="1:38" x14ac:dyDescent="0.65">
      <c r="B42" s="667"/>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9"/>
    </row>
    <row r="43" spans="1:38" x14ac:dyDescent="0.65">
      <c r="B43" s="670"/>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2"/>
    </row>
    <row r="45" spans="1:38" x14ac:dyDescent="0.65">
      <c r="A45" s="622" t="str">
        <f>"３．外来対応実績　【判定】"&amp;AJ45&amp;"（"&amp;VLOOKUP(AJ45,AP6:AQ8,2,FALSE)&amp;"）"</f>
        <v>３．外来対応実績　【判定】×（【要修正】未入力または入力不十分の箇所があります。）</v>
      </c>
      <c r="B45" s="623"/>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234" t="str">
        <f>IF(COUNTA(B50:AE50)=15,"○","×")</f>
        <v>×</v>
      </c>
    </row>
    <row r="46" spans="1:38" x14ac:dyDescent="0.65">
      <c r="B46" s="628" t="s">
        <v>311</v>
      </c>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row>
    <row r="47" spans="1:38" x14ac:dyDescent="0.65">
      <c r="B47" s="628" t="s">
        <v>320</v>
      </c>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row>
    <row r="48" spans="1:38" x14ac:dyDescent="0.65">
      <c r="B48" s="628" t="s">
        <v>321</v>
      </c>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row>
    <row r="49" spans="1:46" x14ac:dyDescent="0.65">
      <c r="A49" s="311" t="s">
        <v>404</v>
      </c>
      <c r="B49" s="597" t="s">
        <v>476</v>
      </c>
      <c r="C49" s="597"/>
      <c r="D49" s="596" t="s">
        <v>312</v>
      </c>
      <c r="E49" s="596"/>
      <c r="F49" s="596" t="s">
        <v>313</v>
      </c>
      <c r="G49" s="596"/>
      <c r="H49" s="596" t="s">
        <v>314</v>
      </c>
      <c r="I49" s="596"/>
      <c r="J49" s="596" t="s">
        <v>315</v>
      </c>
      <c r="K49" s="596"/>
      <c r="L49" s="596" t="s">
        <v>316</v>
      </c>
      <c r="M49" s="596"/>
      <c r="N49" s="596" t="s">
        <v>317</v>
      </c>
      <c r="O49" s="596"/>
      <c r="P49" s="596" t="s">
        <v>318</v>
      </c>
      <c r="Q49" s="596"/>
      <c r="R49" s="596" t="s">
        <v>319</v>
      </c>
      <c r="S49" s="596"/>
      <c r="T49" s="596" t="s">
        <v>371</v>
      </c>
      <c r="U49" s="596"/>
      <c r="V49" s="596" t="s">
        <v>372</v>
      </c>
      <c r="W49" s="596"/>
      <c r="X49" s="596" t="s">
        <v>373</v>
      </c>
      <c r="Y49" s="596"/>
      <c r="Z49" s="597" t="s">
        <v>477</v>
      </c>
      <c r="AA49" s="597"/>
      <c r="AB49" s="596" t="s">
        <v>312</v>
      </c>
      <c r="AC49" s="596"/>
      <c r="AD49" s="596" t="s">
        <v>313</v>
      </c>
      <c r="AE49" s="596"/>
      <c r="AF49" s="596" t="s">
        <v>41</v>
      </c>
      <c r="AG49" s="596"/>
      <c r="AH49" s="596"/>
    </row>
    <row r="50" spans="1:46" x14ac:dyDescent="0.65">
      <c r="A50" s="323" t="s">
        <v>405</v>
      </c>
      <c r="B50" s="598"/>
      <c r="C50" s="599"/>
      <c r="D50" s="598"/>
      <c r="E50" s="599"/>
      <c r="F50" s="598"/>
      <c r="G50" s="599"/>
      <c r="H50" s="598"/>
      <c r="I50" s="599"/>
      <c r="J50" s="598"/>
      <c r="K50" s="599"/>
      <c r="L50" s="598"/>
      <c r="M50" s="599"/>
      <c r="N50" s="598"/>
      <c r="O50" s="599"/>
      <c r="P50" s="598"/>
      <c r="Q50" s="599"/>
      <c r="R50" s="598"/>
      <c r="S50" s="599"/>
      <c r="T50" s="598"/>
      <c r="U50" s="599"/>
      <c r="V50" s="598"/>
      <c r="W50" s="599"/>
      <c r="X50" s="598"/>
      <c r="Y50" s="599"/>
      <c r="Z50" s="598"/>
      <c r="AA50" s="599"/>
      <c r="AB50" s="598"/>
      <c r="AC50" s="599"/>
      <c r="AD50" s="598"/>
      <c r="AE50" s="599"/>
      <c r="AF50" s="619">
        <f>SUM(B50:AE50)</f>
        <v>0</v>
      </c>
      <c r="AG50" s="620"/>
      <c r="AH50" s="621"/>
    </row>
    <row r="51" spans="1:46" x14ac:dyDescent="0.65">
      <c r="A51" s="323" t="s">
        <v>429</v>
      </c>
      <c r="B51" s="600">
        <f>COUNTIF(BC65:BC95,"診療日")</f>
        <v>0</v>
      </c>
      <c r="C51" s="601"/>
      <c r="D51" s="600">
        <f>COUNTIF(BC96:BC123,"診療日")</f>
        <v>0</v>
      </c>
      <c r="E51" s="601"/>
      <c r="F51" s="600">
        <f>COUNTIF(BC124:BC154,"診療日")</f>
        <v>0</v>
      </c>
      <c r="G51" s="601"/>
      <c r="H51" s="600">
        <f>COUNTIF(BC155:BC184,"診療日")</f>
        <v>0</v>
      </c>
      <c r="I51" s="601"/>
      <c r="J51" s="600">
        <f>COUNTIF(BC185:BC215,"診療日")</f>
        <v>0</v>
      </c>
      <c r="K51" s="601"/>
      <c r="L51" s="600">
        <f>COUNTIF(BC216:BC245,"診療日")</f>
        <v>0</v>
      </c>
      <c r="M51" s="601"/>
      <c r="N51" s="600">
        <f>COUNTIF(BC246:BC276,"診療日")</f>
        <v>0</v>
      </c>
      <c r="O51" s="601"/>
      <c r="P51" s="600">
        <f>COUNTIF(BC277:BC307,"診療日")</f>
        <v>0</v>
      </c>
      <c r="Q51" s="601"/>
      <c r="R51" s="600">
        <f>COUNTIF(BC308:BC337,"診療日")</f>
        <v>0</v>
      </c>
      <c r="S51" s="601"/>
      <c r="T51" s="600">
        <f>COUNTIF(BC338:BC368,"診療日")</f>
        <v>0</v>
      </c>
      <c r="U51" s="601"/>
      <c r="V51" s="600">
        <f>COUNTIF(BC369:BC398,"診療日")</f>
        <v>0</v>
      </c>
      <c r="W51" s="601"/>
      <c r="X51" s="600">
        <f>COUNTIF(BC399:BC429,"診療日")</f>
        <v>0</v>
      </c>
      <c r="Y51" s="601"/>
      <c r="Z51" s="600">
        <f>COUNTIF(BC430:BC460,"診療日")</f>
        <v>0</v>
      </c>
      <c r="AA51" s="601"/>
      <c r="AB51" s="600">
        <f>COUNTIF(BC461:BC489,"診療日")</f>
        <v>0</v>
      </c>
      <c r="AC51" s="601"/>
      <c r="AD51" s="600">
        <f>COUNTIF(BC490:BC520,"診療日")</f>
        <v>0</v>
      </c>
      <c r="AE51" s="601"/>
      <c r="AF51" s="680">
        <f>SUM(B51:AE51)</f>
        <v>0</v>
      </c>
      <c r="AG51" s="681"/>
      <c r="AH51" s="682"/>
    </row>
    <row r="52" spans="1:46" x14ac:dyDescent="0.65">
      <c r="A52" s="323" t="s">
        <v>406</v>
      </c>
      <c r="B52" s="594" t="e">
        <f>B50/B51</f>
        <v>#DIV/0!</v>
      </c>
      <c r="C52" s="595"/>
      <c r="D52" s="594" t="e">
        <f t="shared" ref="D52" si="0">D50/D51</f>
        <v>#DIV/0!</v>
      </c>
      <c r="E52" s="595"/>
      <c r="F52" s="594" t="e">
        <f t="shared" ref="F52" si="1">F50/F51</f>
        <v>#DIV/0!</v>
      </c>
      <c r="G52" s="595"/>
      <c r="H52" s="594" t="e">
        <f t="shared" ref="H52" si="2">H50/H51</f>
        <v>#DIV/0!</v>
      </c>
      <c r="I52" s="595"/>
      <c r="J52" s="594" t="e">
        <f t="shared" ref="J52" si="3">J50/J51</f>
        <v>#DIV/0!</v>
      </c>
      <c r="K52" s="595"/>
      <c r="L52" s="594" t="e">
        <f t="shared" ref="L52" si="4">L50/L51</f>
        <v>#DIV/0!</v>
      </c>
      <c r="M52" s="595"/>
      <c r="N52" s="594" t="e">
        <f t="shared" ref="N52" si="5">N50/N51</f>
        <v>#DIV/0!</v>
      </c>
      <c r="O52" s="595"/>
      <c r="P52" s="594" t="e">
        <f t="shared" ref="P52" si="6">P50/P51</f>
        <v>#DIV/0!</v>
      </c>
      <c r="Q52" s="595"/>
      <c r="R52" s="594" t="e">
        <f t="shared" ref="R52" si="7">R50/R51</f>
        <v>#DIV/0!</v>
      </c>
      <c r="S52" s="595"/>
      <c r="T52" s="594" t="e">
        <f t="shared" ref="T52" si="8">T50/T51</f>
        <v>#DIV/0!</v>
      </c>
      <c r="U52" s="595"/>
      <c r="V52" s="594" t="e">
        <f t="shared" ref="V52" si="9">V50/V51</f>
        <v>#DIV/0!</v>
      </c>
      <c r="W52" s="595"/>
      <c r="X52" s="594" t="e">
        <f t="shared" ref="X52" si="10">X50/X51</f>
        <v>#DIV/0!</v>
      </c>
      <c r="Y52" s="595"/>
      <c r="Z52" s="594" t="e">
        <f t="shared" ref="Z52" si="11">Z50/Z51</f>
        <v>#DIV/0!</v>
      </c>
      <c r="AA52" s="595"/>
      <c r="AB52" s="594" t="e">
        <f t="shared" ref="AB52" si="12">AB50/AB51</f>
        <v>#DIV/0!</v>
      </c>
      <c r="AC52" s="595"/>
      <c r="AD52" s="594" t="e">
        <f t="shared" ref="AD52" si="13">AD50/AD51</f>
        <v>#DIV/0!</v>
      </c>
      <c r="AE52" s="595"/>
      <c r="AF52" s="616" t="e">
        <f>AF50/AF51</f>
        <v>#DIV/0!</v>
      </c>
      <c r="AG52" s="617"/>
      <c r="AH52" s="618"/>
    </row>
    <row r="53" spans="1:46" x14ac:dyDescent="0.65">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592" t="s">
        <v>478</v>
      </c>
      <c r="AA53" s="593"/>
      <c r="AB53" s="593"/>
      <c r="AC53" s="593"/>
      <c r="AD53" s="590" t="str">
        <f>はじめに入力してください!AF13</f>
        <v/>
      </c>
      <c r="AE53" s="590"/>
      <c r="AF53" s="590"/>
      <c r="AG53" s="590"/>
      <c r="AH53" s="591"/>
      <c r="AL53" s="234" t="s">
        <v>328</v>
      </c>
    </row>
    <row r="54" spans="1:46" x14ac:dyDescent="0.65">
      <c r="A54" s="622" t="str">
        <f>"４．診療及び検査の実施手順　【判定】"&amp;AJ54&amp;"（"&amp;VLOOKUP(AJ54,AP6:AQ8,2,FALSE)&amp;"）"</f>
        <v>４．診療及び検査の実施手順　【判定】×（【要修正】未入力または入力不十分の箇所があります。）</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236" t="str">
        <f>IF(COUNTIF(AJ59:AJ67,"○")=3,"○","×")</f>
        <v>×</v>
      </c>
      <c r="AL54" s="234" t="s">
        <v>329</v>
      </c>
    </row>
    <row r="55" spans="1:46" x14ac:dyDescent="0.65">
      <c r="B55" s="628" t="s">
        <v>322</v>
      </c>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L55" s="234" t="s">
        <v>330</v>
      </c>
    </row>
    <row r="56" spans="1:46" x14ac:dyDescent="0.65">
      <c r="B56" s="628" t="s">
        <v>337</v>
      </c>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L56" s="234" t="s">
        <v>333</v>
      </c>
      <c r="AT56" s="234" t="s">
        <v>335</v>
      </c>
    </row>
    <row r="57" spans="1:46" x14ac:dyDescent="0.65">
      <c r="B57" s="630" t="s">
        <v>338</v>
      </c>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L57" s="234" t="s">
        <v>331</v>
      </c>
      <c r="AT57" s="234" t="s">
        <v>304</v>
      </c>
    </row>
    <row r="58" spans="1:46" x14ac:dyDescent="0.65">
      <c r="B58" s="596" t="s">
        <v>324</v>
      </c>
      <c r="C58" s="624"/>
      <c r="D58" s="624"/>
      <c r="E58" s="596" t="s">
        <v>327</v>
      </c>
      <c r="F58" s="624"/>
      <c r="G58" s="624"/>
      <c r="H58" s="624"/>
      <c r="I58" s="624"/>
      <c r="J58" s="624"/>
      <c r="K58" s="624"/>
      <c r="L58" s="596" t="s">
        <v>334</v>
      </c>
      <c r="M58" s="624"/>
      <c r="N58" s="624"/>
      <c r="O58" s="604" t="s">
        <v>336</v>
      </c>
      <c r="P58" s="605"/>
      <c r="Q58" s="605"/>
      <c r="R58" s="605"/>
      <c r="S58" s="605"/>
      <c r="T58" s="605"/>
      <c r="U58" s="605"/>
      <c r="V58" s="605"/>
      <c r="W58" s="605"/>
      <c r="X58" s="605"/>
      <c r="Y58" s="605"/>
      <c r="Z58" s="605"/>
      <c r="AA58" s="605"/>
      <c r="AB58" s="605"/>
      <c r="AC58" s="605"/>
      <c r="AD58" s="605"/>
      <c r="AE58" s="605"/>
      <c r="AF58" s="605"/>
      <c r="AG58" s="605"/>
      <c r="AH58" s="606"/>
      <c r="AL58" s="234" t="s">
        <v>332</v>
      </c>
      <c r="AT58" s="234" t="s">
        <v>303</v>
      </c>
    </row>
    <row r="59" spans="1:46" x14ac:dyDescent="0.65">
      <c r="B59" s="596" t="s">
        <v>323</v>
      </c>
      <c r="C59" s="624"/>
      <c r="D59" s="624"/>
      <c r="E59" s="636"/>
      <c r="F59" s="637"/>
      <c r="G59" s="637"/>
      <c r="H59" s="637"/>
      <c r="I59" s="637"/>
      <c r="J59" s="637"/>
      <c r="K59" s="637"/>
      <c r="L59" s="625"/>
      <c r="M59" s="626"/>
      <c r="N59" s="626"/>
      <c r="O59" s="607"/>
      <c r="P59" s="608"/>
      <c r="Q59" s="608"/>
      <c r="R59" s="608"/>
      <c r="S59" s="608"/>
      <c r="T59" s="608"/>
      <c r="U59" s="608"/>
      <c r="V59" s="608"/>
      <c r="W59" s="608"/>
      <c r="X59" s="608"/>
      <c r="Y59" s="608"/>
      <c r="Z59" s="608"/>
      <c r="AA59" s="608"/>
      <c r="AB59" s="608"/>
      <c r="AC59" s="608"/>
      <c r="AD59" s="608"/>
      <c r="AE59" s="608"/>
      <c r="AF59" s="608"/>
      <c r="AG59" s="608"/>
      <c r="AH59" s="609"/>
      <c r="AJ59" s="602" t="str">
        <f>IF(COUNTA(E59:AH61)=3,"○","×")</f>
        <v>×</v>
      </c>
    </row>
    <row r="60" spans="1:46" x14ac:dyDescent="0.65">
      <c r="B60" s="596"/>
      <c r="C60" s="624"/>
      <c r="D60" s="624"/>
      <c r="E60" s="636"/>
      <c r="F60" s="637"/>
      <c r="G60" s="637"/>
      <c r="H60" s="637"/>
      <c r="I60" s="637"/>
      <c r="J60" s="637"/>
      <c r="K60" s="637"/>
      <c r="L60" s="625"/>
      <c r="M60" s="626"/>
      <c r="N60" s="626"/>
      <c r="O60" s="610"/>
      <c r="P60" s="611"/>
      <c r="Q60" s="611"/>
      <c r="R60" s="611"/>
      <c r="S60" s="611"/>
      <c r="T60" s="611"/>
      <c r="U60" s="611"/>
      <c r="V60" s="611"/>
      <c r="W60" s="611"/>
      <c r="X60" s="611"/>
      <c r="Y60" s="611"/>
      <c r="Z60" s="611"/>
      <c r="AA60" s="611"/>
      <c r="AB60" s="611"/>
      <c r="AC60" s="611"/>
      <c r="AD60" s="611"/>
      <c r="AE60" s="611"/>
      <c r="AF60" s="611"/>
      <c r="AG60" s="611"/>
      <c r="AH60" s="612"/>
      <c r="AJ60" s="603"/>
    </row>
    <row r="61" spans="1:46" x14ac:dyDescent="0.65">
      <c r="B61" s="635"/>
      <c r="C61" s="635"/>
      <c r="D61" s="635"/>
      <c r="E61" s="637"/>
      <c r="F61" s="637"/>
      <c r="G61" s="637"/>
      <c r="H61" s="637"/>
      <c r="I61" s="637"/>
      <c r="J61" s="637"/>
      <c r="K61" s="637"/>
      <c r="L61" s="626"/>
      <c r="M61" s="626"/>
      <c r="N61" s="626"/>
      <c r="O61" s="613"/>
      <c r="P61" s="614"/>
      <c r="Q61" s="614"/>
      <c r="R61" s="614"/>
      <c r="S61" s="614"/>
      <c r="T61" s="614"/>
      <c r="U61" s="614"/>
      <c r="V61" s="614"/>
      <c r="W61" s="614"/>
      <c r="X61" s="614"/>
      <c r="Y61" s="614"/>
      <c r="Z61" s="614"/>
      <c r="AA61" s="614"/>
      <c r="AB61" s="614"/>
      <c r="AC61" s="614"/>
      <c r="AD61" s="614"/>
      <c r="AE61" s="614"/>
      <c r="AF61" s="614"/>
      <c r="AG61" s="614"/>
      <c r="AH61" s="615"/>
      <c r="AJ61" s="603"/>
    </row>
    <row r="62" spans="1:46" x14ac:dyDescent="0.65">
      <c r="B62" s="596" t="s">
        <v>325</v>
      </c>
      <c r="C62" s="624"/>
      <c r="D62" s="624"/>
      <c r="E62" s="636"/>
      <c r="F62" s="637"/>
      <c r="G62" s="637"/>
      <c r="H62" s="637"/>
      <c r="I62" s="637"/>
      <c r="J62" s="637"/>
      <c r="K62" s="637"/>
      <c r="L62" s="625"/>
      <c r="M62" s="626"/>
      <c r="N62" s="626"/>
      <c r="O62" s="627"/>
      <c r="P62" s="608"/>
      <c r="Q62" s="608"/>
      <c r="R62" s="608"/>
      <c r="S62" s="608"/>
      <c r="T62" s="608"/>
      <c r="U62" s="608"/>
      <c r="V62" s="608"/>
      <c r="W62" s="608"/>
      <c r="X62" s="608"/>
      <c r="Y62" s="608"/>
      <c r="Z62" s="608"/>
      <c r="AA62" s="608"/>
      <c r="AB62" s="608"/>
      <c r="AC62" s="608"/>
      <c r="AD62" s="608"/>
      <c r="AE62" s="608"/>
      <c r="AF62" s="608"/>
      <c r="AG62" s="608"/>
      <c r="AH62" s="609"/>
      <c r="AJ62" s="602" t="str">
        <f t="shared" ref="AJ62" si="14">IF(COUNTA(E62:AH64)=3,"○","×")</f>
        <v>×</v>
      </c>
    </row>
    <row r="63" spans="1:46" x14ac:dyDescent="0.65">
      <c r="B63" s="596"/>
      <c r="C63" s="624"/>
      <c r="D63" s="624"/>
      <c r="E63" s="636"/>
      <c r="F63" s="637"/>
      <c r="G63" s="637"/>
      <c r="H63" s="637"/>
      <c r="I63" s="637"/>
      <c r="J63" s="637"/>
      <c r="K63" s="637"/>
      <c r="L63" s="625"/>
      <c r="M63" s="626"/>
      <c r="N63" s="626"/>
      <c r="O63" s="610"/>
      <c r="P63" s="611"/>
      <c r="Q63" s="611"/>
      <c r="R63" s="611"/>
      <c r="S63" s="611"/>
      <c r="T63" s="611"/>
      <c r="U63" s="611"/>
      <c r="V63" s="611"/>
      <c r="W63" s="611"/>
      <c r="X63" s="611"/>
      <c r="Y63" s="611"/>
      <c r="Z63" s="611"/>
      <c r="AA63" s="611"/>
      <c r="AB63" s="611"/>
      <c r="AC63" s="611"/>
      <c r="AD63" s="611"/>
      <c r="AE63" s="611"/>
      <c r="AF63" s="611"/>
      <c r="AG63" s="611"/>
      <c r="AH63" s="612"/>
      <c r="AJ63" s="603"/>
    </row>
    <row r="64" spans="1:46" x14ac:dyDescent="0.65">
      <c r="B64" s="635"/>
      <c r="C64" s="635"/>
      <c r="D64" s="635"/>
      <c r="E64" s="637"/>
      <c r="F64" s="637"/>
      <c r="G64" s="637"/>
      <c r="H64" s="637"/>
      <c r="I64" s="637"/>
      <c r="J64" s="637"/>
      <c r="K64" s="637"/>
      <c r="L64" s="626"/>
      <c r="M64" s="626"/>
      <c r="N64" s="626"/>
      <c r="O64" s="613"/>
      <c r="P64" s="614"/>
      <c r="Q64" s="614"/>
      <c r="R64" s="614"/>
      <c r="S64" s="614"/>
      <c r="T64" s="614"/>
      <c r="U64" s="614"/>
      <c r="V64" s="614"/>
      <c r="W64" s="614"/>
      <c r="X64" s="614"/>
      <c r="Y64" s="614"/>
      <c r="Z64" s="614"/>
      <c r="AA64" s="614"/>
      <c r="AB64" s="614"/>
      <c r="AC64" s="614"/>
      <c r="AD64" s="614"/>
      <c r="AE64" s="614"/>
      <c r="AF64" s="614"/>
      <c r="AG64" s="614"/>
      <c r="AH64" s="615"/>
      <c r="AJ64" s="603"/>
    </row>
    <row r="65" spans="2:55" x14ac:dyDescent="0.65">
      <c r="B65" s="596" t="s">
        <v>326</v>
      </c>
      <c r="C65" s="624"/>
      <c r="D65" s="624"/>
      <c r="E65" s="636"/>
      <c r="F65" s="637"/>
      <c r="G65" s="637"/>
      <c r="H65" s="637"/>
      <c r="I65" s="637"/>
      <c r="J65" s="637"/>
      <c r="K65" s="637"/>
      <c r="L65" s="625"/>
      <c r="M65" s="626"/>
      <c r="N65" s="626"/>
      <c r="O65" s="607"/>
      <c r="P65" s="608"/>
      <c r="Q65" s="608"/>
      <c r="R65" s="608"/>
      <c r="S65" s="608"/>
      <c r="T65" s="608"/>
      <c r="U65" s="608"/>
      <c r="V65" s="608"/>
      <c r="W65" s="608"/>
      <c r="X65" s="608"/>
      <c r="Y65" s="608"/>
      <c r="Z65" s="608"/>
      <c r="AA65" s="608"/>
      <c r="AB65" s="608"/>
      <c r="AC65" s="608"/>
      <c r="AD65" s="608"/>
      <c r="AE65" s="608"/>
      <c r="AF65" s="608"/>
      <c r="AG65" s="608"/>
      <c r="AH65" s="609"/>
      <c r="AJ65" s="602" t="str">
        <f t="shared" ref="AJ65" si="15">IF(COUNTA(E65:AH67)=3,"○","×")</f>
        <v>×</v>
      </c>
      <c r="BA65" s="331">
        <v>44927</v>
      </c>
      <c r="BB65" s="234" t="str">
        <f>TEXT(BA65,"aaaa")</f>
        <v>日曜日</v>
      </c>
      <c r="BC65" s="234">
        <f>VLOOKUP(BB65,$A$8:$E$14,2,FALSE)</f>
        <v>0</v>
      </c>
    </row>
    <row r="66" spans="2:55" x14ac:dyDescent="0.65">
      <c r="B66" s="596"/>
      <c r="C66" s="624"/>
      <c r="D66" s="624"/>
      <c r="E66" s="636"/>
      <c r="F66" s="637"/>
      <c r="G66" s="637"/>
      <c r="H66" s="637"/>
      <c r="I66" s="637"/>
      <c r="J66" s="637"/>
      <c r="K66" s="637"/>
      <c r="L66" s="625"/>
      <c r="M66" s="626"/>
      <c r="N66" s="626"/>
      <c r="O66" s="610"/>
      <c r="P66" s="611"/>
      <c r="Q66" s="611"/>
      <c r="R66" s="611"/>
      <c r="S66" s="611"/>
      <c r="T66" s="611"/>
      <c r="U66" s="611"/>
      <c r="V66" s="611"/>
      <c r="W66" s="611"/>
      <c r="X66" s="611"/>
      <c r="Y66" s="611"/>
      <c r="Z66" s="611"/>
      <c r="AA66" s="611"/>
      <c r="AB66" s="611"/>
      <c r="AC66" s="611"/>
      <c r="AD66" s="611"/>
      <c r="AE66" s="611"/>
      <c r="AF66" s="611"/>
      <c r="AG66" s="611"/>
      <c r="AH66" s="612"/>
      <c r="AJ66" s="603"/>
      <c r="BA66" s="331">
        <v>44928</v>
      </c>
      <c r="BB66" s="234" t="str">
        <f t="shared" ref="BB66:BB129" si="16">TEXT(BA66,"aaaa")</f>
        <v>月曜日</v>
      </c>
      <c r="BC66" s="234">
        <f t="shared" ref="BC66:BC129" si="17">VLOOKUP(BB66,$A$8:$E$14,2,FALSE)</f>
        <v>0</v>
      </c>
    </row>
    <row r="67" spans="2:55" x14ac:dyDescent="0.65">
      <c r="B67" s="635"/>
      <c r="C67" s="635"/>
      <c r="D67" s="635"/>
      <c r="E67" s="637"/>
      <c r="F67" s="637"/>
      <c r="G67" s="637"/>
      <c r="H67" s="637"/>
      <c r="I67" s="637"/>
      <c r="J67" s="637"/>
      <c r="K67" s="637"/>
      <c r="L67" s="626"/>
      <c r="M67" s="626"/>
      <c r="N67" s="626"/>
      <c r="O67" s="613"/>
      <c r="P67" s="614"/>
      <c r="Q67" s="614"/>
      <c r="R67" s="614"/>
      <c r="S67" s="614"/>
      <c r="T67" s="614"/>
      <c r="U67" s="614"/>
      <c r="V67" s="614"/>
      <c r="W67" s="614"/>
      <c r="X67" s="614"/>
      <c r="Y67" s="614"/>
      <c r="Z67" s="614"/>
      <c r="AA67" s="614"/>
      <c r="AB67" s="614"/>
      <c r="AC67" s="614"/>
      <c r="AD67" s="614"/>
      <c r="AE67" s="614"/>
      <c r="AF67" s="614"/>
      <c r="AG67" s="614"/>
      <c r="AH67" s="615"/>
      <c r="AJ67" s="603"/>
      <c r="BA67" s="331">
        <v>44929</v>
      </c>
      <c r="BB67" s="234" t="str">
        <f t="shared" si="16"/>
        <v>火曜日</v>
      </c>
      <c r="BC67" s="234">
        <f t="shared" si="17"/>
        <v>0</v>
      </c>
    </row>
    <row r="68" spans="2:55" x14ac:dyDescent="0.65">
      <c r="BA68" s="331">
        <v>44930</v>
      </c>
      <c r="BB68" s="234" t="str">
        <f t="shared" si="16"/>
        <v>水曜日</v>
      </c>
      <c r="BC68" s="234">
        <f t="shared" si="17"/>
        <v>0</v>
      </c>
    </row>
    <row r="69" spans="2:55" x14ac:dyDescent="0.65">
      <c r="BA69" s="331">
        <v>44931</v>
      </c>
      <c r="BB69" s="234" t="str">
        <f t="shared" si="16"/>
        <v>木曜日</v>
      </c>
      <c r="BC69" s="234">
        <f t="shared" si="17"/>
        <v>0</v>
      </c>
    </row>
    <row r="70" spans="2:55" x14ac:dyDescent="0.65">
      <c r="BA70" s="331">
        <v>44932</v>
      </c>
      <c r="BB70" s="234" t="str">
        <f t="shared" si="16"/>
        <v>金曜日</v>
      </c>
      <c r="BC70" s="234">
        <f t="shared" si="17"/>
        <v>0</v>
      </c>
    </row>
    <row r="71" spans="2:55" x14ac:dyDescent="0.65">
      <c r="BA71" s="331">
        <v>44933</v>
      </c>
      <c r="BB71" s="234" t="str">
        <f t="shared" si="16"/>
        <v>土曜日</v>
      </c>
      <c r="BC71" s="234">
        <f t="shared" si="17"/>
        <v>0</v>
      </c>
    </row>
    <row r="72" spans="2:55" x14ac:dyDescent="0.65">
      <c r="BA72" s="331">
        <v>44934</v>
      </c>
      <c r="BB72" s="234" t="str">
        <f t="shared" si="16"/>
        <v>日曜日</v>
      </c>
      <c r="BC72" s="234">
        <f t="shared" si="17"/>
        <v>0</v>
      </c>
    </row>
    <row r="73" spans="2:55" x14ac:dyDescent="0.65">
      <c r="BA73" s="331">
        <v>44935</v>
      </c>
      <c r="BB73" s="234" t="str">
        <f t="shared" si="16"/>
        <v>月曜日</v>
      </c>
      <c r="BC73" s="234">
        <f t="shared" si="17"/>
        <v>0</v>
      </c>
    </row>
    <row r="74" spans="2:55" x14ac:dyDescent="0.65">
      <c r="BA74" s="331">
        <v>44936</v>
      </c>
      <c r="BB74" s="234" t="str">
        <f t="shared" si="16"/>
        <v>火曜日</v>
      </c>
      <c r="BC74" s="234">
        <f t="shared" si="17"/>
        <v>0</v>
      </c>
    </row>
    <row r="75" spans="2:55" x14ac:dyDescent="0.65">
      <c r="BA75" s="331">
        <v>44937</v>
      </c>
      <c r="BB75" s="234" t="str">
        <f t="shared" si="16"/>
        <v>水曜日</v>
      </c>
      <c r="BC75" s="234">
        <f t="shared" si="17"/>
        <v>0</v>
      </c>
    </row>
    <row r="76" spans="2:55" x14ac:dyDescent="0.65">
      <c r="BA76" s="331">
        <v>44938</v>
      </c>
      <c r="BB76" s="234" t="str">
        <f t="shared" si="16"/>
        <v>木曜日</v>
      </c>
      <c r="BC76" s="234">
        <f t="shared" si="17"/>
        <v>0</v>
      </c>
    </row>
    <row r="77" spans="2:55" x14ac:dyDescent="0.65">
      <c r="BA77" s="331">
        <v>44939</v>
      </c>
      <c r="BB77" s="234" t="str">
        <f t="shared" si="16"/>
        <v>金曜日</v>
      </c>
      <c r="BC77" s="234">
        <f t="shared" si="17"/>
        <v>0</v>
      </c>
    </row>
    <row r="78" spans="2:55" x14ac:dyDescent="0.65">
      <c r="BA78" s="331">
        <v>44940</v>
      </c>
      <c r="BB78" s="234" t="str">
        <f t="shared" si="16"/>
        <v>土曜日</v>
      </c>
      <c r="BC78" s="234">
        <f t="shared" si="17"/>
        <v>0</v>
      </c>
    </row>
    <row r="79" spans="2:55" x14ac:dyDescent="0.65">
      <c r="BA79" s="331">
        <v>44941</v>
      </c>
      <c r="BB79" s="234" t="str">
        <f t="shared" si="16"/>
        <v>日曜日</v>
      </c>
      <c r="BC79" s="234">
        <f t="shared" si="17"/>
        <v>0</v>
      </c>
    </row>
    <row r="80" spans="2:55" x14ac:dyDescent="0.65">
      <c r="BA80" s="331">
        <v>44942</v>
      </c>
      <c r="BB80" s="234" t="str">
        <f t="shared" si="16"/>
        <v>月曜日</v>
      </c>
      <c r="BC80" s="234">
        <f t="shared" si="17"/>
        <v>0</v>
      </c>
    </row>
    <row r="81" spans="53:55" x14ac:dyDescent="0.65">
      <c r="BA81" s="331">
        <v>44943</v>
      </c>
      <c r="BB81" s="234" t="str">
        <f t="shared" si="16"/>
        <v>火曜日</v>
      </c>
      <c r="BC81" s="234">
        <f t="shared" si="17"/>
        <v>0</v>
      </c>
    </row>
    <row r="82" spans="53:55" x14ac:dyDescent="0.65">
      <c r="BA82" s="331">
        <v>44944</v>
      </c>
      <c r="BB82" s="234" t="str">
        <f t="shared" si="16"/>
        <v>水曜日</v>
      </c>
      <c r="BC82" s="234">
        <f t="shared" si="17"/>
        <v>0</v>
      </c>
    </row>
    <row r="83" spans="53:55" x14ac:dyDescent="0.65">
      <c r="BA83" s="331">
        <v>44945</v>
      </c>
      <c r="BB83" s="234" t="str">
        <f t="shared" si="16"/>
        <v>木曜日</v>
      </c>
      <c r="BC83" s="234">
        <f t="shared" si="17"/>
        <v>0</v>
      </c>
    </row>
    <row r="84" spans="53:55" x14ac:dyDescent="0.65">
      <c r="BA84" s="331">
        <v>44946</v>
      </c>
      <c r="BB84" s="234" t="str">
        <f t="shared" si="16"/>
        <v>金曜日</v>
      </c>
      <c r="BC84" s="234">
        <f t="shared" si="17"/>
        <v>0</v>
      </c>
    </row>
    <row r="85" spans="53:55" x14ac:dyDescent="0.65">
      <c r="BA85" s="331">
        <v>44947</v>
      </c>
      <c r="BB85" s="234" t="str">
        <f t="shared" si="16"/>
        <v>土曜日</v>
      </c>
      <c r="BC85" s="234">
        <f t="shared" si="17"/>
        <v>0</v>
      </c>
    </row>
    <row r="86" spans="53:55" x14ac:dyDescent="0.65">
      <c r="BA86" s="331">
        <v>44948</v>
      </c>
      <c r="BB86" s="234" t="str">
        <f t="shared" si="16"/>
        <v>日曜日</v>
      </c>
      <c r="BC86" s="234">
        <f t="shared" si="17"/>
        <v>0</v>
      </c>
    </row>
    <row r="87" spans="53:55" x14ac:dyDescent="0.65">
      <c r="BA87" s="331">
        <v>44949</v>
      </c>
      <c r="BB87" s="234" t="str">
        <f t="shared" si="16"/>
        <v>月曜日</v>
      </c>
      <c r="BC87" s="234">
        <f t="shared" si="17"/>
        <v>0</v>
      </c>
    </row>
    <row r="88" spans="53:55" x14ac:dyDescent="0.65">
      <c r="BA88" s="331">
        <v>44950</v>
      </c>
      <c r="BB88" s="234" t="str">
        <f t="shared" si="16"/>
        <v>火曜日</v>
      </c>
      <c r="BC88" s="234">
        <f t="shared" si="17"/>
        <v>0</v>
      </c>
    </row>
    <row r="89" spans="53:55" x14ac:dyDescent="0.65">
      <c r="BA89" s="331">
        <v>44951</v>
      </c>
      <c r="BB89" s="234" t="str">
        <f t="shared" si="16"/>
        <v>水曜日</v>
      </c>
      <c r="BC89" s="234">
        <f t="shared" si="17"/>
        <v>0</v>
      </c>
    </row>
    <row r="90" spans="53:55" x14ac:dyDescent="0.65">
      <c r="BA90" s="331">
        <v>44952</v>
      </c>
      <c r="BB90" s="234" t="str">
        <f t="shared" si="16"/>
        <v>木曜日</v>
      </c>
      <c r="BC90" s="234">
        <f t="shared" si="17"/>
        <v>0</v>
      </c>
    </row>
    <row r="91" spans="53:55" x14ac:dyDescent="0.65">
      <c r="BA91" s="331">
        <v>44953</v>
      </c>
      <c r="BB91" s="234" t="str">
        <f t="shared" si="16"/>
        <v>金曜日</v>
      </c>
      <c r="BC91" s="234">
        <f t="shared" si="17"/>
        <v>0</v>
      </c>
    </row>
    <row r="92" spans="53:55" x14ac:dyDescent="0.65">
      <c r="BA92" s="331">
        <v>44954</v>
      </c>
      <c r="BB92" s="234" t="str">
        <f t="shared" si="16"/>
        <v>土曜日</v>
      </c>
      <c r="BC92" s="234">
        <f t="shared" si="17"/>
        <v>0</v>
      </c>
    </row>
    <row r="93" spans="53:55" x14ac:dyDescent="0.65">
      <c r="BA93" s="331">
        <v>44955</v>
      </c>
      <c r="BB93" s="234" t="str">
        <f t="shared" si="16"/>
        <v>日曜日</v>
      </c>
      <c r="BC93" s="234">
        <f t="shared" si="17"/>
        <v>0</v>
      </c>
    </row>
    <row r="94" spans="53:55" x14ac:dyDescent="0.65">
      <c r="BA94" s="331">
        <v>44956</v>
      </c>
      <c r="BB94" s="234" t="str">
        <f t="shared" si="16"/>
        <v>月曜日</v>
      </c>
      <c r="BC94" s="234">
        <f t="shared" si="17"/>
        <v>0</v>
      </c>
    </row>
    <row r="95" spans="53:55" x14ac:dyDescent="0.65">
      <c r="BA95" s="331">
        <v>44957</v>
      </c>
      <c r="BB95" s="234" t="str">
        <f t="shared" si="16"/>
        <v>火曜日</v>
      </c>
      <c r="BC95" s="234">
        <f t="shared" si="17"/>
        <v>0</v>
      </c>
    </row>
    <row r="96" spans="53:55" x14ac:dyDescent="0.65">
      <c r="BA96" s="331">
        <v>44958</v>
      </c>
      <c r="BB96" s="234" t="str">
        <f t="shared" si="16"/>
        <v>水曜日</v>
      </c>
      <c r="BC96" s="234">
        <f t="shared" si="17"/>
        <v>0</v>
      </c>
    </row>
    <row r="97" spans="53:55" x14ac:dyDescent="0.65">
      <c r="BA97" s="331">
        <v>44959</v>
      </c>
      <c r="BB97" s="234" t="str">
        <f t="shared" si="16"/>
        <v>木曜日</v>
      </c>
      <c r="BC97" s="234">
        <f t="shared" si="17"/>
        <v>0</v>
      </c>
    </row>
    <row r="98" spans="53:55" x14ac:dyDescent="0.65">
      <c r="BA98" s="331">
        <v>44960</v>
      </c>
      <c r="BB98" s="234" t="str">
        <f t="shared" si="16"/>
        <v>金曜日</v>
      </c>
      <c r="BC98" s="234">
        <f t="shared" si="17"/>
        <v>0</v>
      </c>
    </row>
    <row r="99" spans="53:55" x14ac:dyDescent="0.65">
      <c r="BA99" s="331">
        <v>44961</v>
      </c>
      <c r="BB99" s="234" t="str">
        <f t="shared" si="16"/>
        <v>土曜日</v>
      </c>
      <c r="BC99" s="234">
        <f t="shared" si="17"/>
        <v>0</v>
      </c>
    </row>
    <row r="100" spans="53:55" x14ac:dyDescent="0.65">
      <c r="BA100" s="331">
        <v>44962</v>
      </c>
      <c r="BB100" s="234" t="str">
        <f t="shared" si="16"/>
        <v>日曜日</v>
      </c>
      <c r="BC100" s="234">
        <f t="shared" si="17"/>
        <v>0</v>
      </c>
    </row>
    <row r="101" spans="53:55" x14ac:dyDescent="0.65">
      <c r="BA101" s="331">
        <v>44963</v>
      </c>
      <c r="BB101" s="234" t="str">
        <f t="shared" si="16"/>
        <v>月曜日</v>
      </c>
      <c r="BC101" s="234">
        <f t="shared" si="17"/>
        <v>0</v>
      </c>
    </row>
    <row r="102" spans="53:55" x14ac:dyDescent="0.65">
      <c r="BA102" s="331">
        <v>44964</v>
      </c>
      <c r="BB102" s="234" t="str">
        <f t="shared" si="16"/>
        <v>火曜日</v>
      </c>
      <c r="BC102" s="234">
        <f t="shared" si="17"/>
        <v>0</v>
      </c>
    </row>
    <row r="103" spans="53:55" x14ac:dyDescent="0.65">
      <c r="BA103" s="331">
        <v>44965</v>
      </c>
      <c r="BB103" s="234" t="str">
        <f t="shared" si="16"/>
        <v>水曜日</v>
      </c>
      <c r="BC103" s="234">
        <f t="shared" si="17"/>
        <v>0</v>
      </c>
    </row>
    <row r="104" spans="53:55" x14ac:dyDescent="0.65">
      <c r="BA104" s="331">
        <v>44966</v>
      </c>
      <c r="BB104" s="234" t="str">
        <f t="shared" si="16"/>
        <v>木曜日</v>
      </c>
      <c r="BC104" s="234">
        <f t="shared" si="17"/>
        <v>0</v>
      </c>
    </row>
    <row r="105" spans="53:55" x14ac:dyDescent="0.65">
      <c r="BA105" s="331">
        <v>44967</v>
      </c>
      <c r="BB105" s="234" t="str">
        <f t="shared" si="16"/>
        <v>金曜日</v>
      </c>
      <c r="BC105" s="234">
        <f t="shared" si="17"/>
        <v>0</v>
      </c>
    </row>
    <row r="106" spans="53:55" x14ac:dyDescent="0.65">
      <c r="BA106" s="331">
        <v>44968</v>
      </c>
      <c r="BB106" s="234" t="str">
        <f t="shared" si="16"/>
        <v>土曜日</v>
      </c>
      <c r="BC106" s="234">
        <f t="shared" si="17"/>
        <v>0</v>
      </c>
    </row>
    <row r="107" spans="53:55" x14ac:dyDescent="0.65">
      <c r="BA107" s="331">
        <v>44969</v>
      </c>
      <c r="BB107" s="234" t="str">
        <f t="shared" si="16"/>
        <v>日曜日</v>
      </c>
      <c r="BC107" s="234">
        <f t="shared" si="17"/>
        <v>0</v>
      </c>
    </row>
    <row r="108" spans="53:55" x14ac:dyDescent="0.65">
      <c r="BA108" s="331">
        <v>44970</v>
      </c>
      <c r="BB108" s="234" t="str">
        <f t="shared" si="16"/>
        <v>月曜日</v>
      </c>
      <c r="BC108" s="234">
        <f t="shared" si="17"/>
        <v>0</v>
      </c>
    </row>
    <row r="109" spans="53:55" x14ac:dyDescent="0.65">
      <c r="BA109" s="331">
        <v>44971</v>
      </c>
      <c r="BB109" s="234" t="str">
        <f t="shared" si="16"/>
        <v>火曜日</v>
      </c>
      <c r="BC109" s="234">
        <f t="shared" si="17"/>
        <v>0</v>
      </c>
    </row>
    <row r="110" spans="53:55" x14ac:dyDescent="0.65">
      <c r="BA110" s="331">
        <v>44972</v>
      </c>
      <c r="BB110" s="234" t="str">
        <f t="shared" si="16"/>
        <v>水曜日</v>
      </c>
      <c r="BC110" s="234">
        <f t="shared" si="17"/>
        <v>0</v>
      </c>
    </row>
    <row r="111" spans="53:55" x14ac:dyDescent="0.65">
      <c r="BA111" s="331">
        <v>44973</v>
      </c>
      <c r="BB111" s="234" t="str">
        <f t="shared" si="16"/>
        <v>木曜日</v>
      </c>
      <c r="BC111" s="234">
        <f t="shared" si="17"/>
        <v>0</v>
      </c>
    </row>
    <row r="112" spans="53:55" x14ac:dyDescent="0.65">
      <c r="BA112" s="331">
        <v>44974</v>
      </c>
      <c r="BB112" s="234" t="str">
        <f t="shared" si="16"/>
        <v>金曜日</v>
      </c>
      <c r="BC112" s="234">
        <f t="shared" si="17"/>
        <v>0</v>
      </c>
    </row>
    <row r="113" spans="53:55" x14ac:dyDescent="0.65">
      <c r="BA113" s="331">
        <v>44975</v>
      </c>
      <c r="BB113" s="234" t="str">
        <f t="shared" si="16"/>
        <v>土曜日</v>
      </c>
      <c r="BC113" s="234">
        <f t="shared" si="17"/>
        <v>0</v>
      </c>
    </row>
    <row r="114" spans="53:55" x14ac:dyDescent="0.65">
      <c r="BA114" s="331">
        <v>44976</v>
      </c>
      <c r="BB114" s="234" t="str">
        <f t="shared" si="16"/>
        <v>日曜日</v>
      </c>
      <c r="BC114" s="234">
        <f t="shared" si="17"/>
        <v>0</v>
      </c>
    </row>
    <row r="115" spans="53:55" x14ac:dyDescent="0.65">
      <c r="BA115" s="331">
        <v>44977</v>
      </c>
      <c r="BB115" s="234" t="str">
        <f t="shared" si="16"/>
        <v>月曜日</v>
      </c>
      <c r="BC115" s="234">
        <f t="shared" si="17"/>
        <v>0</v>
      </c>
    </row>
    <row r="116" spans="53:55" x14ac:dyDescent="0.65">
      <c r="BA116" s="331">
        <v>44978</v>
      </c>
      <c r="BB116" s="234" t="str">
        <f t="shared" si="16"/>
        <v>火曜日</v>
      </c>
      <c r="BC116" s="234">
        <f t="shared" si="17"/>
        <v>0</v>
      </c>
    </row>
    <row r="117" spans="53:55" x14ac:dyDescent="0.65">
      <c r="BA117" s="331">
        <v>44979</v>
      </c>
      <c r="BB117" s="234" t="str">
        <f t="shared" si="16"/>
        <v>水曜日</v>
      </c>
      <c r="BC117" s="234">
        <f t="shared" si="17"/>
        <v>0</v>
      </c>
    </row>
    <row r="118" spans="53:55" x14ac:dyDescent="0.65">
      <c r="BA118" s="331">
        <v>44980</v>
      </c>
      <c r="BB118" s="234" t="str">
        <f t="shared" si="16"/>
        <v>木曜日</v>
      </c>
      <c r="BC118" s="234">
        <f t="shared" si="17"/>
        <v>0</v>
      </c>
    </row>
    <row r="119" spans="53:55" x14ac:dyDescent="0.65">
      <c r="BA119" s="331">
        <v>44981</v>
      </c>
      <c r="BB119" s="234" t="str">
        <f t="shared" si="16"/>
        <v>金曜日</v>
      </c>
      <c r="BC119" s="234">
        <f t="shared" si="17"/>
        <v>0</v>
      </c>
    </row>
    <row r="120" spans="53:55" x14ac:dyDescent="0.65">
      <c r="BA120" s="331">
        <v>44982</v>
      </c>
      <c r="BB120" s="234" t="str">
        <f t="shared" si="16"/>
        <v>土曜日</v>
      </c>
      <c r="BC120" s="234">
        <f t="shared" si="17"/>
        <v>0</v>
      </c>
    </row>
    <row r="121" spans="53:55" x14ac:dyDescent="0.65">
      <c r="BA121" s="331">
        <v>44983</v>
      </c>
      <c r="BB121" s="234" t="str">
        <f t="shared" si="16"/>
        <v>日曜日</v>
      </c>
      <c r="BC121" s="234">
        <f t="shared" si="17"/>
        <v>0</v>
      </c>
    </row>
    <row r="122" spans="53:55" x14ac:dyDescent="0.65">
      <c r="BA122" s="331">
        <v>44984</v>
      </c>
      <c r="BB122" s="234" t="str">
        <f t="shared" si="16"/>
        <v>月曜日</v>
      </c>
      <c r="BC122" s="234">
        <f t="shared" si="17"/>
        <v>0</v>
      </c>
    </row>
    <row r="123" spans="53:55" x14ac:dyDescent="0.65">
      <c r="BA123" s="331">
        <v>44985</v>
      </c>
      <c r="BB123" s="234" t="str">
        <f t="shared" si="16"/>
        <v>火曜日</v>
      </c>
      <c r="BC123" s="234">
        <f t="shared" si="17"/>
        <v>0</v>
      </c>
    </row>
    <row r="124" spans="53:55" x14ac:dyDescent="0.65">
      <c r="BA124" s="331">
        <v>44986</v>
      </c>
      <c r="BB124" s="234" t="str">
        <f t="shared" si="16"/>
        <v>水曜日</v>
      </c>
      <c r="BC124" s="234">
        <f t="shared" si="17"/>
        <v>0</v>
      </c>
    </row>
    <row r="125" spans="53:55" x14ac:dyDescent="0.65">
      <c r="BA125" s="331">
        <v>44987</v>
      </c>
      <c r="BB125" s="234" t="str">
        <f t="shared" si="16"/>
        <v>木曜日</v>
      </c>
      <c r="BC125" s="234">
        <f t="shared" si="17"/>
        <v>0</v>
      </c>
    </row>
    <row r="126" spans="53:55" x14ac:dyDescent="0.65">
      <c r="BA126" s="331">
        <v>44988</v>
      </c>
      <c r="BB126" s="234" t="str">
        <f t="shared" si="16"/>
        <v>金曜日</v>
      </c>
      <c r="BC126" s="234">
        <f t="shared" si="17"/>
        <v>0</v>
      </c>
    </row>
    <row r="127" spans="53:55" x14ac:dyDescent="0.65">
      <c r="BA127" s="331">
        <v>44989</v>
      </c>
      <c r="BB127" s="234" t="str">
        <f t="shared" si="16"/>
        <v>土曜日</v>
      </c>
      <c r="BC127" s="234">
        <f t="shared" si="17"/>
        <v>0</v>
      </c>
    </row>
    <row r="128" spans="53:55" x14ac:dyDescent="0.65">
      <c r="BA128" s="331">
        <v>44990</v>
      </c>
      <c r="BB128" s="234" t="str">
        <f t="shared" si="16"/>
        <v>日曜日</v>
      </c>
      <c r="BC128" s="234">
        <f t="shared" si="17"/>
        <v>0</v>
      </c>
    </row>
    <row r="129" spans="53:55" x14ac:dyDescent="0.65">
      <c r="BA129" s="331">
        <v>44991</v>
      </c>
      <c r="BB129" s="234" t="str">
        <f t="shared" si="16"/>
        <v>月曜日</v>
      </c>
      <c r="BC129" s="234">
        <f t="shared" si="17"/>
        <v>0</v>
      </c>
    </row>
    <row r="130" spans="53:55" x14ac:dyDescent="0.65">
      <c r="BA130" s="331">
        <v>44992</v>
      </c>
      <c r="BB130" s="234" t="str">
        <f t="shared" ref="BB130:BB193" si="18">TEXT(BA130,"aaaa")</f>
        <v>火曜日</v>
      </c>
      <c r="BC130" s="234">
        <f t="shared" ref="BC130:BC193" si="19">VLOOKUP(BB130,$A$8:$E$14,2,FALSE)</f>
        <v>0</v>
      </c>
    </row>
    <row r="131" spans="53:55" x14ac:dyDescent="0.65">
      <c r="BA131" s="331">
        <v>44993</v>
      </c>
      <c r="BB131" s="234" t="str">
        <f t="shared" si="18"/>
        <v>水曜日</v>
      </c>
      <c r="BC131" s="234">
        <f t="shared" si="19"/>
        <v>0</v>
      </c>
    </row>
    <row r="132" spans="53:55" x14ac:dyDescent="0.65">
      <c r="BA132" s="331">
        <v>44994</v>
      </c>
      <c r="BB132" s="234" t="str">
        <f t="shared" si="18"/>
        <v>木曜日</v>
      </c>
      <c r="BC132" s="234">
        <f t="shared" si="19"/>
        <v>0</v>
      </c>
    </row>
    <row r="133" spans="53:55" x14ac:dyDescent="0.65">
      <c r="BA133" s="331">
        <v>44995</v>
      </c>
      <c r="BB133" s="234" t="str">
        <f t="shared" si="18"/>
        <v>金曜日</v>
      </c>
      <c r="BC133" s="234">
        <f t="shared" si="19"/>
        <v>0</v>
      </c>
    </row>
    <row r="134" spans="53:55" x14ac:dyDescent="0.65">
      <c r="BA134" s="331">
        <v>44996</v>
      </c>
      <c r="BB134" s="234" t="str">
        <f t="shared" si="18"/>
        <v>土曜日</v>
      </c>
      <c r="BC134" s="234">
        <f t="shared" si="19"/>
        <v>0</v>
      </c>
    </row>
    <row r="135" spans="53:55" x14ac:dyDescent="0.65">
      <c r="BA135" s="331">
        <v>44997</v>
      </c>
      <c r="BB135" s="234" t="str">
        <f t="shared" si="18"/>
        <v>日曜日</v>
      </c>
      <c r="BC135" s="234">
        <f t="shared" si="19"/>
        <v>0</v>
      </c>
    </row>
    <row r="136" spans="53:55" x14ac:dyDescent="0.65">
      <c r="BA136" s="331">
        <v>44998</v>
      </c>
      <c r="BB136" s="234" t="str">
        <f t="shared" si="18"/>
        <v>月曜日</v>
      </c>
      <c r="BC136" s="234">
        <f t="shared" si="19"/>
        <v>0</v>
      </c>
    </row>
    <row r="137" spans="53:55" x14ac:dyDescent="0.65">
      <c r="BA137" s="331">
        <v>44999</v>
      </c>
      <c r="BB137" s="234" t="str">
        <f t="shared" si="18"/>
        <v>火曜日</v>
      </c>
      <c r="BC137" s="234">
        <f t="shared" si="19"/>
        <v>0</v>
      </c>
    </row>
    <row r="138" spans="53:55" x14ac:dyDescent="0.65">
      <c r="BA138" s="331">
        <v>45000</v>
      </c>
      <c r="BB138" s="234" t="str">
        <f t="shared" si="18"/>
        <v>水曜日</v>
      </c>
      <c r="BC138" s="234">
        <f t="shared" si="19"/>
        <v>0</v>
      </c>
    </row>
    <row r="139" spans="53:55" x14ac:dyDescent="0.65">
      <c r="BA139" s="331">
        <v>45001</v>
      </c>
      <c r="BB139" s="234" t="str">
        <f t="shared" si="18"/>
        <v>木曜日</v>
      </c>
      <c r="BC139" s="234">
        <f t="shared" si="19"/>
        <v>0</v>
      </c>
    </row>
    <row r="140" spans="53:55" x14ac:dyDescent="0.65">
      <c r="BA140" s="331">
        <v>45002</v>
      </c>
      <c r="BB140" s="234" t="str">
        <f t="shared" si="18"/>
        <v>金曜日</v>
      </c>
      <c r="BC140" s="234">
        <f t="shared" si="19"/>
        <v>0</v>
      </c>
    </row>
    <row r="141" spans="53:55" x14ac:dyDescent="0.65">
      <c r="BA141" s="331">
        <v>45003</v>
      </c>
      <c r="BB141" s="234" t="str">
        <f t="shared" si="18"/>
        <v>土曜日</v>
      </c>
      <c r="BC141" s="234">
        <f t="shared" si="19"/>
        <v>0</v>
      </c>
    </row>
    <row r="142" spans="53:55" x14ac:dyDescent="0.65">
      <c r="BA142" s="331">
        <v>45004</v>
      </c>
      <c r="BB142" s="234" t="str">
        <f t="shared" si="18"/>
        <v>日曜日</v>
      </c>
      <c r="BC142" s="234">
        <f t="shared" si="19"/>
        <v>0</v>
      </c>
    </row>
    <row r="143" spans="53:55" x14ac:dyDescent="0.65">
      <c r="BA143" s="331">
        <v>45005</v>
      </c>
      <c r="BB143" s="234" t="str">
        <f t="shared" si="18"/>
        <v>月曜日</v>
      </c>
      <c r="BC143" s="234">
        <f t="shared" si="19"/>
        <v>0</v>
      </c>
    </row>
    <row r="144" spans="53:55" x14ac:dyDescent="0.65">
      <c r="BA144" s="331">
        <v>45006</v>
      </c>
      <c r="BB144" s="234" t="str">
        <f t="shared" si="18"/>
        <v>火曜日</v>
      </c>
      <c r="BC144" s="234">
        <f t="shared" si="19"/>
        <v>0</v>
      </c>
    </row>
    <row r="145" spans="53:55" x14ac:dyDescent="0.65">
      <c r="BA145" s="331">
        <v>45007</v>
      </c>
      <c r="BB145" s="234" t="str">
        <f t="shared" si="18"/>
        <v>水曜日</v>
      </c>
      <c r="BC145" s="234">
        <f t="shared" si="19"/>
        <v>0</v>
      </c>
    </row>
    <row r="146" spans="53:55" x14ac:dyDescent="0.65">
      <c r="BA146" s="331">
        <v>45008</v>
      </c>
      <c r="BB146" s="234" t="str">
        <f t="shared" si="18"/>
        <v>木曜日</v>
      </c>
      <c r="BC146" s="234">
        <f t="shared" si="19"/>
        <v>0</v>
      </c>
    </row>
    <row r="147" spans="53:55" x14ac:dyDescent="0.65">
      <c r="BA147" s="331">
        <v>45009</v>
      </c>
      <c r="BB147" s="234" t="str">
        <f t="shared" si="18"/>
        <v>金曜日</v>
      </c>
      <c r="BC147" s="234">
        <f t="shared" si="19"/>
        <v>0</v>
      </c>
    </row>
    <row r="148" spans="53:55" x14ac:dyDescent="0.65">
      <c r="BA148" s="331">
        <v>45010</v>
      </c>
      <c r="BB148" s="234" t="str">
        <f t="shared" si="18"/>
        <v>土曜日</v>
      </c>
      <c r="BC148" s="234">
        <f t="shared" si="19"/>
        <v>0</v>
      </c>
    </row>
    <row r="149" spans="53:55" x14ac:dyDescent="0.65">
      <c r="BA149" s="331">
        <v>45011</v>
      </c>
      <c r="BB149" s="234" t="str">
        <f t="shared" si="18"/>
        <v>日曜日</v>
      </c>
      <c r="BC149" s="234">
        <f t="shared" si="19"/>
        <v>0</v>
      </c>
    </row>
    <row r="150" spans="53:55" x14ac:dyDescent="0.65">
      <c r="BA150" s="331">
        <v>45012</v>
      </c>
      <c r="BB150" s="234" t="str">
        <f t="shared" si="18"/>
        <v>月曜日</v>
      </c>
      <c r="BC150" s="234">
        <f t="shared" si="19"/>
        <v>0</v>
      </c>
    </row>
    <row r="151" spans="53:55" x14ac:dyDescent="0.65">
      <c r="BA151" s="331">
        <v>45013</v>
      </c>
      <c r="BB151" s="234" t="str">
        <f t="shared" si="18"/>
        <v>火曜日</v>
      </c>
      <c r="BC151" s="234">
        <f t="shared" si="19"/>
        <v>0</v>
      </c>
    </row>
    <row r="152" spans="53:55" x14ac:dyDescent="0.65">
      <c r="BA152" s="331">
        <v>45014</v>
      </c>
      <c r="BB152" s="234" t="str">
        <f t="shared" si="18"/>
        <v>水曜日</v>
      </c>
      <c r="BC152" s="234">
        <f t="shared" si="19"/>
        <v>0</v>
      </c>
    </row>
    <row r="153" spans="53:55" x14ac:dyDescent="0.65">
      <c r="BA153" s="331">
        <v>45015</v>
      </c>
      <c r="BB153" s="234" t="str">
        <f t="shared" si="18"/>
        <v>木曜日</v>
      </c>
      <c r="BC153" s="234">
        <f t="shared" si="19"/>
        <v>0</v>
      </c>
    </row>
    <row r="154" spans="53:55" x14ac:dyDescent="0.65">
      <c r="BA154" s="331">
        <v>45016</v>
      </c>
      <c r="BB154" s="234" t="str">
        <f t="shared" si="18"/>
        <v>金曜日</v>
      </c>
      <c r="BC154" s="234">
        <f t="shared" si="19"/>
        <v>0</v>
      </c>
    </row>
    <row r="155" spans="53:55" x14ac:dyDescent="0.65">
      <c r="BA155" s="331">
        <v>45017</v>
      </c>
      <c r="BB155" s="234" t="str">
        <f t="shared" si="18"/>
        <v>土曜日</v>
      </c>
      <c r="BC155" s="234">
        <f t="shared" si="19"/>
        <v>0</v>
      </c>
    </row>
    <row r="156" spans="53:55" x14ac:dyDescent="0.65">
      <c r="BA156" s="331">
        <v>45018</v>
      </c>
      <c r="BB156" s="234" t="str">
        <f t="shared" si="18"/>
        <v>日曜日</v>
      </c>
      <c r="BC156" s="234">
        <f t="shared" si="19"/>
        <v>0</v>
      </c>
    </row>
    <row r="157" spans="53:55" x14ac:dyDescent="0.65">
      <c r="BA157" s="331">
        <v>45019</v>
      </c>
      <c r="BB157" s="234" t="str">
        <f t="shared" si="18"/>
        <v>月曜日</v>
      </c>
      <c r="BC157" s="234">
        <f t="shared" si="19"/>
        <v>0</v>
      </c>
    </row>
    <row r="158" spans="53:55" x14ac:dyDescent="0.65">
      <c r="BA158" s="331">
        <v>45020</v>
      </c>
      <c r="BB158" s="234" t="str">
        <f t="shared" si="18"/>
        <v>火曜日</v>
      </c>
      <c r="BC158" s="234">
        <f t="shared" si="19"/>
        <v>0</v>
      </c>
    </row>
    <row r="159" spans="53:55" x14ac:dyDescent="0.65">
      <c r="BA159" s="331">
        <v>45021</v>
      </c>
      <c r="BB159" s="234" t="str">
        <f t="shared" si="18"/>
        <v>水曜日</v>
      </c>
      <c r="BC159" s="234">
        <f t="shared" si="19"/>
        <v>0</v>
      </c>
    </row>
    <row r="160" spans="53:55" x14ac:dyDescent="0.65">
      <c r="BA160" s="331">
        <v>45022</v>
      </c>
      <c r="BB160" s="234" t="str">
        <f t="shared" si="18"/>
        <v>木曜日</v>
      </c>
      <c r="BC160" s="234">
        <f t="shared" si="19"/>
        <v>0</v>
      </c>
    </row>
    <row r="161" spans="53:55" x14ac:dyDescent="0.65">
      <c r="BA161" s="331">
        <v>45023</v>
      </c>
      <c r="BB161" s="234" t="str">
        <f t="shared" si="18"/>
        <v>金曜日</v>
      </c>
      <c r="BC161" s="234">
        <f t="shared" si="19"/>
        <v>0</v>
      </c>
    </row>
    <row r="162" spans="53:55" x14ac:dyDescent="0.65">
      <c r="BA162" s="331">
        <v>45024</v>
      </c>
      <c r="BB162" s="234" t="str">
        <f t="shared" si="18"/>
        <v>土曜日</v>
      </c>
      <c r="BC162" s="234">
        <f t="shared" si="19"/>
        <v>0</v>
      </c>
    </row>
    <row r="163" spans="53:55" x14ac:dyDescent="0.65">
      <c r="BA163" s="331">
        <v>45025</v>
      </c>
      <c r="BB163" s="234" t="str">
        <f t="shared" si="18"/>
        <v>日曜日</v>
      </c>
      <c r="BC163" s="234">
        <f t="shared" si="19"/>
        <v>0</v>
      </c>
    </row>
    <row r="164" spans="53:55" x14ac:dyDescent="0.65">
      <c r="BA164" s="331">
        <v>45026</v>
      </c>
      <c r="BB164" s="234" t="str">
        <f t="shared" si="18"/>
        <v>月曜日</v>
      </c>
      <c r="BC164" s="234">
        <f t="shared" si="19"/>
        <v>0</v>
      </c>
    </row>
    <row r="165" spans="53:55" x14ac:dyDescent="0.65">
      <c r="BA165" s="331">
        <v>45027</v>
      </c>
      <c r="BB165" s="234" t="str">
        <f t="shared" si="18"/>
        <v>火曜日</v>
      </c>
      <c r="BC165" s="234">
        <f t="shared" si="19"/>
        <v>0</v>
      </c>
    </row>
    <row r="166" spans="53:55" x14ac:dyDescent="0.65">
      <c r="BA166" s="331">
        <v>45028</v>
      </c>
      <c r="BB166" s="234" t="str">
        <f t="shared" si="18"/>
        <v>水曜日</v>
      </c>
      <c r="BC166" s="234">
        <f t="shared" si="19"/>
        <v>0</v>
      </c>
    </row>
    <row r="167" spans="53:55" x14ac:dyDescent="0.65">
      <c r="BA167" s="331">
        <v>45029</v>
      </c>
      <c r="BB167" s="234" t="str">
        <f t="shared" si="18"/>
        <v>木曜日</v>
      </c>
      <c r="BC167" s="234">
        <f t="shared" si="19"/>
        <v>0</v>
      </c>
    </row>
    <row r="168" spans="53:55" x14ac:dyDescent="0.65">
      <c r="BA168" s="331">
        <v>45030</v>
      </c>
      <c r="BB168" s="234" t="str">
        <f t="shared" si="18"/>
        <v>金曜日</v>
      </c>
      <c r="BC168" s="234">
        <f t="shared" si="19"/>
        <v>0</v>
      </c>
    </row>
    <row r="169" spans="53:55" x14ac:dyDescent="0.65">
      <c r="BA169" s="331">
        <v>45031</v>
      </c>
      <c r="BB169" s="234" t="str">
        <f t="shared" si="18"/>
        <v>土曜日</v>
      </c>
      <c r="BC169" s="234">
        <f t="shared" si="19"/>
        <v>0</v>
      </c>
    </row>
    <row r="170" spans="53:55" x14ac:dyDescent="0.65">
      <c r="BA170" s="331">
        <v>45032</v>
      </c>
      <c r="BB170" s="234" t="str">
        <f t="shared" si="18"/>
        <v>日曜日</v>
      </c>
      <c r="BC170" s="234">
        <f t="shared" si="19"/>
        <v>0</v>
      </c>
    </row>
    <row r="171" spans="53:55" x14ac:dyDescent="0.65">
      <c r="BA171" s="331">
        <v>45033</v>
      </c>
      <c r="BB171" s="234" t="str">
        <f t="shared" si="18"/>
        <v>月曜日</v>
      </c>
      <c r="BC171" s="234">
        <f t="shared" si="19"/>
        <v>0</v>
      </c>
    </row>
    <row r="172" spans="53:55" x14ac:dyDescent="0.65">
      <c r="BA172" s="331">
        <v>45034</v>
      </c>
      <c r="BB172" s="234" t="str">
        <f t="shared" si="18"/>
        <v>火曜日</v>
      </c>
      <c r="BC172" s="234">
        <f t="shared" si="19"/>
        <v>0</v>
      </c>
    </row>
    <row r="173" spans="53:55" x14ac:dyDescent="0.65">
      <c r="BA173" s="331">
        <v>45035</v>
      </c>
      <c r="BB173" s="234" t="str">
        <f t="shared" si="18"/>
        <v>水曜日</v>
      </c>
      <c r="BC173" s="234">
        <f t="shared" si="19"/>
        <v>0</v>
      </c>
    </row>
    <row r="174" spans="53:55" x14ac:dyDescent="0.65">
      <c r="BA174" s="331">
        <v>45036</v>
      </c>
      <c r="BB174" s="234" t="str">
        <f t="shared" si="18"/>
        <v>木曜日</v>
      </c>
      <c r="BC174" s="234">
        <f t="shared" si="19"/>
        <v>0</v>
      </c>
    </row>
    <row r="175" spans="53:55" x14ac:dyDescent="0.65">
      <c r="BA175" s="331">
        <v>45037</v>
      </c>
      <c r="BB175" s="234" t="str">
        <f t="shared" si="18"/>
        <v>金曜日</v>
      </c>
      <c r="BC175" s="234">
        <f t="shared" si="19"/>
        <v>0</v>
      </c>
    </row>
    <row r="176" spans="53:55" x14ac:dyDescent="0.65">
      <c r="BA176" s="331">
        <v>45038</v>
      </c>
      <c r="BB176" s="234" t="str">
        <f t="shared" si="18"/>
        <v>土曜日</v>
      </c>
      <c r="BC176" s="234">
        <f t="shared" si="19"/>
        <v>0</v>
      </c>
    </row>
    <row r="177" spans="53:55" x14ac:dyDescent="0.65">
      <c r="BA177" s="331">
        <v>45039</v>
      </c>
      <c r="BB177" s="234" t="str">
        <f t="shared" si="18"/>
        <v>日曜日</v>
      </c>
      <c r="BC177" s="234">
        <f t="shared" si="19"/>
        <v>0</v>
      </c>
    </row>
    <row r="178" spans="53:55" x14ac:dyDescent="0.65">
      <c r="BA178" s="331">
        <v>45040</v>
      </c>
      <c r="BB178" s="234" t="str">
        <f t="shared" si="18"/>
        <v>月曜日</v>
      </c>
      <c r="BC178" s="234">
        <f t="shared" si="19"/>
        <v>0</v>
      </c>
    </row>
    <row r="179" spans="53:55" x14ac:dyDescent="0.65">
      <c r="BA179" s="331">
        <v>45041</v>
      </c>
      <c r="BB179" s="234" t="str">
        <f t="shared" si="18"/>
        <v>火曜日</v>
      </c>
      <c r="BC179" s="234">
        <f t="shared" si="19"/>
        <v>0</v>
      </c>
    </row>
    <row r="180" spans="53:55" x14ac:dyDescent="0.65">
      <c r="BA180" s="331">
        <v>45042</v>
      </c>
      <c r="BB180" s="234" t="str">
        <f t="shared" si="18"/>
        <v>水曜日</v>
      </c>
      <c r="BC180" s="234">
        <f t="shared" si="19"/>
        <v>0</v>
      </c>
    </row>
    <row r="181" spans="53:55" x14ac:dyDescent="0.65">
      <c r="BA181" s="331">
        <v>45043</v>
      </c>
      <c r="BB181" s="234" t="str">
        <f t="shared" si="18"/>
        <v>木曜日</v>
      </c>
      <c r="BC181" s="234">
        <f t="shared" si="19"/>
        <v>0</v>
      </c>
    </row>
    <row r="182" spans="53:55" x14ac:dyDescent="0.65">
      <c r="BA182" s="331">
        <v>45044</v>
      </c>
      <c r="BB182" s="234" t="str">
        <f t="shared" si="18"/>
        <v>金曜日</v>
      </c>
      <c r="BC182" s="234">
        <f t="shared" si="19"/>
        <v>0</v>
      </c>
    </row>
    <row r="183" spans="53:55" x14ac:dyDescent="0.65">
      <c r="BA183" s="331">
        <v>45045</v>
      </c>
      <c r="BB183" s="234" t="str">
        <f t="shared" si="18"/>
        <v>土曜日</v>
      </c>
      <c r="BC183" s="234">
        <f t="shared" si="19"/>
        <v>0</v>
      </c>
    </row>
    <row r="184" spans="53:55" x14ac:dyDescent="0.65">
      <c r="BA184" s="331">
        <v>45046</v>
      </c>
      <c r="BB184" s="234" t="str">
        <f t="shared" si="18"/>
        <v>日曜日</v>
      </c>
      <c r="BC184" s="234">
        <f t="shared" si="19"/>
        <v>0</v>
      </c>
    </row>
    <row r="185" spans="53:55" x14ac:dyDescent="0.65">
      <c r="BA185" s="331">
        <v>45047</v>
      </c>
      <c r="BB185" s="234" t="str">
        <f t="shared" si="18"/>
        <v>月曜日</v>
      </c>
      <c r="BC185" s="234">
        <f t="shared" si="19"/>
        <v>0</v>
      </c>
    </row>
    <row r="186" spans="53:55" x14ac:dyDescent="0.65">
      <c r="BA186" s="331">
        <v>45048</v>
      </c>
      <c r="BB186" s="234" t="str">
        <f t="shared" si="18"/>
        <v>火曜日</v>
      </c>
      <c r="BC186" s="234">
        <f t="shared" si="19"/>
        <v>0</v>
      </c>
    </row>
    <row r="187" spans="53:55" x14ac:dyDescent="0.65">
      <c r="BA187" s="331">
        <v>45049</v>
      </c>
      <c r="BB187" s="234" t="str">
        <f t="shared" si="18"/>
        <v>水曜日</v>
      </c>
      <c r="BC187" s="234">
        <f t="shared" si="19"/>
        <v>0</v>
      </c>
    </row>
    <row r="188" spans="53:55" x14ac:dyDescent="0.65">
      <c r="BA188" s="331">
        <v>45050</v>
      </c>
      <c r="BB188" s="234" t="str">
        <f t="shared" si="18"/>
        <v>木曜日</v>
      </c>
      <c r="BC188" s="234">
        <f t="shared" si="19"/>
        <v>0</v>
      </c>
    </row>
    <row r="189" spans="53:55" x14ac:dyDescent="0.65">
      <c r="BA189" s="331">
        <v>45051</v>
      </c>
      <c r="BB189" s="234" t="str">
        <f t="shared" si="18"/>
        <v>金曜日</v>
      </c>
      <c r="BC189" s="234">
        <f t="shared" si="19"/>
        <v>0</v>
      </c>
    </row>
    <row r="190" spans="53:55" x14ac:dyDescent="0.65">
      <c r="BA190" s="331">
        <v>45052</v>
      </c>
      <c r="BB190" s="234" t="str">
        <f t="shared" si="18"/>
        <v>土曜日</v>
      </c>
      <c r="BC190" s="234">
        <f t="shared" si="19"/>
        <v>0</v>
      </c>
    </row>
    <row r="191" spans="53:55" x14ac:dyDescent="0.65">
      <c r="BA191" s="331">
        <v>45053</v>
      </c>
      <c r="BB191" s="234" t="str">
        <f t="shared" si="18"/>
        <v>日曜日</v>
      </c>
      <c r="BC191" s="234">
        <f t="shared" si="19"/>
        <v>0</v>
      </c>
    </row>
    <row r="192" spans="53:55" x14ac:dyDescent="0.65">
      <c r="BA192" s="331">
        <v>45054</v>
      </c>
      <c r="BB192" s="234" t="str">
        <f t="shared" si="18"/>
        <v>月曜日</v>
      </c>
      <c r="BC192" s="234">
        <f t="shared" si="19"/>
        <v>0</v>
      </c>
    </row>
    <row r="193" spans="53:55" x14ac:dyDescent="0.65">
      <c r="BA193" s="331">
        <v>45055</v>
      </c>
      <c r="BB193" s="234" t="str">
        <f t="shared" si="18"/>
        <v>火曜日</v>
      </c>
      <c r="BC193" s="234">
        <f t="shared" si="19"/>
        <v>0</v>
      </c>
    </row>
    <row r="194" spans="53:55" x14ac:dyDescent="0.65">
      <c r="BA194" s="331">
        <v>45056</v>
      </c>
      <c r="BB194" s="234" t="str">
        <f t="shared" ref="BB194:BB257" si="20">TEXT(BA194,"aaaa")</f>
        <v>水曜日</v>
      </c>
      <c r="BC194" s="234">
        <f t="shared" ref="BC194:BC257" si="21">VLOOKUP(BB194,$A$8:$E$14,2,FALSE)</f>
        <v>0</v>
      </c>
    </row>
    <row r="195" spans="53:55" x14ac:dyDescent="0.65">
      <c r="BA195" s="331">
        <v>45057</v>
      </c>
      <c r="BB195" s="234" t="str">
        <f t="shared" si="20"/>
        <v>木曜日</v>
      </c>
      <c r="BC195" s="234">
        <f t="shared" si="21"/>
        <v>0</v>
      </c>
    </row>
    <row r="196" spans="53:55" x14ac:dyDescent="0.65">
      <c r="BA196" s="331">
        <v>45058</v>
      </c>
      <c r="BB196" s="234" t="str">
        <f t="shared" si="20"/>
        <v>金曜日</v>
      </c>
      <c r="BC196" s="234">
        <f t="shared" si="21"/>
        <v>0</v>
      </c>
    </row>
    <row r="197" spans="53:55" x14ac:dyDescent="0.65">
      <c r="BA197" s="331">
        <v>45059</v>
      </c>
      <c r="BB197" s="234" t="str">
        <f t="shared" si="20"/>
        <v>土曜日</v>
      </c>
      <c r="BC197" s="234">
        <f t="shared" si="21"/>
        <v>0</v>
      </c>
    </row>
    <row r="198" spans="53:55" x14ac:dyDescent="0.65">
      <c r="BA198" s="331">
        <v>45060</v>
      </c>
      <c r="BB198" s="234" t="str">
        <f t="shared" si="20"/>
        <v>日曜日</v>
      </c>
      <c r="BC198" s="234">
        <f t="shared" si="21"/>
        <v>0</v>
      </c>
    </row>
    <row r="199" spans="53:55" x14ac:dyDescent="0.65">
      <c r="BA199" s="331">
        <v>45061</v>
      </c>
      <c r="BB199" s="234" t="str">
        <f t="shared" si="20"/>
        <v>月曜日</v>
      </c>
      <c r="BC199" s="234">
        <f t="shared" si="21"/>
        <v>0</v>
      </c>
    </row>
    <row r="200" spans="53:55" x14ac:dyDescent="0.65">
      <c r="BA200" s="331">
        <v>45062</v>
      </c>
      <c r="BB200" s="234" t="str">
        <f t="shared" si="20"/>
        <v>火曜日</v>
      </c>
      <c r="BC200" s="234">
        <f t="shared" si="21"/>
        <v>0</v>
      </c>
    </row>
    <row r="201" spans="53:55" x14ac:dyDescent="0.65">
      <c r="BA201" s="331">
        <v>45063</v>
      </c>
      <c r="BB201" s="234" t="str">
        <f t="shared" si="20"/>
        <v>水曜日</v>
      </c>
      <c r="BC201" s="234">
        <f t="shared" si="21"/>
        <v>0</v>
      </c>
    </row>
    <row r="202" spans="53:55" x14ac:dyDescent="0.65">
      <c r="BA202" s="331">
        <v>45064</v>
      </c>
      <c r="BB202" s="234" t="str">
        <f t="shared" si="20"/>
        <v>木曜日</v>
      </c>
      <c r="BC202" s="234">
        <f t="shared" si="21"/>
        <v>0</v>
      </c>
    </row>
    <row r="203" spans="53:55" x14ac:dyDescent="0.65">
      <c r="BA203" s="331">
        <v>45065</v>
      </c>
      <c r="BB203" s="234" t="str">
        <f t="shared" si="20"/>
        <v>金曜日</v>
      </c>
      <c r="BC203" s="234">
        <f t="shared" si="21"/>
        <v>0</v>
      </c>
    </row>
    <row r="204" spans="53:55" x14ac:dyDescent="0.65">
      <c r="BA204" s="331">
        <v>45066</v>
      </c>
      <c r="BB204" s="234" t="str">
        <f t="shared" si="20"/>
        <v>土曜日</v>
      </c>
      <c r="BC204" s="234">
        <f t="shared" si="21"/>
        <v>0</v>
      </c>
    </row>
    <row r="205" spans="53:55" x14ac:dyDescent="0.65">
      <c r="BA205" s="331">
        <v>45067</v>
      </c>
      <c r="BB205" s="234" t="str">
        <f t="shared" si="20"/>
        <v>日曜日</v>
      </c>
      <c r="BC205" s="234">
        <f t="shared" si="21"/>
        <v>0</v>
      </c>
    </row>
    <row r="206" spans="53:55" x14ac:dyDescent="0.65">
      <c r="BA206" s="331">
        <v>45068</v>
      </c>
      <c r="BB206" s="234" t="str">
        <f t="shared" si="20"/>
        <v>月曜日</v>
      </c>
      <c r="BC206" s="234">
        <f t="shared" si="21"/>
        <v>0</v>
      </c>
    </row>
    <row r="207" spans="53:55" x14ac:dyDescent="0.65">
      <c r="BA207" s="331">
        <v>45069</v>
      </c>
      <c r="BB207" s="234" t="str">
        <f t="shared" si="20"/>
        <v>火曜日</v>
      </c>
      <c r="BC207" s="234">
        <f t="shared" si="21"/>
        <v>0</v>
      </c>
    </row>
    <row r="208" spans="53:55" x14ac:dyDescent="0.65">
      <c r="BA208" s="331">
        <v>45070</v>
      </c>
      <c r="BB208" s="234" t="str">
        <f t="shared" si="20"/>
        <v>水曜日</v>
      </c>
      <c r="BC208" s="234">
        <f t="shared" si="21"/>
        <v>0</v>
      </c>
    </row>
    <row r="209" spans="53:55" x14ac:dyDescent="0.65">
      <c r="BA209" s="331">
        <v>45071</v>
      </c>
      <c r="BB209" s="234" t="str">
        <f t="shared" si="20"/>
        <v>木曜日</v>
      </c>
      <c r="BC209" s="234">
        <f t="shared" si="21"/>
        <v>0</v>
      </c>
    </row>
    <row r="210" spans="53:55" x14ac:dyDescent="0.65">
      <c r="BA210" s="331">
        <v>45072</v>
      </c>
      <c r="BB210" s="234" t="str">
        <f t="shared" si="20"/>
        <v>金曜日</v>
      </c>
      <c r="BC210" s="234">
        <f t="shared" si="21"/>
        <v>0</v>
      </c>
    </row>
    <row r="211" spans="53:55" x14ac:dyDescent="0.65">
      <c r="BA211" s="331">
        <v>45073</v>
      </c>
      <c r="BB211" s="234" t="str">
        <f t="shared" si="20"/>
        <v>土曜日</v>
      </c>
      <c r="BC211" s="234">
        <f t="shared" si="21"/>
        <v>0</v>
      </c>
    </row>
    <row r="212" spans="53:55" x14ac:dyDescent="0.65">
      <c r="BA212" s="331">
        <v>45074</v>
      </c>
      <c r="BB212" s="234" t="str">
        <f t="shared" si="20"/>
        <v>日曜日</v>
      </c>
      <c r="BC212" s="234">
        <f t="shared" si="21"/>
        <v>0</v>
      </c>
    </row>
    <row r="213" spans="53:55" x14ac:dyDescent="0.65">
      <c r="BA213" s="331">
        <v>45075</v>
      </c>
      <c r="BB213" s="234" t="str">
        <f t="shared" si="20"/>
        <v>月曜日</v>
      </c>
      <c r="BC213" s="234">
        <f t="shared" si="21"/>
        <v>0</v>
      </c>
    </row>
    <row r="214" spans="53:55" x14ac:dyDescent="0.65">
      <c r="BA214" s="331">
        <v>45076</v>
      </c>
      <c r="BB214" s="234" t="str">
        <f t="shared" si="20"/>
        <v>火曜日</v>
      </c>
      <c r="BC214" s="234">
        <f t="shared" si="21"/>
        <v>0</v>
      </c>
    </row>
    <row r="215" spans="53:55" x14ac:dyDescent="0.65">
      <c r="BA215" s="331">
        <v>45077</v>
      </c>
      <c r="BB215" s="234" t="str">
        <f t="shared" si="20"/>
        <v>水曜日</v>
      </c>
      <c r="BC215" s="234">
        <f t="shared" si="21"/>
        <v>0</v>
      </c>
    </row>
    <row r="216" spans="53:55" x14ac:dyDescent="0.65">
      <c r="BA216" s="331">
        <v>45078</v>
      </c>
      <c r="BB216" s="234" t="str">
        <f t="shared" si="20"/>
        <v>木曜日</v>
      </c>
      <c r="BC216" s="234">
        <f t="shared" si="21"/>
        <v>0</v>
      </c>
    </row>
    <row r="217" spans="53:55" x14ac:dyDescent="0.65">
      <c r="BA217" s="331">
        <v>45079</v>
      </c>
      <c r="BB217" s="234" t="str">
        <f t="shared" si="20"/>
        <v>金曜日</v>
      </c>
      <c r="BC217" s="234">
        <f t="shared" si="21"/>
        <v>0</v>
      </c>
    </row>
    <row r="218" spans="53:55" x14ac:dyDescent="0.65">
      <c r="BA218" s="331">
        <v>45080</v>
      </c>
      <c r="BB218" s="234" t="str">
        <f t="shared" si="20"/>
        <v>土曜日</v>
      </c>
      <c r="BC218" s="234">
        <f t="shared" si="21"/>
        <v>0</v>
      </c>
    </row>
    <row r="219" spans="53:55" x14ac:dyDescent="0.65">
      <c r="BA219" s="331">
        <v>45081</v>
      </c>
      <c r="BB219" s="234" t="str">
        <f t="shared" si="20"/>
        <v>日曜日</v>
      </c>
      <c r="BC219" s="234">
        <f t="shared" si="21"/>
        <v>0</v>
      </c>
    </row>
    <row r="220" spans="53:55" x14ac:dyDescent="0.65">
      <c r="BA220" s="331">
        <v>45082</v>
      </c>
      <c r="BB220" s="234" t="str">
        <f t="shared" si="20"/>
        <v>月曜日</v>
      </c>
      <c r="BC220" s="234">
        <f t="shared" si="21"/>
        <v>0</v>
      </c>
    </row>
    <row r="221" spans="53:55" x14ac:dyDescent="0.65">
      <c r="BA221" s="331">
        <v>45083</v>
      </c>
      <c r="BB221" s="234" t="str">
        <f t="shared" si="20"/>
        <v>火曜日</v>
      </c>
      <c r="BC221" s="234">
        <f t="shared" si="21"/>
        <v>0</v>
      </c>
    </row>
    <row r="222" spans="53:55" x14ac:dyDescent="0.65">
      <c r="BA222" s="331">
        <v>45084</v>
      </c>
      <c r="BB222" s="234" t="str">
        <f t="shared" si="20"/>
        <v>水曜日</v>
      </c>
      <c r="BC222" s="234">
        <f t="shared" si="21"/>
        <v>0</v>
      </c>
    </row>
    <row r="223" spans="53:55" x14ac:dyDescent="0.65">
      <c r="BA223" s="331">
        <v>45085</v>
      </c>
      <c r="BB223" s="234" t="str">
        <f t="shared" si="20"/>
        <v>木曜日</v>
      </c>
      <c r="BC223" s="234">
        <f t="shared" si="21"/>
        <v>0</v>
      </c>
    </row>
    <row r="224" spans="53:55" x14ac:dyDescent="0.65">
      <c r="BA224" s="331">
        <v>45086</v>
      </c>
      <c r="BB224" s="234" t="str">
        <f t="shared" si="20"/>
        <v>金曜日</v>
      </c>
      <c r="BC224" s="234">
        <f t="shared" si="21"/>
        <v>0</v>
      </c>
    </row>
    <row r="225" spans="53:55" x14ac:dyDescent="0.65">
      <c r="BA225" s="331">
        <v>45087</v>
      </c>
      <c r="BB225" s="234" t="str">
        <f t="shared" si="20"/>
        <v>土曜日</v>
      </c>
      <c r="BC225" s="234">
        <f t="shared" si="21"/>
        <v>0</v>
      </c>
    </row>
    <row r="226" spans="53:55" x14ac:dyDescent="0.65">
      <c r="BA226" s="331">
        <v>45088</v>
      </c>
      <c r="BB226" s="234" t="str">
        <f t="shared" si="20"/>
        <v>日曜日</v>
      </c>
      <c r="BC226" s="234">
        <f t="shared" si="21"/>
        <v>0</v>
      </c>
    </row>
    <row r="227" spans="53:55" x14ac:dyDescent="0.65">
      <c r="BA227" s="331">
        <v>45089</v>
      </c>
      <c r="BB227" s="234" t="str">
        <f t="shared" si="20"/>
        <v>月曜日</v>
      </c>
      <c r="BC227" s="234">
        <f t="shared" si="21"/>
        <v>0</v>
      </c>
    </row>
    <row r="228" spans="53:55" x14ac:dyDescent="0.65">
      <c r="BA228" s="331">
        <v>45090</v>
      </c>
      <c r="BB228" s="234" t="str">
        <f t="shared" si="20"/>
        <v>火曜日</v>
      </c>
      <c r="BC228" s="234">
        <f t="shared" si="21"/>
        <v>0</v>
      </c>
    </row>
    <row r="229" spans="53:55" x14ac:dyDescent="0.65">
      <c r="BA229" s="331">
        <v>45091</v>
      </c>
      <c r="BB229" s="234" t="str">
        <f t="shared" si="20"/>
        <v>水曜日</v>
      </c>
      <c r="BC229" s="234">
        <f t="shared" si="21"/>
        <v>0</v>
      </c>
    </row>
    <row r="230" spans="53:55" x14ac:dyDescent="0.65">
      <c r="BA230" s="331">
        <v>45092</v>
      </c>
      <c r="BB230" s="234" t="str">
        <f t="shared" si="20"/>
        <v>木曜日</v>
      </c>
      <c r="BC230" s="234">
        <f t="shared" si="21"/>
        <v>0</v>
      </c>
    </row>
    <row r="231" spans="53:55" x14ac:dyDescent="0.65">
      <c r="BA231" s="331">
        <v>45093</v>
      </c>
      <c r="BB231" s="234" t="str">
        <f t="shared" si="20"/>
        <v>金曜日</v>
      </c>
      <c r="BC231" s="234">
        <f t="shared" si="21"/>
        <v>0</v>
      </c>
    </row>
    <row r="232" spans="53:55" x14ac:dyDescent="0.65">
      <c r="BA232" s="331">
        <v>45094</v>
      </c>
      <c r="BB232" s="234" t="str">
        <f t="shared" si="20"/>
        <v>土曜日</v>
      </c>
      <c r="BC232" s="234">
        <f t="shared" si="21"/>
        <v>0</v>
      </c>
    </row>
    <row r="233" spans="53:55" x14ac:dyDescent="0.65">
      <c r="BA233" s="331">
        <v>45095</v>
      </c>
      <c r="BB233" s="234" t="str">
        <f t="shared" si="20"/>
        <v>日曜日</v>
      </c>
      <c r="BC233" s="234">
        <f t="shared" si="21"/>
        <v>0</v>
      </c>
    </row>
    <row r="234" spans="53:55" x14ac:dyDescent="0.65">
      <c r="BA234" s="331">
        <v>45096</v>
      </c>
      <c r="BB234" s="234" t="str">
        <f t="shared" si="20"/>
        <v>月曜日</v>
      </c>
      <c r="BC234" s="234">
        <f t="shared" si="21"/>
        <v>0</v>
      </c>
    </row>
    <row r="235" spans="53:55" x14ac:dyDescent="0.65">
      <c r="BA235" s="331">
        <v>45097</v>
      </c>
      <c r="BB235" s="234" t="str">
        <f t="shared" si="20"/>
        <v>火曜日</v>
      </c>
      <c r="BC235" s="234">
        <f t="shared" si="21"/>
        <v>0</v>
      </c>
    </row>
    <row r="236" spans="53:55" x14ac:dyDescent="0.65">
      <c r="BA236" s="331">
        <v>45098</v>
      </c>
      <c r="BB236" s="234" t="str">
        <f t="shared" si="20"/>
        <v>水曜日</v>
      </c>
      <c r="BC236" s="234">
        <f t="shared" si="21"/>
        <v>0</v>
      </c>
    </row>
    <row r="237" spans="53:55" x14ac:dyDescent="0.65">
      <c r="BA237" s="331">
        <v>45099</v>
      </c>
      <c r="BB237" s="234" t="str">
        <f t="shared" si="20"/>
        <v>木曜日</v>
      </c>
      <c r="BC237" s="234">
        <f t="shared" si="21"/>
        <v>0</v>
      </c>
    </row>
    <row r="238" spans="53:55" x14ac:dyDescent="0.65">
      <c r="BA238" s="331">
        <v>45100</v>
      </c>
      <c r="BB238" s="234" t="str">
        <f t="shared" si="20"/>
        <v>金曜日</v>
      </c>
      <c r="BC238" s="234">
        <f t="shared" si="21"/>
        <v>0</v>
      </c>
    </row>
    <row r="239" spans="53:55" x14ac:dyDescent="0.65">
      <c r="BA239" s="331">
        <v>45101</v>
      </c>
      <c r="BB239" s="234" t="str">
        <f t="shared" si="20"/>
        <v>土曜日</v>
      </c>
      <c r="BC239" s="234">
        <f t="shared" si="21"/>
        <v>0</v>
      </c>
    </row>
    <row r="240" spans="53:55" x14ac:dyDescent="0.65">
      <c r="BA240" s="331">
        <v>45102</v>
      </c>
      <c r="BB240" s="234" t="str">
        <f t="shared" si="20"/>
        <v>日曜日</v>
      </c>
      <c r="BC240" s="234">
        <f t="shared" si="21"/>
        <v>0</v>
      </c>
    </row>
    <row r="241" spans="53:55" x14ac:dyDescent="0.65">
      <c r="BA241" s="331">
        <v>45103</v>
      </c>
      <c r="BB241" s="234" t="str">
        <f t="shared" si="20"/>
        <v>月曜日</v>
      </c>
      <c r="BC241" s="234">
        <f t="shared" si="21"/>
        <v>0</v>
      </c>
    </row>
    <row r="242" spans="53:55" x14ac:dyDescent="0.65">
      <c r="BA242" s="331">
        <v>45104</v>
      </c>
      <c r="BB242" s="234" t="str">
        <f t="shared" si="20"/>
        <v>火曜日</v>
      </c>
      <c r="BC242" s="234">
        <f t="shared" si="21"/>
        <v>0</v>
      </c>
    </row>
    <row r="243" spans="53:55" x14ac:dyDescent="0.65">
      <c r="BA243" s="331">
        <v>45105</v>
      </c>
      <c r="BB243" s="234" t="str">
        <f t="shared" si="20"/>
        <v>水曜日</v>
      </c>
      <c r="BC243" s="234">
        <f t="shared" si="21"/>
        <v>0</v>
      </c>
    </row>
    <row r="244" spans="53:55" x14ac:dyDescent="0.65">
      <c r="BA244" s="331">
        <v>45106</v>
      </c>
      <c r="BB244" s="234" t="str">
        <f t="shared" si="20"/>
        <v>木曜日</v>
      </c>
      <c r="BC244" s="234">
        <f t="shared" si="21"/>
        <v>0</v>
      </c>
    </row>
    <row r="245" spans="53:55" x14ac:dyDescent="0.65">
      <c r="BA245" s="331">
        <v>45107</v>
      </c>
      <c r="BB245" s="234" t="str">
        <f t="shared" si="20"/>
        <v>金曜日</v>
      </c>
      <c r="BC245" s="234">
        <f t="shared" si="21"/>
        <v>0</v>
      </c>
    </row>
    <row r="246" spans="53:55" x14ac:dyDescent="0.65">
      <c r="BA246" s="331">
        <v>45108</v>
      </c>
      <c r="BB246" s="234" t="str">
        <f t="shared" si="20"/>
        <v>土曜日</v>
      </c>
      <c r="BC246" s="234">
        <f t="shared" si="21"/>
        <v>0</v>
      </c>
    </row>
    <row r="247" spans="53:55" x14ac:dyDescent="0.65">
      <c r="BA247" s="331">
        <v>45109</v>
      </c>
      <c r="BB247" s="234" t="str">
        <f t="shared" si="20"/>
        <v>日曜日</v>
      </c>
      <c r="BC247" s="234">
        <f t="shared" si="21"/>
        <v>0</v>
      </c>
    </row>
    <row r="248" spans="53:55" x14ac:dyDescent="0.65">
      <c r="BA248" s="331">
        <v>45110</v>
      </c>
      <c r="BB248" s="234" t="str">
        <f t="shared" si="20"/>
        <v>月曜日</v>
      </c>
      <c r="BC248" s="234">
        <f t="shared" si="21"/>
        <v>0</v>
      </c>
    </row>
    <row r="249" spans="53:55" x14ac:dyDescent="0.65">
      <c r="BA249" s="331">
        <v>45111</v>
      </c>
      <c r="BB249" s="234" t="str">
        <f t="shared" si="20"/>
        <v>火曜日</v>
      </c>
      <c r="BC249" s="234">
        <f t="shared" si="21"/>
        <v>0</v>
      </c>
    </row>
    <row r="250" spans="53:55" x14ac:dyDescent="0.65">
      <c r="BA250" s="331">
        <v>45112</v>
      </c>
      <c r="BB250" s="234" t="str">
        <f t="shared" si="20"/>
        <v>水曜日</v>
      </c>
      <c r="BC250" s="234">
        <f t="shared" si="21"/>
        <v>0</v>
      </c>
    </row>
    <row r="251" spans="53:55" x14ac:dyDescent="0.65">
      <c r="BA251" s="331">
        <v>45113</v>
      </c>
      <c r="BB251" s="234" t="str">
        <f t="shared" si="20"/>
        <v>木曜日</v>
      </c>
      <c r="BC251" s="234">
        <f t="shared" si="21"/>
        <v>0</v>
      </c>
    </row>
    <row r="252" spans="53:55" x14ac:dyDescent="0.65">
      <c r="BA252" s="331">
        <v>45114</v>
      </c>
      <c r="BB252" s="234" t="str">
        <f t="shared" si="20"/>
        <v>金曜日</v>
      </c>
      <c r="BC252" s="234">
        <f t="shared" si="21"/>
        <v>0</v>
      </c>
    </row>
    <row r="253" spans="53:55" x14ac:dyDescent="0.65">
      <c r="BA253" s="331">
        <v>45115</v>
      </c>
      <c r="BB253" s="234" t="str">
        <f t="shared" si="20"/>
        <v>土曜日</v>
      </c>
      <c r="BC253" s="234">
        <f t="shared" si="21"/>
        <v>0</v>
      </c>
    </row>
    <row r="254" spans="53:55" x14ac:dyDescent="0.65">
      <c r="BA254" s="331">
        <v>45116</v>
      </c>
      <c r="BB254" s="234" t="str">
        <f t="shared" si="20"/>
        <v>日曜日</v>
      </c>
      <c r="BC254" s="234">
        <f t="shared" si="21"/>
        <v>0</v>
      </c>
    </row>
    <row r="255" spans="53:55" x14ac:dyDescent="0.65">
      <c r="BA255" s="331">
        <v>45117</v>
      </c>
      <c r="BB255" s="234" t="str">
        <f t="shared" si="20"/>
        <v>月曜日</v>
      </c>
      <c r="BC255" s="234">
        <f t="shared" si="21"/>
        <v>0</v>
      </c>
    </row>
    <row r="256" spans="53:55" x14ac:dyDescent="0.65">
      <c r="BA256" s="331">
        <v>45118</v>
      </c>
      <c r="BB256" s="234" t="str">
        <f t="shared" si="20"/>
        <v>火曜日</v>
      </c>
      <c r="BC256" s="234">
        <f t="shared" si="21"/>
        <v>0</v>
      </c>
    </row>
    <row r="257" spans="53:55" x14ac:dyDescent="0.65">
      <c r="BA257" s="331">
        <v>45119</v>
      </c>
      <c r="BB257" s="234" t="str">
        <f t="shared" si="20"/>
        <v>水曜日</v>
      </c>
      <c r="BC257" s="234">
        <f t="shared" si="21"/>
        <v>0</v>
      </c>
    </row>
    <row r="258" spans="53:55" x14ac:dyDescent="0.65">
      <c r="BA258" s="331">
        <v>45120</v>
      </c>
      <c r="BB258" s="234" t="str">
        <f t="shared" ref="BB258:BB321" si="22">TEXT(BA258,"aaaa")</f>
        <v>木曜日</v>
      </c>
      <c r="BC258" s="234">
        <f t="shared" ref="BC258:BC321" si="23">VLOOKUP(BB258,$A$8:$E$14,2,FALSE)</f>
        <v>0</v>
      </c>
    </row>
    <row r="259" spans="53:55" x14ac:dyDescent="0.65">
      <c r="BA259" s="331">
        <v>45121</v>
      </c>
      <c r="BB259" s="234" t="str">
        <f t="shared" si="22"/>
        <v>金曜日</v>
      </c>
      <c r="BC259" s="234">
        <f t="shared" si="23"/>
        <v>0</v>
      </c>
    </row>
    <row r="260" spans="53:55" x14ac:dyDescent="0.65">
      <c r="BA260" s="331">
        <v>45122</v>
      </c>
      <c r="BB260" s="234" t="str">
        <f t="shared" si="22"/>
        <v>土曜日</v>
      </c>
      <c r="BC260" s="234">
        <f t="shared" si="23"/>
        <v>0</v>
      </c>
    </row>
    <row r="261" spans="53:55" x14ac:dyDescent="0.65">
      <c r="BA261" s="331">
        <v>45123</v>
      </c>
      <c r="BB261" s="234" t="str">
        <f t="shared" si="22"/>
        <v>日曜日</v>
      </c>
      <c r="BC261" s="234">
        <f t="shared" si="23"/>
        <v>0</v>
      </c>
    </row>
    <row r="262" spans="53:55" x14ac:dyDescent="0.65">
      <c r="BA262" s="331">
        <v>45124</v>
      </c>
      <c r="BB262" s="234" t="str">
        <f t="shared" si="22"/>
        <v>月曜日</v>
      </c>
      <c r="BC262" s="234">
        <f t="shared" si="23"/>
        <v>0</v>
      </c>
    </row>
    <row r="263" spans="53:55" x14ac:dyDescent="0.65">
      <c r="BA263" s="331">
        <v>45125</v>
      </c>
      <c r="BB263" s="234" t="str">
        <f t="shared" si="22"/>
        <v>火曜日</v>
      </c>
      <c r="BC263" s="234">
        <f t="shared" si="23"/>
        <v>0</v>
      </c>
    </row>
    <row r="264" spans="53:55" x14ac:dyDescent="0.65">
      <c r="BA264" s="331">
        <v>45126</v>
      </c>
      <c r="BB264" s="234" t="str">
        <f t="shared" si="22"/>
        <v>水曜日</v>
      </c>
      <c r="BC264" s="234">
        <f t="shared" si="23"/>
        <v>0</v>
      </c>
    </row>
    <row r="265" spans="53:55" x14ac:dyDescent="0.65">
      <c r="BA265" s="331">
        <v>45127</v>
      </c>
      <c r="BB265" s="234" t="str">
        <f t="shared" si="22"/>
        <v>木曜日</v>
      </c>
      <c r="BC265" s="234">
        <f t="shared" si="23"/>
        <v>0</v>
      </c>
    </row>
    <row r="266" spans="53:55" x14ac:dyDescent="0.65">
      <c r="BA266" s="331">
        <v>45128</v>
      </c>
      <c r="BB266" s="234" t="str">
        <f t="shared" si="22"/>
        <v>金曜日</v>
      </c>
      <c r="BC266" s="234">
        <f t="shared" si="23"/>
        <v>0</v>
      </c>
    </row>
    <row r="267" spans="53:55" x14ac:dyDescent="0.65">
      <c r="BA267" s="331">
        <v>45129</v>
      </c>
      <c r="BB267" s="234" t="str">
        <f t="shared" si="22"/>
        <v>土曜日</v>
      </c>
      <c r="BC267" s="234">
        <f t="shared" si="23"/>
        <v>0</v>
      </c>
    </row>
    <row r="268" spans="53:55" x14ac:dyDescent="0.65">
      <c r="BA268" s="331">
        <v>45130</v>
      </c>
      <c r="BB268" s="234" t="str">
        <f t="shared" si="22"/>
        <v>日曜日</v>
      </c>
      <c r="BC268" s="234">
        <f t="shared" si="23"/>
        <v>0</v>
      </c>
    </row>
    <row r="269" spans="53:55" x14ac:dyDescent="0.65">
      <c r="BA269" s="331">
        <v>45131</v>
      </c>
      <c r="BB269" s="234" t="str">
        <f t="shared" si="22"/>
        <v>月曜日</v>
      </c>
      <c r="BC269" s="234">
        <f t="shared" si="23"/>
        <v>0</v>
      </c>
    </row>
    <row r="270" spans="53:55" x14ac:dyDescent="0.65">
      <c r="BA270" s="331">
        <v>45132</v>
      </c>
      <c r="BB270" s="234" t="str">
        <f t="shared" si="22"/>
        <v>火曜日</v>
      </c>
      <c r="BC270" s="234">
        <f t="shared" si="23"/>
        <v>0</v>
      </c>
    </row>
    <row r="271" spans="53:55" x14ac:dyDescent="0.65">
      <c r="BA271" s="331">
        <v>45133</v>
      </c>
      <c r="BB271" s="234" t="str">
        <f t="shared" si="22"/>
        <v>水曜日</v>
      </c>
      <c r="BC271" s="234">
        <f t="shared" si="23"/>
        <v>0</v>
      </c>
    </row>
    <row r="272" spans="53:55" x14ac:dyDescent="0.65">
      <c r="BA272" s="331">
        <v>45134</v>
      </c>
      <c r="BB272" s="234" t="str">
        <f t="shared" si="22"/>
        <v>木曜日</v>
      </c>
      <c r="BC272" s="234">
        <f t="shared" si="23"/>
        <v>0</v>
      </c>
    </row>
    <row r="273" spans="53:55" x14ac:dyDescent="0.65">
      <c r="BA273" s="331">
        <v>45135</v>
      </c>
      <c r="BB273" s="234" t="str">
        <f t="shared" si="22"/>
        <v>金曜日</v>
      </c>
      <c r="BC273" s="234">
        <f t="shared" si="23"/>
        <v>0</v>
      </c>
    </row>
    <row r="274" spans="53:55" x14ac:dyDescent="0.65">
      <c r="BA274" s="331">
        <v>45136</v>
      </c>
      <c r="BB274" s="234" t="str">
        <f t="shared" si="22"/>
        <v>土曜日</v>
      </c>
      <c r="BC274" s="234">
        <f t="shared" si="23"/>
        <v>0</v>
      </c>
    </row>
    <row r="275" spans="53:55" x14ac:dyDescent="0.65">
      <c r="BA275" s="331">
        <v>45137</v>
      </c>
      <c r="BB275" s="234" t="str">
        <f t="shared" si="22"/>
        <v>日曜日</v>
      </c>
      <c r="BC275" s="234">
        <f t="shared" si="23"/>
        <v>0</v>
      </c>
    </row>
    <row r="276" spans="53:55" x14ac:dyDescent="0.65">
      <c r="BA276" s="331">
        <v>45138</v>
      </c>
      <c r="BB276" s="234" t="str">
        <f t="shared" si="22"/>
        <v>月曜日</v>
      </c>
      <c r="BC276" s="234">
        <f t="shared" si="23"/>
        <v>0</v>
      </c>
    </row>
    <row r="277" spans="53:55" x14ac:dyDescent="0.65">
      <c r="BA277" s="331">
        <v>45139</v>
      </c>
      <c r="BB277" s="234" t="str">
        <f t="shared" si="22"/>
        <v>火曜日</v>
      </c>
      <c r="BC277" s="234">
        <f t="shared" si="23"/>
        <v>0</v>
      </c>
    </row>
    <row r="278" spans="53:55" x14ac:dyDescent="0.65">
      <c r="BA278" s="331">
        <v>45140</v>
      </c>
      <c r="BB278" s="234" t="str">
        <f t="shared" si="22"/>
        <v>水曜日</v>
      </c>
      <c r="BC278" s="234">
        <f t="shared" si="23"/>
        <v>0</v>
      </c>
    </row>
    <row r="279" spans="53:55" x14ac:dyDescent="0.65">
      <c r="BA279" s="331">
        <v>45141</v>
      </c>
      <c r="BB279" s="234" t="str">
        <f t="shared" si="22"/>
        <v>木曜日</v>
      </c>
      <c r="BC279" s="234">
        <f t="shared" si="23"/>
        <v>0</v>
      </c>
    </row>
    <row r="280" spans="53:55" x14ac:dyDescent="0.65">
      <c r="BA280" s="331">
        <v>45142</v>
      </c>
      <c r="BB280" s="234" t="str">
        <f t="shared" si="22"/>
        <v>金曜日</v>
      </c>
      <c r="BC280" s="234">
        <f t="shared" si="23"/>
        <v>0</v>
      </c>
    </row>
    <row r="281" spans="53:55" x14ac:dyDescent="0.65">
      <c r="BA281" s="331">
        <v>45143</v>
      </c>
      <c r="BB281" s="234" t="str">
        <f t="shared" si="22"/>
        <v>土曜日</v>
      </c>
      <c r="BC281" s="234">
        <f t="shared" si="23"/>
        <v>0</v>
      </c>
    </row>
    <row r="282" spans="53:55" x14ac:dyDescent="0.65">
      <c r="BA282" s="331">
        <v>45144</v>
      </c>
      <c r="BB282" s="234" t="str">
        <f t="shared" si="22"/>
        <v>日曜日</v>
      </c>
      <c r="BC282" s="234">
        <f t="shared" si="23"/>
        <v>0</v>
      </c>
    </row>
    <row r="283" spans="53:55" x14ac:dyDescent="0.65">
      <c r="BA283" s="331">
        <v>45145</v>
      </c>
      <c r="BB283" s="234" t="str">
        <f t="shared" si="22"/>
        <v>月曜日</v>
      </c>
      <c r="BC283" s="234">
        <f t="shared" si="23"/>
        <v>0</v>
      </c>
    </row>
    <row r="284" spans="53:55" x14ac:dyDescent="0.65">
      <c r="BA284" s="331">
        <v>45146</v>
      </c>
      <c r="BB284" s="234" t="str">
        <f t="shared" si="22"/>
        <v>火曜日</v>
      </c>
      <c r="BC284" s="234">
        <f t="shared" si="23"/>
        <v>0</v>
      </c>
    </row>
    <row r="285" spans="53:55" x14ac:dyDescent="0.65">
      <c r="BA285" s="331">
        <v>45147</v>
      </c>
      <c r="BB285" s="234" t="str">
        <f t="shared" si="22"/>
        <v>水曜日</v>
      </c>
      <c r="BC285" s="234">
        <f t="shared" si="23"/>
        <v>0</v>
      </c>
    </row>
    <row r="286" spans="53:55" x14ac:dyDescent="0.65">
      <c r="BA286" s="331">
        <v>45148</v>
      </c>
      <c r="BB286" s="234" t="str">
        <f t="shared" si="22"/>
        <v>木曜日</v>
      </c>
      <c r="BC286" s="234">
        <f t="shared" si="23"/>
        <v>0</v>
      </c>
    </row>
    <row r="287" spans="53:55" x14ac:dyDescent="0.65">
      <c r="BA287" s="331">
        <v>45149</v>
      </c>
      <c r="BB287" s="234" t="str">
        <f t="shared" si="22"/>
        <v>金曜日</v>
      </c>
      <c r="BC287" s="234">
        <f t="shared" si="23"/>
        <v>0</v>
      </c>
    </row>
    <row r="288" spans="53:55" x14ac:dyDescent="0.65">
      <c r="BA288" s="331">
        <v>45150</v>
      </c>
      <c r="BB288" s="234" t="str">
        <f t="shared" si="22"/>
        <v>土曜日</v>
      </c>
      <c r="BC288" s="234">
        <f t="shared" si="23"/>
        <v>0</v>
      </c>
    </row>
    <row r="289" spans="53:55" x14ac:dyDescent="0.65">
      <c r="BA289" s="331">
        <v>45151</v>
      </c>
      <c r="BB289" s="234" t="str">
        <f t="shared" si="22"/>
        <v>日曜日</v>
      </c>
      <c r="BC289" s="234">
        <f t="shared" si="23"/>
        <v>0</v>
      </c>
    </row>
    <row r="290" spans="53:55" x14ac:dyDescent="0.65">
      <c r="BA290" s="331">
        <v>45152</v>
      </c>
      <c r="BB290" s="234" t="str">
        <f t="shared" si="22"/>
        <v>月曜日</v>
      </c>
      <c r="BC290" s="234">
        <f t="shared" si="23"/>
        <v>0</v>
      </c>
    </row>
    <row r="291" spans="53:55" x14ac:dyDescent="0.65">
      <c r="BA291" s="331">
        <v>45153</v>
      </c>
      <c r="BB291" s="234" t="str">
        <f t="shared" si="22"/>
        <v>火曜日</v>
      </c>
      <c r="BC291" s="234">
        <f t="shared" si="23"/>
        <v>0</v>
      </c>
    </row>
    <row r="292" spans="53:55" x14ac:dyDescent="0.65">
      <c r="BA292" s="331">
        <v>45154</v>
      </c>
      <c r="BB292" s="234" t="str">
        <f t="shared" si="22"/>
        <v>水曜日</v>
      </c>
      <c r="BC292" s="234">
        <f t="shared" si="23"/>
        <v>0</v>
      </c>
    </row>
    <row r="293" spans="53:55" x14ac:dyDescent="0.65">
      <c r="BA293" s="331">
        <v>45155</v>
      </c>
      <c r="BB293" s="234" t="str">
        <f t="shared" si="22"/>
        <v>木曜日</v>
      </c>
      <c r="BC293" s="234">
        <f t="shared" si="23"/>
        <v>0</v>
      </c>
    </row>
    <row r="294" spans="53:55" x14ac:dyDescent="0.65">
      <c r="BA294" s="331">
        <v>45156</v>
      </c>
      <c r="BB294" s="234" t="str">
        <f t="shared" si="22"/>
        <v>金曜日</v>
      </c>
      <c r="BC294" s="234">
        <f t="shared" si="23"/>
        <v>0</v>
      </c>
    </row>
    <row r="295" spans="53:55" x14ac:dyDescent="0.65">
      <c r="BA295" s="331">
        <v>45157</v>
      </c>
      <c r="BB295" s="234" t="str">
        <f t="shared" si="22"/>
        <v>土曜日</v>
      </c>
      <c r="BC295" s="234">
        <f t="shared" si="23"/>
        <v>0</v>
      </c>
    </row>
    <row r="296" spans="53:55" x14ac:dyDescent="0.65">
      <c r="BA296" s="331">
        <v>45158</v>
      </c>
      <c r="BB296" s="234" t="str">
        <f t="shared" si="22"/>
        <v>日曜日</v>
      </c>
      <c r="BC296" s="234">
        <f t="shared" si="23"/>
        <v>0</v>
      </c>
    </row>
    <row r="297" spans="53:55" x14ac:dyDescent="0.65">
      <c r="BA297" s="331">
        <v>45159</v>
      </c>
      <c r="BB297" s="234" t="str">
        <f t="shared" si="22"/>
        <v>月曜日</v>
      </c>
      <c r="BC297" s="234">
        <f t="shared" si="23"/>
        <v>0</v>
      </c>
    </row>
    <row r="298" spans="53:55" x14ac:dyDescent="0.65">
      <c r="BA298" s="331">
        <v>45160</v>
      </c>
      <c r="BB298" s="234" t="str">
        <f t="shared" si="22"/>
        <v>火曜日</v>
      </c>
      <c r="BC298" s="234">
        <f t="shared" si="23"/>
        <v>0</v>
      </c>
    </row>
    <row r="299" spans="53:55" x14ac:dyDescent="0.65">
      <c r="BA299" s="331">
        <v>45161</v>
      </c>
      <c r="BB299" s="234" t="str">
        <f t="shared" si="22"/>
        <v>水曜日</v>
      </c>
      <c r="BC299" s="234">
        <f t="shared" si="23"/>
        <v>0</v>
      </c>
    </row>
    <row r="300" spans="53:55" x14ac:dyDescent="0.65">
      <c r="BA300" s="331">
        <v>45162</v>
      </c>
      <c r="BB300" s="234" t="str">
        <f t="shared" si="22"/>
        <v>木曜日</v>
      </c>
      <c r="BC300" s="234">
        <f t="shared" si="23"/>
        <v>0</v>
      </c>
    </row>
    <row r="301" spans="53:55" x14ac:dyDescent="0.65">
      <c r="BA301" s="331">
        <v>45163</v>
      </c>
      <c r="BB301" s="234" t="str">
        <f t="shared" si="22"/>
        <v>金曜日</v>
      </c>
      <c r="BC301" s="234">
        <f t="shared" si="23"/>
        <v>0</v>
      </c>
    </row>
    <row r="302" spans="53:55" x14ac:dyDescent="0.65">
      <c r="BA302" s="331">
        <v>45164</v>
      </c>
      <c r="BB302" s="234" t="str">
        <f t="shared" si="22"/>
        <v>土曜日</v>
      </c>
      <c r="BC302" s="234">
        <f t="shared" si="23"/>
        <v>0</v>
      </c>
    </row>
    <row r="303" spans="53:55" x14ac:dyDescent="0.65">
      <c r="BA303" s="331">
        <v>45165</v>
      </c>
      <c r="BB303" s="234" t="str">
        <f t="shared" si="22"/>
        <v>日曜日</v>
      </c>
      <c r="BC303" s="234">
        <f t="shared" si="23"/>
        <v>0</v>
      </c>
    </row>
    <row r="304" spans="53:55" x14ac:dyDescent="0.65">
      <c r="BA304" s="331">
        <v>45166</v>
      </c>
      <c r="BB304" s="234" t="str">
        <f t="shared" si="22"/>
        <v>月曜日</v>
      </c>
      <c r="BC304" s="234">
        <f t="shared" si="23"/>
        <v>0</v>
      </c>
    </row>
    <row r="305" spans="53:55" x14ac:dyDescent="0.65">
      <c r="BA305" s="331">
        <v>45167</v>
      </c>
      <c r="BB305" s="234" t="str">
        <f t="shared" si="22"/>
        <v>火曜日</v>
      </c>
      <c r="BC305" s="234">
        <f t="shared" si="23"/>
        <v>0</v>
      </c>
    </row>
    <row r="306" spans="53:55" x14ac:dyDescent="0.65">
      <c r="BA306" s="331">
        <v>45168</v>
      </c>
      <c r="BB306" s="234" t="str">
        <f t="shared" si="22"/>
        <v>水曜日</v>
      </c>
      <c r="BC306" s="234">
        <f t="shared" si="23"/>
        <v>0</v>
      </c>
    </row>
    <row r="307" spans="53:55" x14ac:dyDescent="0.65">
      <c r="BA307" s="331">
        <v>45169</v>
      </c>
      <c r="BB307" s="234" t="str">
        <f t="shared" si="22"/>
        <v>木曜日</v>
      </c>
      <c r="BC307" s="234">
        <f t="shared" si="23"/>
        <v>0</v>
      </c>
    </row>
    <row r="308" spans="53:55" x14ac:dyDescent="0.65">
      <c r="BA308" s="331">
        <v>45170</v>
      </c>
      <c r="BB308" s="234" t="str">
        <f t="shared" si="22"/>
        <v>金曜日</v>
      </c>
      <c r="BC308" s="234">
        <f t="shared" si="23"/>
        <v>0</v>
      </c>
    </row>
    <row r="309" spans="53:55" x14ac:dyDescent="0.65">
      <c r="BA309" s="331">
        <v>45171</v>
      </c>
      <c r="BB309" s="234" t="str">
        <f t="shared" si="22"/>
        <v>土曜日</v>
      </c>
      <c r="BC309" s="234">
        <f t="shared" si="23"/>
        <v>0</v>
      </c>
    </row>
    <row r="310" spans="53:55" x14ac:dyDescent="0.65">
      <c r="BA310" s="331">
        <v>45172</v>
      </c>
      <c r="BB310" s="234" t="str">
        <f t="shared" si="22"/>
        <v>日曜日</v>
      </c>
      <c r="BC310" s="234">
        <f t="shared" si="23"/>
        <v>0</v>
      </c>
    </row>
    <row r="311" spans="53:55" x14ac:dyDescent="0.65">
      <c r="BA311" s="331">
        <v>45173</v>
      </c>
      <c r="BB311" s="234" t="str">
        <f t="shared" si="22"/>
        <v>月曜日</v>
      </c>
      <c r="BC311" s="234">
        <f t="shared" si="23"/>
        <v>0</v>
      </c>
    </row>
    <row r="312" spans="53:55" x14ac:dyDescent="0.65">
      <c r="BA312" s="331">
        <v>45174</v>
      </c>
      <c r="BB312" s="234" t="str">
        <f t="shared" si="22"/>
        <v>火曜日</v>
      </c>
      <c r="BC312" s="234">
        <f t="shared" si="23"/>
        <v>0</v>
      </c>
    </row>
    <row r="313" spans="53:55" x14ac:dyDescent="0.65">
      <c r="BA313" s="331">
        <v>45175</v>
      </c>
      <c r="BB313" s="234" t="str">
        <f t="shared" si="22"/>
        <v>水曜日</v>
      </c>
      <c r="BC313" s="234">
        <f t="shared" si="23"/>
        <v>0</v>
      </c>
    </row>
    <row r="314" spans="53:55" x14ac:dyDescent="0.65">
      <c r="BA314" s="331">
        <v>45176</v>
      </c>
      <c r="BB314" s="234" t="str">
        <f t="shared" si="22"/>
        <v>木曜日</v>
      </c>
      <c r="BC314" s="234">
        <f t="shared" si="23"/>
        <v>0</v>
      </c>
    </row>
    <row r="315" spans="53:55" x14ac:dyDescent="0.65">
      <c r="BA315" s="331">
        <v>45177</v>
      </c>
      <c r="BB315" s="234" t="str">
        <f t="shared" si="22"/>
        <v>金曜日</v>
      </c>
      <c r="BC315" s="234">
        <f t="shared" si="23"/>
        <v>0</v>
      </c>
    </row>
    <row r="316" spans="53:55" x14ac:dyDescent="0.65">
      <c r="BA316" s="331">
        <v>45178</v>
      </c>
      <c r="BB316" s="234" t="str">
        <f t="shared" si="22"/>
        <v>土曜日</v>
      </c>
      <c r="BC316" s="234">
        <f t="shared" si="23"/>
        <v>0</v>
      </c>
    </row>
    <row r="317" spans="53:55" x14ac:dyDescent="0.65">
      <c r="BA317" s="331">
        <v>45179</v>
      </c>
      <c r="BB317" s="234" t="str">
        <f t="shared" si="22"/>
        <v>日曜日</v>
      </c>
      <c r="BC317" s="234">
        <f t="shared" si="23"/>
        <v>0</v>
      </c>
    </row>
    <row r="318" spans="53:55" x14ac:dyDescent="0.65">
      <c r="BA318" s="331">
        <v>45180</v>
      </c>
      <c r="BB318" s="234" t="str">
        <f t="shared" si="22"/>
        <v>月曜日</v>
      </c>
      <c r="BC318" s="234">
        <f t="shared" si="23"/>
        <v>0</v>
      </c>
    </row>
    <row r="319" spans="53:55" x14ac:dyDescent="0.65">
      <c r="BA319" s="331">
        <v>45181</v>
      </c>
      <c r="BB319" s="234" t="str">
        <f t="shared" si="22"/>
        <v>火曜日</v>
      </c>
      <c r="BC319" s="234">
        <f t="shared" si="23"/>
        <v>0</v>
      </c>
    </row>
    <row r="320" spans="53:55" x14ac:dyDescent="0.65">
      <c r="BA320" s="331">
        <v>45182</v>
      </c>
      <c r="BB320" s="234" t="str">
        <f t="shared" si="22"/>
        <v>水曜日</v>
      </c>
      <c r="BC320" s="234">
        <f t="shared" si="23"/>
        <v>0</v>
      </c>
    </row>
    <row r="321" spans="53:55" x14ac:dyDescent="0.65">
      <c r="BA321" s="331">
        <v>45183</v>
      </c>
      <c r="BB321" s="234" t="str">
        <f t="shared" si="22"/>
        <v>木曜日</v>
      </c>
      <c r="BC321" s="234">
        <f t="shared" si="23"/>
        <v>0</v>
      </c>
    </row>
    <row r="322" spans="53:55" x14ac:dyDescent="0.65">
      <c r="BA322" s="331">
        <v>45184</v>
      </c>
      <c r="BB322" s="234" t="str">
        <f t="shared" ref="BB322:BB385" si="24">TEXT(BA322,"aaaa")</f>
        <v>金曜日</v>
      </c>
      <c r="BC322" s="234">
        <f t="shared" ref="BC322:BC385" si="25">VLOOKUP(BB322,$A$8:$E$14,2,FALSE)</f>
        <v>0</v>
      </c>
    </row>
    <row r="323" spans="53:55" x14ac:dyDescent="0.65">
      <c r="BA323" s="331">
        <v>45185</v>
      </c>
      <c r="BB323" s="234" t="str">
        <f t="shared" si="24"/>
        <v>土曜日</v>
      </c>
      <c r="BC323" s="234">
        <f t="shared" si="25"/>
        <v>0</v>
      </c>
    </row>
    <row r="324" spans="53:55" x14ac:dyDescent="0.65">
      <c r="BA324" s="331">
        <v>45186</v>
      </c>
      <c r="BB324" s="234" t="str">
        <f t="shared" si="24"/>
        <v>日曜日</v>
      </c>
      <c r="BC324" s="234">
        <f t="shared" si="25"/>
        <v>0</v>
      </c>
    </row>
    <row r="325" spans="53:55" x14ac:dyDescent="0.65">
      <c r="BA325" s="331">
        <v>45187</v>
      </c>
      <c r="BB325" s="234" t="str">
        <f t="shared" si="24"/>
        <v>月曜日</v>
      </c>
      <c r="BC325" s="234">
        <f t="shared" si="25"/>
        <v>0</v>
      </c>
    </row>
    <row r="326" spans="53:55" x14ac:dyDescent="0.65">
      <c r="BA326" s="331">
        <v>45188</v>
      </c>
      <c r="BB326" s="234" t="str">
        <f t="shared" si="24"/>
        <v>火曜日</v>
      </c>
      <c r="BC326" s="234">
        <f t="shared" si="25"/>
        <v>0</v>
      </c>
    </row>
    <row r="327" spans="53:55" x14ac:dyDescent="0.65">
      <c r="BA327" s="331">
        <v>45189</v>
      </c>
      <c r="BB327" s="234" t="str">
        <f t="shared" si="24"/>
        <v>水曜日</v>
      </c>
      <c r="BC327" s="234">
        <f t="shared" si="25"/>
        <v>0</v>
      </c>
    </row>
    <row r="328" spans="53:55" x14ac:dyDescent="0.65">
      <c r="BA328" s="331">
        <v>45190</v>
      </c>
      <c r="BB328" s="234" t="str">
        <f t="shared" si="24"/>
        <v>木曜日</v>
      </c>
      <c r="BC328" s="234">
        <f t="shared" si="25"/>
        <v>0</v>
      </c>
    </row>
    <row r="329" spans="53:55" x14ac:dyDescent="0.65">
      <c r="BA329" s="331">
        <v>45191</v>
      </c>
      <c r="BB329" s="234" t="str">
        <f t="shared" si="24"/>
        <v>金曜日</v>
      </c>
      <c r="BC329" s="234">
        <f t="shared" si="25"/>
        <v>0</v>
      </c>
    </row>
    <row r="330" spans="53:55" x14ac:dyDescent="0.65">
      <c r="BA330" s="331">
        <v>45192</v>
      </c>
      <c r="BB330" s="234" t="str">
        <f t="shared" si="24"/>
        <v>土曜日</v>
      </c>
      <c r="BC330" s="234">
        <f t="shared" si="25"/>
        <v>0</v>
      </c>
    </row>
    <row r="331" spans="53:55" x14ac:dyDescent="0.65">
      <c r="BA331" s="331">
        <v>45193</v>
      </c>
      <c r="BB331" s="234" t="str">
        <f t="shared" si="24"/>
        <v>日曜日</v>
      </c>
      <c r="BC331" s="234">
        <f t="shared" si="25"/>
        <v>0</v>
      </c>
    </row>
    <row r="332" spans="53:55" x14ac:dyDescent="0.65">
      <c r="BA332" s="331">
        <v>45194</v>
      </c>
      <c r="BB332" s="234" t="str">
        <f t="shared" si="24"/>
        <v>月曜日</v>
      </c>
      <c r="BC332" s="234">
        <f t="shared" si="25"/>
        <v>0</v>
      </c>
    </row>
    <row r="333" spans="53:55" x14ac:dyDescent="0.65">
      <c r="BA333" s="331">
        <v>45195</v>
      </c>
      <c r="BB333" s="234" t="str">
        <f t="shared" si="24"/>
        <v>火曜日</v>
      </c>
      <c r="BC333" s="234">
        <f t="shared" si="25"/>
        <v>0</v>
      </c>
    </row>
    <row r="334" spans="53:55" x14ac:dyDescent="0.65">
      <c r="BA334" s="331">
        <v>45196</v>
      </c>
      <c r="BB334" s="234" t="str">
        <f t="shared" si="24"/>
        <v>水曜日</v>
      </c>
      <c r="BC334" s="234">
        <f t="shared" si="25"/>
        <v>0</v>
      </c>
    </row>
    <row r="335" spans="53:55" x14ac:dyDescent="0.65">
      <c r="BA335" s="331">
        <v>45197</v>
      </c>
      <c r="BB335" s="234" t="str">
        <f t="shared" si="24"/>
        <v>木曜日</v>
      </c>
      <c r="BC335" s="234">
        <f t="shared" si="25"/>
        <v>0</v>
      </c>
    </row>
    <row r="336" spans="53:55" x14ac:dyDescent="0.65">
      <c r="BA336" s="331">
        <v>45198</v>
      </c>
      <c r="BB336" s="234" t="str">
        <f t="shared" si="24"/>
        <v>金曜日</v>
      </c>
      <c r="BC336" s="234">
        <f t="shared" si="25"/>
        <v>0</v>
      </c>
    </row>
    <row r="337" spans="53:55" x14ac:dyDescent="0.65">
      <c r="BA337" s="331">
        <v>45199</v>
      </c>
      <c r="BB337" s="234" t="str">
        <f t="shared" si="24"/>
        <v>土曜日</v>
      </c>
      <c r="BC337" s="234">
        <f t="shared" si="25"/>
        <v>0</v>
      </c>
    </row>
    <row r="338" spans="53:55" x14ac:dyDescent="0.65">
      <c r="BA338" s="331">
        <v>45200</v>
      </c>
      <c r="BB338" s="234" t="str">
        <f t="shared" si="24"/>
        <v>日曜日</v>
      </c>
      <c r="BC338" s="234">
        <f t="shared" si="25"/>
        <v>0</v>
      </c>
    </row>
    <row r="339" spans="53:55" x14ac:dyDescent="0.65">
      <c r="BA339" s="331">
        <v>45201</v>
      </c>
      <c r="BB339" s="234" t="str">
        <f t="shared" si="24"/>
        <v>月曜日</v>
      </c>
      <c r="BC339" s="234">
        <f t="shared" si="25"/>
        <v>0</v>
      </c>
    </row>
    <row r="340" spans="53:55" x14ac:dyDescent="0.65">
      <c r="BA340" s="331">
        <v>45202</v>
      </c>
      <c r="BB340" s="234" t="str">
        <f t="shared" si="24"/>
        <v>火曜日</v>
      </c>
      <c r="BC340" s="234">
        <f t="shared" si="25"/>
        <v>0</v>
      </c>
    </row>
    <row r="341" spans="53:55" x14ac:dyDescent="0.65">
      <c r="BA341" s="331">
        <v>45203</v>
      </c>
      <c r="BB341" s="234" t="str">
        <f t="shared" si="24"/>
        <v>水曜日</v>
      </c>
      <c r="BC341" s="234">
        <f t="shared" si="25"/>
        <v>0</v>
      </c>
    </row>
    <row r="342" spans="53:55" x14ac:dyDescent="0.65">
      <c r="BA342" s="331">
        <v>45204</v>
      </c>
      <c r="BB342" s="234" t="str">
        <f t="shared" si="24"/>
        <v>木曜日</v>
      </c>
      <c r="BC342" s="234">
        <f t="shared" si="25"/>
        <v>0</v>
      </c>
    </row>
    <row r="343" spans="53:55" x14ac:dyDescent="0.65">
      <c r="BA343" s="331">
        <v>45205</v>
      </c>
      <c r="BB343" s="234" t="str">
        <f t="shared" si="24"/>
        <v>金曜日</v>
      </c>
      <c r="BC343" s="234">
        <f t="shared" si="25"/>
        <v>0</v>
      </c>
    </row>
    <row r="344" spans="53:55" x14ac:dyDescent="0.65">
      <c r="BA344" s="331">
        <v>45206</v>
      </c>
      <c r="BB344" s="234" t="str">
        <f t="shared" si="24"/>
        <v>土曜日</v>
      </c>
      <c r="BC344" s="234">
        <f t="shared" si="25"/>
        <v>0</v>
      </c>
    </row>
    <row r="345" spans="53:55" x14ac:dyDescent="0.65">
      <c r="BA345" s="331">
        <v>45207</v>
      </c>
      <c r="BB345" s="234" t="str">
        <f t="shared" si="24"/>
        <v>日曜日</v>
      </c>
      <c r="BC345" s="234">
        <f t="shared" si="25"/>
        <v>0</v>
      </c>
    </row>
    <row r="346" spans="53:55" x14ac:dyDescent="0.65">
      <c r="BA346" s="331">
        <v>45208</v>
      </c>
      <c r="BB346" s="234" t="str">
        <f t="shared" si="24"/>
        <v>月曜日</v>
      </c>
      <c r="BC346" s="234">
        <f t="shared" si="25"/>
        <v>0</v>
      </c>
    </row>
    <row r="347" spans="53:55" x14ac:dyDescent="0.65">
      <c r="BA347" s="331">
        <v>45209</v>
      </c>
      <c r="BB347" s="234" t="str">
        <f t="shared" si="24"/>
        <v>火曜日</v>
      </c>
      <c r="BC347" s="234">
        <f t="shared" si="25"/>
        <v>0</v>
      </c>
    </row>
    <row r="348" spans="53:55" x14ac:dyDescent="0.65">
      <c r="BA348" s="331">
        <v>45210</v>
      </c>
      <c r="BB348" s="234" t="str">
        <f t="shared" si="24"/>
        <v>水曜日</v>
      </c>
      <c r="BC348" s="234">
        <f t="shared" si="25"/>
        <v>0</v>
      </c>
    </row>
    <row r="349" spans="53:55" x14ac:dyDescent="0.65">
      <c r="BA349" s="331">
        <v>45211</v>
      </c>
      <c r="BB349" s="234" t="str">
        <f t="shared" si="24"/>
        <v>木曜日</v>
      </c>
      <c r="BC349" s="234">
        <f t="shared" si="25"/>
        <v>0</v>
      </c>
    </row>
    <row r="350" spans="53:55" x14ac:dyDescent="0.65">
      <c r="BA350" s="331">
        <v>45212</v>
      </c>
      <c r="BB350" s="234" t="str">
        <f t="shared" si="24"/>
        <v>金曜日</v>
      </c>
      <c r="BC350" s="234">
        <f t="shared" si="25"/>
        <v>0</v>
      </c>
    </row>
    <row r="351" spans="53:55" x14ac:dyDescent="0.65">
      <c r="BA351" s="331">
        <v>45213</v>
      </c>
      <c r="BB351" s="234" t="str">
        <f t="shared" si="24"/>
        <v>土曜日</v>
      </c>
      <c r="BC351" s="234">
        <f t="shared" si="25"/>
        <v>0</v>
      </c>
    </row>
    <row r="352" spans="53:55" x14ac:dyDescent="0.65">
      <c r="BA352" s="331">
        <v>45214</v>
      </c>
      <c r="BB352" s="234" t="str">
        <f t="shared" si="24"/>
        <v>日曜日</v>
      </c>
      <c r="BC352" s="234">
        <f t="shared" si="25"/>
        <v>0</v>
      </c>
    </row>
    <row r="353" spans="53:55" x14ac:dyDescent="0.65">
      <c r="BA353" s="331">
        <v>45215</v>
      </c>
      <c r="BB353" s="234" t="str">
        <f t="shared" si="24"/>
        <v>月曜日</v>
      </c>
      <c r="BC353" s="234">
        <f t="shared" si="25"/>
        <v>0</v>
      </c>
    </row>
    <row r="354" spans="53:55" x14ac:dyDescent="0.65">
      <c r="BA354" s="331">
        <v>45216</v>
      </c>
      <c r="BB354" s="234" t="str">
        <f t="shared" si="24"/>
        <v>火曜日</v>
      </c>
      <c r="BC354" s="234">
        <f t="shared" si="25"/>
        <v>0</v>
      </c>
    </row>
    <row r="355" spans="53:55" x14ac:dyDescent="0.65">
      <c r="BA355" s="331">
        <v>45217</v>
      </c>
      <c r="BB355" s="234" t="str">
        <f t="shared" si="24"/>
        <v>水曜日</v>
      </c>
      <c r="BC355" s="234">
        <f t="shared" si="25"/>
        <v>0</v>
      </c>
    </row>
    <row r="356" spans="53:55" x14ac:dyDescent="0.65">
      <c r="BA356" s="331">
        <v>45218</v>
      </c>
      <c r="BB356" s="234" t="str">
        <f t="shared" si="24"/>
        <v>木曜日</v>
      </c>
      <c r="BC356" s="234">
        <f t="shared" si="25"/>
        <v>0</v>
      </c>
    </row>
    <row r="357" spans="53:55" x14ac:dyDescent="0.65">
      <c r="BA357" s="331">
        <v>45219</v>
      </c>
      <c r="BB357" s="234" t="str">
        <f t="shared" si="24"/>
        <v>金曜日</v>
      </c>
      <c r="BC357" s="234">
        <f t="shared" si="25"/>
        <v>0</v>
      </c>
    </row>
    <row r="358" spans="53:55" x14ac:dyDescent="0.65">
      <c r="BA358" s="331">
        <v>45220</v>
      </c>
      <c r="BB358" s="234" t="str">
        <f t="shared" si="24"/>
        <v>土曜日</v>
      </c>
      <c r="BC358" s="234">
        <f t="shared" si="25"/>
        <v>0</v>
      </c>
    </row>
    <row r="359" spans="53:55" x14ac:dyDescent="0.65">
      <c r="BA359" s="331">
        <v>45221</v>
      </c>
      <c r="BB359" s="234" t="str">
        <f t="shared" si="24"/>
        <v>日曜日</v>
      </c>
      <c r="BC359" s="234">
        <f t="shared" si="25"/>
        <v>0</v>
      </c>
    </row>
    <row r="360" spans="53:55" x14ac:dyDescent="0.65">
      <c r="BA360" s="331">
        <v>45222</v>
      </c>
      <c r="BB360" s="234" t="str">
        <f t="shared" si="24"/>
        <v>月曜日</v>
      </c>
      <c r="BC360" s="234">
        <f t="shared" si="25"/>
        <v>0</v>
      </c>
    </row>
    <row r="361" spans="53:55" x14ac:dyDescent="0.65">
      <c r="BA361" s="331">
        <v>45223</v>
      </c>
      <c r="BB361" s="234" t="str">
        <f t="shared" si="24"/>
        <v>火曜日</v>
      </c>
      <c r="BC361" s="234">
        <f t="shared" si="25"/>
        <v>0</v>
      </c>
    </row>
    <row r="362" spans="53:55" x14ac:dyDescent="0.65">
      <c r="BA362" s="331">
        <v>45224</v>
      </c>
      <c r="BB362" s="234" t="str">
        <f t="shared" si="24"/>
        <v>水曜日</v>
      </c>
      <c r="BC362" s="234">
        <f t="shared" si="25"/>
        <v>0</v>
      </c>
    </row>
    <row r="363" spans="53:55" x14ac:dyDescent="0.65">
      <c r="BA363" s="331">
        <v>45225</v>
      </c>
      <c r="BB363" s="234" t="str">
        <f t="shared" si="24"/>
        <v>木曜日</v>
      </c>
      <c r="BC363" s="234">
        <f t="shared" si="25"/>
        <v>0</v>
      </c>
    </row>
    <row r="364" spans="53:55" x14ac:dyDescent="0.65">
      <c r="BA364" s="331">
        <v>45226</v>
      </c>
      <c r="BB364" s="234" t="str">
        <f t="shared" si="24"/>
        <v>金曜日</v>
      </c>
      <c r="BC364" s="234">
        <f t="shared" si="25"/>
        <v>0</v>
      </c>
    </row>
    <row r="365" spans="53:55" x14ac:dyDescent="0.65">
      <c r="BA365" s="331">
        <v>45227</v>
      </c>
      <c r="BB365" s="234" t="str">
        <f t="shared" si="24"/>
        <v>土曜日</v>
      </c>
      <c r="BC365" s="234">
        <f t="shared" si="25"/>
        <v>0</v>
      </c>
    </row>
    <row r="366" spans="53:55" x14ac:dyDescent="0.65">
      <c r="BA366" s="331">
        <v>45228</v>
      </c>
      <c r="BB366" s="234" t="str">
        <f t="shared" si="24"/>
        <v>日曜日</v>
      </c>
      <c r="BC366" s="234">
        <f t="shared" si="25"/>
        <v>0</v>
      </c>
    </row>
    <row r="367" spans="53:55" x14ac:dyDescent="0.65">
      <c r="BA367" s="331">
        <v>45229</v>
      </c>
      <c r="BB367" s="234" t="str">
        <f t="shared" si="24"/>
        <v>月曜日</v>
      </c>
      <c r="BC367" s="234">
        <f t="shared" si="25"/>
        <v>0</v>
      </c>
    </row>
    <row r="368" spans="53:55" x14ac:dyDescent="0.65">
      <c r="BA368" s="331">
        <v>45230</v>
      </c>
      <c r="BB368" s="234" t="str">
        <f t="shared" si="24"/>
        <v>火曜日</v>
      </c>
      <c r="BC368" s="234">
        <f t="shared" si="25"/>
        <v>0</v>
      </c>
    </row>
    <row r="369" spans="53:55" x14ac:dyDescent="0.65">
      <c r="BA369" s="331">
        <v>45231</v>
      </c>
      <c r="BB369" s="234" t="str">
        <f t="shared" si="24"/>
        <v>水曜日</v>
      </c>
      <c r="BC369" s="234">
        <f t="shared" si="25"/>
        <v>0</v>
      </c>
    </row>
    <row r="370" spans="53:55" x14ac:dyDescent="0.65">
      <c r="BA370" s="331">
        <v>45232</v>
      </c>
      <c r="BB370" s="234" t="str">
        <f t="shared" si="24"/>
        <v>木曜日</v>
      </c>
      <c r="BC370" s="234">
        <f t="shared" si="25"/>
        <v>0</v>
      </c>
    </row>
    <row r="371" spans="53:55" x14ac:dyDescent="0.65">
      <c r="BA371" s="331">
        <v>45233</v>
      </c>
      <c r="BB371" s="234" t="str">
        <f t="shared" si="24"/>
        <v>金曜日</v>
      </c>
      <c r="BC371" s="234">
        <f t="shared" si="25"/>
        <v>0</v>
      </c>
    </row>
    <row r="372" spans="53:55" x14ac:dyDescent="0.65">
      <c r="BA372" s="331">
        <v>45234</v>
      </c>
      <c r="BB372" s="234" t="str">
        <f t="shared" si="24"/>
        <v>土曜日</v>
      </c>
      <c r="BC372" s="234">
        <f t="shared" si="25"/>
        <v>0</v>
      </c>
    </row>
    <row r="373" spans="53:55" x14ac:dyDescent="0.65">
      <c r="BA373" s="331">
        <v>45235</v>
      </c>
      <c r="BB373" s="234" t="str">
        <f t="shared" si="24"/>
        <v>日曜日</v>
      </c>
      <c r="BC373" s="234">
        <f t="shared" si="25"/>
        <v>0</v>
      </c>
    </row>
    <row r="374" spans="53:55" x14ac:dyDescent="0.65">
      <c r="BA374" s="331">
        <v>45236</v>
      </c>
      <c r="BB374" s="234" t="str">
        <f t="shared" si="24"/>
        <v>月曜日</v>
      </c>
      <c r="BC374" s="234">
        <f t="shared" si="25"/>
        <v>0</v>
      </c>
    </row>
    <row r="375" spans="53:55" x14ac:dyDescent="0.65">
      <c r="BA375" s="331">
        <v>45237</v>
      </c>
      <c r="BB375" s="234" t="str">
        <f t="shared" si="24"/>
        <v>火曜日</v>
      </c>
      <c r="BC375" s="234">
        <f t="shared" si="25"/>
        <v>0</v>
      </c>
    </row>
    <row r="376" spans="53:55" x14ac:dyDescent="0.65">
      <c r="BA376" s="331">
        <v>45238</v>
      </c>
      <c r="BB376" s="234" t="str">
        <f t="shared" si="24"/>
        <v>水曜日</v>
      </c>
      <c r="BC376" s="234">
        <f t="shared" si="25"/>
        <v>0</v>
      </c>
    </row>
    <row r="377" spans="53:55" x14ac:dyDescent="0.65">
      <c r="BA377" s="331">
        <v>45239</v>
      </c>
      <c r="BB377" s="234" t="str">
        <f t="shared" si="24"/>
        <v>木曜日</v>
      </c>
      <c r="BC377" s="234">
        <f t="shared" si="25"/>
        <v>0</v>
      </c>
    </row>
    <row r="378" spans="53:55" x14ac:dyDescent="0.65">
      <c r="BA378" s="331">
        <v>45240</v>
      </c>
      <c r="BB378" s="234" t="str">
        <f t="shared" si="24"/>
        <v>金曜日</v>
      </c>
      <c r="BC378" s="234">
        <f t="shared" si="25"/>
        <v>0</v>
      </c>
    </row>
    <row r="379" spans="53:55" x14ac:dyDescent="0.65">
      <c r="BA379" s="331">
        <v>45241</v>
      </c>
      <c r="BB379" s="234" t="str">
        <f t="shared" si="24"/>
        <v>土曜日</v>
      </c>
      <c r="BC379" s="234">
        <f t="shared" si="25"/>
        <v>0</v>
      </c>
    </row>
    <row r="380" spans="53:55" x14ac:dyDescent="0.65">
      <c r="BA380" s="331">
        <v>45242</v>
      </c>
      <c r="BB380" s="234" t="str">
        <f t="shared" si="24"/>
        <v>日曜日</v>
      </c>
      <c r="BC380" s="234">
        <f t="shared" si="25"/>
        <v>0</v>
      </c>
    </row>
    <row r="381" spans="53:55" x14ac:dyDescent="0.65">
      <c r="BA381" s="331">
        <v>45243</v>
      </c>
      <c r="BB381" s="234" t="str">
        <f t="shared" si="24"/>
        <v>月曜日</v>
      </c>
      <c r="BC381" s="234">
        <f t="shared" si="25"/>
        <v>0</v>
      </c>
    </row>
    <row r="382" spans="53:55" x14ac:dyDescent="0.65">
      <c r="BA382" s="331">
        <v>45244</v>
      </c>
      <c r="BB382" s="234" t="str">
        <f t="shared" si="24"/>
        <v>火曜日</v>
      </c>
      <c r="BC382" s="234">
        <f t="shared" si="25"/>
        <v>0</v>
      </c>
    </row>
    <row r="383" spans="53:55" x14ac:dyDescent="0.65">
      <c r="BA383" s="331">
        <v>45245</v>
      </c>
      <c r="BB383" s="234" t="str">
        <f t="shared" si="24"/>
        <v>水曜日</v>
      </c>
      <c r="BC383" s="234">
        <f t="shared" si="25"/>
        <v>0</v>
      </c>
    </row>
    <row r="384" spans="53:55" x14ac:dyDescent="0.65">
      <c r="BA384" s="331">
        <v>45246</v>
      </c>
      <c r="BB384" s="234" t="str">
        <f t="shared" si="24"/>
        <v>木曜日</v>
      </c>
      <c r="BC384" s="234">
        <f t="shared" si="25"/>
        <v>0</v>
      </c>
    </row>
    <row r="385" spans="53:55" x14ac:dyDescent="0.65">
      <c r="BA385" s="331">
        <v>45247</v>
      </c>
      <c r="BB385" s="234" t="str">
        <f t="shared" si="24"/>
        <v>金曜日</v>
      </c>
      <c r="BC385" s="234">
        <f t="shared" si="25"/>
        <v>0</v>
      </c>
    </row>
    <row r="386" spans="53:55" x14ac:dyDescent="0.65">
      <c r="BA386" s="331">
        <v>45248</v>
      </c>
      <c r="BB386" s="234" t="str">
        <f t="shared" ref="BB386:BB449" si="26">TEXT(BA386,"aaaa")</f>
        <v>土曜日</v>
      </c>
      <c r="BC386" s="234">
        <f t="shared" ref="BC386:BC449" si="27">VLOOKUP(BB386,$A$8:$E$14,2,FALSE)</f>
        <v>0</v>
      </c>
    </row>
    <row r="387" spans="53:55" x14ac:dyDescent="0.65">
      <c r="BA387" s="331">
        <v>45249</v>
      </c>
      <c r="BB387" s="234" t="str">
        <f t="shared" si="26"/>
        <v>日曜日</v>
      </c>
      <c r="BC387" s="234">
        <f t="shared" si="27"/>
        <v>0</v>
      </c>
    </row>
    <row r="388" spans="53:55" x14ac:dyDescent="0.65">
      <c r="BA388" s="331">
        <v>45250</v>
      </c>
      <c r="BB388" s="234" t="str">
        <f t="shared" si="26"/>
        <v>月曜日</v>
      </c>
      <c r="BC388" s="234">
        <f t="shared" si="27"/>
        <v>0</v>
      </c>
    </row>
    <row r="389" spans="53:55" x14ac:dyDescent="0.65">
      <c r="BA389" s="331">
        <v>45251</v>
      </c>
      <c r="BB389" s="234" t="str">
        <f t="shared" si="26"/>
        <v>火曜日</v>
      </c>
      <c r="BC389" s="234">
        <f t="shared" si="27"/>
        <v>0</v>
      </c>
    </row>
    <row r="390" spans="53:55" x14ac:dyDescent="0.65">
      <c r="BA390" s="331">
        <v>45252</v>
      </c>
      <c r="BB390" s="234" t="str">
        <f t="shared" si="26"/>
        <v>水曜日</v>
      </c>
      <c r="BC390" s="234">
        <f t="shared" si="27"/>
        <v>0</v>
      </c>
    </row>
    <row r="391" spans="53:55" x14ac:dyDescent="0.65">
      <c r="BA391" s="331">
        <v>45253</v>
      </c>
      <c r="BB391" s="234" t="str">
        <f t="shared" si="26"/>
        <v>木曜日</v>
      </c>
      <c r="BC391" s="234">
        <f t="shared" si="27"/>
        <v>0</v>
      </c>
    </row>
    <row r="392" spans="53:55" x14ac:dyDescent="0.65">
      <c r="BA392" s="331">
        <v>45254</v>
      </c>
      <c r="BB392" s="234" t="str">
        <f t="shared" si="26"/>
        <v>金曜日</v>
      </c>
      <c r="BC392" s="234">
        <f t="shared" si="27"/>
        <v>0</v>
      </c>
    </row>
    <row r="393" spans="53:55" x14ac:dyDescent="0.65">
      <c r="BA393" s="331">
        <v>45255</v>
      </c>
      <c r="BB393" s="234" t="str">
        <f t="shared" si="26"/>
        <v>土曜日</v>
      </c>
      <c r="BC393" s="234">
        <f t="shared" si="27"/>
        <v>0</v>
      </c>
    </row>
    <row r="394" spans="53:55" x14ac:dyDescent="0.65">
      <c r="BA394" s="331">
        <v>45256</v>
      </c>
      <c r="BB394" s="234" t="str">
        <f t="shared" si="26"/>
        <v>日曜日</v>
      </c>
      <c r="BC394" s="234">
        <f t="shared" si="27"/>
        <v>0</v>
      </c>
    </row>
    <row r="395" spans="53:55" x14ac:dyDescent="0.65">
      <c r="BA395" s="331">
        <v>45257</v>
      </c>
      <c r="BB395" s="234" t="str">
        <f t="shared" si="26"/>
        <v>月曜日</v>
      </c>
      <c r="BC395" s="234">
        <f t="shared" si="27"/>
        <v>0</v>
      </c>
    </row>
    <row r="396" spans="53:55" x14ac:dyDescent="0.65">
      <c r="BA396" s="331">
        <v>45258</v>
      </c>
      <c r="BB396" s="234" t="str">
        <f t="shared" si="26"/>
        <v>火曜日</v>
      </c>
      <c r="BC396" s="234">
        <f t="shared" si="27"/>
        <v>0</v>
      </c>
    </row>
    <row r="397" spans="53:55" x14ac:dyDescent="0.65">
      <c r="BA397" s="331">
        <v>45259</v>
      </c>
      <c r="BB397" s="234" t="str">
        <f t="shared" si="26"/>
        <v>水曜日</v>
      </c>
      <c r="BC397" s="234">
        <f t="shared" si="27"/>
        <v>0</v>
      </c>
    </row>
    <row r="398" spans="53:55" x14ac:dyDescent="0.65">
      <c r="BA398" s="331">
        <v>45260</v>
      </c>
      <c r="BB398" s="234" t="str">
        <f t="shared" si="26"/>
        <v>木曜日</v>
      </c>
      <c r="BC398" s="234">
        <f t="shared" si="27"/>
        <v>0</v>
      </c>
    </row>
    <row r="399" spans="53:55" x14ac:dyDescent="0.65">
      <c r="BA399" s="331">
        <v>45261</v>
      </c>
      <c r="BB399" s="234" t="str">
        <f t="shared" si="26"/>
        <v>金曜日</v>
      </c>
      <c r="BC399" s="234">
        <f t="shared" si="27"/>
        <v>0</v>
      </c>
    </row>
    <row r="400" spans="53:55" x14ac:dyDescent="0.65">
      <c r="BA400" s="331">
        <v>45262</v>
      </c>
      <c r="BB400" s="234" t="str">
        <f t="shared" si="26"/>
        <v>土曜日</v>
      </c>
      <c r="BC400" s="234">
        <f t="shared" si="27"/>
        <v>0</v>
      </c>
    </row>
    <row r="401" spans="53:55" x14ac:dyDescent="0.65">
      <c r="BA401" s="331">
        <v>45263</v>
      </c>
      <c r="BB401" s="234" t="str">
        <f t="shared" si="26"/>
        <v>日曜日</v>
      </c>
      <c r="BC401" s="234">
        <f t="shared" si="27"/>
        <v>0</v>
      </c>
    </row>
    <row r="402" spans="53:55" x14ac:dyDescent="0.65">
      <c r="BA402" s="331">
        <v>45264</v>
      </c>
      <c r="BB402" s="234" t="str">
        <f t="shared" si="26"/>
        <v>月曜日</v>
      </c>
      <c r="BC402" s="234">
        <f t="shared" si="27"/>
        <v>0</v>
      </c>
    </row>
    <row r="403" spans="53:55" x14ac:dyDescent="0.65">
      <c r="BA403" s="331">
        <v>45265</v>
      </c>
      <c r="BB403" s="234" t="str">
        <f t="shared" si="26"/>
        <v>火曜日</v>
      </c>
      <c r="BC403" s="234">
        <f t="shared" si="27"/>
        <v>0</v>
      </c>
    </row>
    <row r="404" spans="53:55" x14ac:dyDescent="0.65">
      <c r="BA404" s="331">
        <v>45266</v>
      </c>
      <c r="BB404" s="234" t="str">
        <f t="shared" si="26"/>
        <v>水曜日</v>
      </c>
      <c r="BC404" s="234">
        <f t="shared" si="27"/>
        <v>0</v>
      </c>
    </row>
    <row r="405" spans="53:55" x14ac:dyDescent="0.65">
      <c r="BA405" s="331">
        <v>45267</v>
      </c>
      <c r="BB405" s="234" t="str">
        <f t="shared" si="26"/>
        <v>木曜日</v>
      </c>
      <c r="BC405" s="234">
        <f t="shared" si="27"/>
        <v>0</v>
      </c>
    </row>
    <row r="406" spans="53:55" x14ac:dyDescent="0.65">
      <c r="BA406" s="331">
        <v>45268</v>
      </c>
      <c r="BB406" s="234" t="str">
        <f t="shared" si="26"/>
        <v>金曜日</v>
      </c>
      <c r="BC406" s="234">
        <f t="shared" si="27"/>
        <v>0</v>
      </c>
    </row>
    <row r="407" spans="53:55" x14ac:dyDescent="0.65">
      <c r="BA407" s="331">
        <v>45269</v>
      </c>
      <c r="BB407" s="234" t="str">
        <f t="shared" si="26"/>
        <v>土曜日</v>
      </c>
      <c r="BC407" s="234">
        <f t="shared" si="27"/>
        <v>0</v>
      </c>
    </row>
    <row r="408" spans="53:55" x14ac:dyDescent="0.65">
      <c r="BA408" s="331">
        <v>45270</v>
      </c>
      <c r="BB408" s="234" t="str">
        <f t="shared" si="26"/>
        <v>日曜日</v>
      </c>
      <c r="BC408" s="234">
        <f t="shared" si="27"/>
        <v>0</v>
      </c>
    </row>
    <row r="409" spans="53:55" x14ac:dyDescent="0.65">
      <c r="BA409" s="331">
        <v>45271</v>
      </c>
      <c r="BB409" s="234" t="str">
        <f t="shared" si="26"/>
        <v>月曜日</v>
      </c>
      <c r="BC409" s="234">
        <f t="shared" si="27"/>
        <v>0</v>
      </c>
    </row>
    <row r="410" spans="53:55" x14ac:dyDescent="0.65">
      <c r="BA410" s="331">
        <v>45272</v>
      </c>
      <c r="BB410" s="234" t="str">
        <f t="shared" si="26"/>
        <v>火曜日</v>
      </c>
      <c r="BC410" s="234">
        <f t="shared" si="27"/>
        <v>0</v>
      </c>
    </row>
    <row r="411" spans="53:55" x14ac:dyDescent="0.65">
      <c r="BA411" s="331">
        <v>45273</v>
      </c>
      <c r="BB411" s="234" t="str">
        <f t="shared" si="26"/>
        <v>水曜日</v>
      </c>
      <c r="BC411" s="234">
        <f t="shared" si="27"/>
        <v>0</v>
      </c>
    </row>
    <row r="412" spans="53:55" x14ac:dyDescent="0.65">
      <c r="BA412" s="331">
        <v>45274</v>
      </c>
      <c r="BB412" s="234" t="str">
        <f t="shared" si="26"/>
        <v>木曜日</v>
      </c>
      <c r="BC412" s="234">
        <f t="shared" si="27"/>
        <v>0</v>
      </c>
    </row>
    <row r="413" spans="53:55" x14ac:dyDescent="0.65">
      <c r="BA413" s="331">
        <v>45275</v>
      </c>
      <c r="BB413" s="234" t="str">
        <f t="shared" si="26"/>
        <v>金曜日</v>
      </c>
      <c r="BC413" s="234">
        <f t="shared" si="27"/>
        <v>0</v>
      </c>
    </row>
    <row r="414" spans="53:55" x14ac:dyDescent="0.65">
      <c r="BA414" s="331">
        <v>45276</v>
      </c>
      <c r="BB414" s="234" t="str">
        <f t="shared" si="26"/>
        <v>土曜日</v>
      </c>
      <c r="BC414" s="234">
        <f t="shared" si="27"/>
        <v>0</v>
      </c>
    </row>
    <row r="415" spans="53:55" x14ac:dyDescent="0.65">
      <c r="BA415" s="331">
        <v>45277</v>
      </c>
      <c r="BB415" s="234" t="str">
        <f t="shared" si="26"/>
        <v>日曜日</v>
      </c>
      <c r="BC415" s="234">
        <f t="shared" si="27"/>
        <v>0</v>
      </c>
    </row>
    <row r="416" spans="53:55" x14ac:dyDescent="0.65">
      <c r="BA416" s="331">
        <v>45278</v>
      </c>
      <c r="BB416" s="234" t="str">
        <f t="shared" si="26"/>
        <v>月曜日</v>
      </c>
      <c r="BC416" s="234">
        <f t="shared" si="27"/>
        <v>0</v>
      </c>
    </row>
    <row r="417" spans="53:55" x14ac:dyDescent="0.65">
      <c r="BA417" s="331">
        <v>45279</v>
      </c>
      <c r="BB417" s="234" t="str">
        <f t="shared" si="26"/>
        <v>火曜日</v>
      </c>
      <c r="BC417" s="234">
        <f t="shared" si="27"/>
        <v>0</v>
      </c>
    </row>
    <row r="418" spans="53:55" x14ac:dyDescent="0.65">
      <c r="BA418" s="331">
        <v>45280</v>
      </c>
      <c r="BB418" s="234" t="str">
        <f t="shared" si="26"/>
        <v>水曜日</v>
      </c>
      <c r="BC418" s="234">
        <f t="shared" si="27"/>
        <v>0</v>
      </c>
    </row>
    <row r="419" spans="53:55" x14ac:dyDescent="0.65">
      <c r="BA419" s="331">
        <v>45281</v>
      </c>
      <c r="BB419" s="234" t="str">
        <f t="shared" si="26"/>
        <v>木曜日</v>
      </c>
      <c r="BC419" s="234">
        <f t="shared" si="27"/>
        <v>0</v>
      </c>
    </row>
    <row r="420" spans="53:55" x14ac:dyDescent="0.65">
      <c r="BA420" s="331">
        <v>45282</v>
      </c>
      <c r="BB420" s="234" t="str">
        <f t="shared" si="26"/>
        <v>金曜日</v>
      </c>
      <c r="BC420" s="234">
        <f t="shared" si="27"/>
        <v>0</v>
      </c>
    </row>
    <row r="421" spans="53:55" x14ac:dyDescent="0.65">
      <c r="BA421" s="331">
        <v>45283</v>
      </c>
      <c r="BB421" s="234" t="str">
        <f t="shared" si="26"/>
        <v>土曜日</v>
      </c>
      <c r="BC421" s="234">
        <f t="shared" si="27"/>
        <v>0</v>
      </c>
    </row>
    <row r="422" spans="53:55" x14ac:dyDescent="0.65">
      <c r="BA422" s="331">
        <v>45284</v>
      </c>
      <c r="BB422" s="234" t="str">
        <f t="shared" si="26"/>
        <v>日曜日</v>
      </c>
      <c r="BC422" s="234">
        <f t="shared" si="27"/>
        <v>0</v>
      </c>
    </row>
    <row r="423" spans="53:55" x14ac:dyDescent="0.65">
      <c r="BA423" s="331">
        <v>45285</v>
      </c>
      <c r="BB423" s="234" t="str">
        <f t="shared" si="26"/>
        <v>月曜日</v>
      </c>
      <c r="BC423" s="234">
        <f t="shared" si="27"/>
        <v>0</v>
      </c>
    </row>
    <row r="424" spans="53:55" x14ac:dyDescent="0.65">
      <c r="BA424" s="331">
        <v>45286</v>
      </c>
      <c r="BB424" s="234" t="str">
        <f t="shared" si="26"/>
        <v>火曜日</v>
      </c>
      <c r="BC424" s="234">
        <f t="shared" si="27"/>
        <v>0</v>
      </c>
    </row>
    <row r="425" spans="53:55" x14ac:dyDescent="0.65">
      <c r="BA425" s="331">
        <v>45287</v>
      </c>
      <c r="BB425" s="234" t="str">
        <f t="shared" si="26"/>
        <v>水曜日</v>
      </c>
      <c r="BC425" s="234">
        <f t="shared" si="27"/>
        <v>0</v>
      </c>
    </row>
    <row r="426" spans="53:55" x14ac:dyDescent="0.65">
      <c r="BA426" s="331">
        <v>45288</v>
      </c>
      <c r="BB426" s="234" t="str">
        <f t="shared" si="26"/>
        <v>木曜日</v>
      </c>
      <c r="BC426" s="234">
        <f t="shared" si="27"/>
        <v>0</v>
      </c>
    </row>
    <row r="427" spans="53:55" x14ac:dyDescent="0.65">
      <c r="BA427" s="331">
        <v>45289</v>
      </c>
      <c r="BB427" s="234" t="str">
        <f t="shared" si="26"/>
        <v>金曜日</v>
      </c>
      <c r="BC427" s="234">
        <f t="shared" si="27"/>
        <v>0</v>
      </c>
    </row>
    <row r="428" spans="53:55" x14ac:dyDescent="0.65">
      <c r="BA428" s="331">
        <v>45290</v>
      </c>
      <c r="BB428" s="234" t="str">
        <f t="shared" si="26"/>
        <v>土曜日</v>
      </c>
      <c r="BC428" s="234">
        <f t="shared" si="27"/>
        <v>0</v>
      </c>
    </row>
    <row r="429" spans="53:55" x14ac:dyDescent="0.65">
      <c r="BA429" s="331">
        <v>45291</v>
      </c>
      <c r="BB429" s="234" t="str">
        <f t="shared" si="26"/>
        <v>日曜日</v>
      </c>
      <c r="BC429" s="234">
        <f t="shared" si="27"/>
        <v>0</v>
      </c>
    </row>
    <row r="430" spans="53:55" x14ac:dyDescent="0.65">
      <c r="BA430" s="331">
        <v>45292</v>
      </c>
      <c r="BB430" s="234" t="str">
        <f t="shared" si="26"/>
        <v>月曜日</v>
      </c>
      <c r="BC430" s="234">
        <f t="shared" si="27"/>
        <v>0</v>
      </c>
    </row>
    <row r="431" spans="53:55" x14ac:dyDescent="0.65">
      <c r="BA431" s="331">
        <v>45293</v>
      </c>
      <c r="BB431" s="234" t="str">
        <f t="shared" si="26"/>
        <v>火曜日</v>
      </c>
      <c r="BC431" s="234">
        <f t="shared" si="27"/>
        <v>0</v>
      </c>
    </row>
    <row r="432" spans="53:55" x14ac:dyDescent="0.65">
      <c r="BA432" s="331">
        <v>45294</v>
      </c>
      <c r="BB432" s="234" t="str">
        <f t="shared" si="26"/>
        <v>水曜日</v>
      </c>
      <c r="BC432" s="234">
        <f t="shared" si="27"/>
        <v>0</v>
      </c>
    </row>
    <row r="433" spans="53:55" x14ac:dyDescent="0.65">
      <c r="BA433" s="331">
        <v>45295</v>
      </c>
      <c r="BB433" s="234" t="str">
        <f t="shared" si="26"/>
        <v>木曜日</v>
      </c>
      <c r="BC433" s="234">
        <f t="shared" si="27"/>
        <v>0</v>
      </c>
    </row>
    <row r="434" spans="53:55" x14ac:dyDescent="0.65">
      <c r="BA434" s="331">
        <v>45296</v>
      </c>
      <c r="BB434" s="234" t="str">
        <f t="shared" si="26"/>
        <v>金曜日</v>
      </c>
      <c r="BC434" s="234">
        <f t="shared" si="27"/>
        <v>0</v>
      </c>
    </row>
    <row r="435" spans="53:55" x14ac:dyDescent="0.65">
      <c r="BA435" s="331">
        <v>45297</v>
      </c>
      <c r="BB435" s="234" t="str">
        <f t="shared" si="26"/>
        <v>土曜日</v>
      </c>
      <c r="BC435" s="234">
        <f t="shared" si="27"/>
        <v>0</v>
      </c>
    </row>
    <row r="436" spans="53:55" x14ac:dyDescent="0.65">
      <c r="BA436" s="331">
        <v>45298</v>
      </c>
      <c r="BB436" s="234" t="str">
        <f t="shared" si="26"/>
        <v>日曜日</v>
      </c>
      <c r="BC436" s="234">
        <f t="shared" si="27"/>
        <v>0</v>
      </c>
    </row>
    <row r="437" spans="53:55" x14ac:dyDescent="0.65">
      <c r="BA437" s="331">
        <v>45299</v>
      </c>
      <c r="BB437" s="234" t="str">
        <f t="shared" si="26"/>
        <v>月曜日</v>
      </c>
      <c r="BC437" s="234">
        <f t="shared" si="27"/>
        <v>0</v>
      </c>
    </row>
    <row r="438" spans="53:55" x14ac:dyDescent="0.65">
      <c r="BA438" s="331">
        <v>45300</v>
      </c>
      <c r="BB438" s="234" t="str">
        <f t="shared" si="26"/>
        <v>火曜日</v>
      </c>
      <c r="BC438" s="234">
        <f t="shared" si="27"/>
        <v>0</v>
      </c>
    </row>
    <row r="439" spans="53:55" x14ac:dyDescent="0.65">
      <c r="BA439" s="331">
        <v>45301</v>
      </c>
      <c r="BB439" s="234" t="str">
        <f t="shared" si="26"/>
        <v>水曜日</v>
      </c>
      <c r="BC439" s="234">
        <f t="shared" si="27"/>
        <v>0</v>
      </c>
    </row>
    <row r="440" spans="53:55" x14ac:dyDescent="0.65">
      <c r="BA440" s="331">
        <v>45302</v>
      </c>
      <c r="BB440" s="234" t="str">
        <f t="shared" si="26"/>
        <v>木曜日</v>
      </c>
      <c r="BC440" s="234">
        <f t="shared" si="27"/>
        <v>0</v>
      </c>
    </row>
    <row r="441" spans="53:55" x14ac:dyDescent="0.65">
      <c r="BA441" s="331">
        <v>45303</v>
      </c>
      <c r="BB441" s="234" t="str">
        <f t="shared" si="26"/>
        <v>金曜日</v>
      </c>
      <c r="BC441" s="234">
        <f t="shared" si="27"/>
        <v>0</v>
      </c>
    </row>
    <row r="442" spans="53:55" x14ac:dyDescent="0.65">
      <c r="BA442" s="331">
        <v>45304</v>
      </c>
      <c r="BB442" s="234" t="str">
        <f t="shared" si="26"/>
        <v>土曜日</v>
      </c>
      <c r="BC442" s="234">
        <f t="shared" si="27"/>
        <v>0</v>
      </c>
    </row>
    <row r="443" spans="53:55" x14ac:dyDescent="0.65">
      <c r="BA443" s="331">
        <v>45305</v>
      </c>
      <c r="BB443" s="234" t="str">
        <f t="shared" si="26"/>
        <v>日曜日</v>
      </c>
      <c r="BC443" s="234">
        <f t="shared" si="27"/>
        <v>0</v>
      </c>
    </row>
    <row r="444" spans="53:55" x14ac:dyDescent="0.65">
      <c r="BA444" s="331">
        <v>45306</v>
      </c>
      <c r="BB444" s="234" t="str">
        <f t="shared" si="26"/>
        <v>月曜日</v>
      </c>
      <c r="BC444" s="234">
        <f t="shared" si="27"/>
        <v>0</v>
      </c>
    </row>
    <row r="445" spans="53:55" x14ac:dyDescent="0.65">
      <c r="BA445" s="331">
        <v>45307</v>
      </c>
      <c r="BB445" s="234" t="str">
        <f t="shared" si="26"/>
        <v>火曜日</v>
      </c>
      <c r="BC445" s="234">
        <f t="shared" si="27"/>
        <v>0</v>
      </c>
    </row>
    <row r="446" spans="53:55" x14ac:dyDescent="0.65">
      <c r="BA446" s="331">
        <v>45308</v>
      </c>
      <c r="BB446" s="234" t="str">
        <f t="shared" si="26"/>
        <v>水曜日</v>
      </c>
      <c r="BC446" s="234">
        <f t="shared" si="27"/>
        <v>0</v>
      </c>
    </row>
    <row r="447" spans="53:55" x14ac:dyDescent="0.65">
      <c r="BA447" s="331">
        <v>45309</v>
      </c>
      <c r="BB447" s="234" t="str">
        <f t="shared" si="26"/>
        <v>木曜日</v>
      </c>
      <c r="BC447" s="234">
        <f t="shared" si="27"/>
        <v>0</v>
      </c>
    </row>
    <row r="448" spans="53:55" x14ac:dyDescent="0.65">
      <c r="BA448" s="331">
        <v>45310</v>
      </c>
      <c r="BB448" s="234" t="str">
        <f t="shared" si="26"/>
        <v>金曜日</v>
      </c>
      <c r="BC448" s="234">
        <f t="shared" si="27"/>
        <v>0</v>
      </c>
    </row>
    <row r="449" spans="53:55" x14ac:dyDescent="0.65">
      <c r="BA449" s="331">
        <v>45311</v>
      </c>
      <c r="BB449" s="234" t="str">
        <f t="shared" si="26"/>
        <v>土曜日</v>
      </c>
      <c r="BC449" s="234">
        <f t="shared" si="27"/>
        <v>0</v>
      </c>
    </row>
    <row r="450" spans="53:55" x14ac:dyDescent="0.65">
      <c r="BA450" s="331">
        <v>45312</v>
      </c>
      <c r="BB450" s="234" t="str">
        <f t="shared" ref="BB450:BB513" si="28">TEXT(BA450,"aaaa")</f>
        <v>日曜日</v>
      </c>
      <c r="BC450" s="234">
        <f t="shared" ref="BC450:BC513" si="29">VLOOKUP(BB450,$A$8:$E$14,2,FALSE)</f>
        <v>0</v>
      </c>
    </row>
    <row r="451" spans="53:55" x14ac:dyDescent="0.65">
      <c r="BA451" s="331">
        <v>45313</v>
      </c>
      <c r="BB451" s="234" t="str">
        <f t="shared" si="28"/>
        <v>月曜日</v>
      </c>
      <c r="BC451" s="234">
        <f t="shared" si="29"/>
        <v>0</v>
      </c>
    </row>
    <row r="452" spans="53:55" x14ac:dyDescent="0.65">
      <c r="BA452" s="331">
        <v>45314</v>
      </c>
      <c r="BB452" s="234" t="str">
        <f t="shared" si="28"/>
        <v>火曜日</v>
      </c>
      <c r="BC452" s="234">
        <f t="shared" si="29"/>
        <v>0</v>
      </c>
    </row>
    <row r="453" spans="53:55" x14ac:dyDescent="0.65">
      <c r="BA453" s="331">
        <v>45315</v>
      </c>
      <c r="BB453" s="234" t="str">
        <f t="shared" si="28"/>
        <v>水曜日</v>
      </c>
      <c r="BC453" s="234">
        <f t="shared" si="29"/>
        <v>0</v>
      </c>
    </row>
    <row r="454" spans="53:55" x14ac:dyDescent="0.65">
      <c r="BA454" s="331">
        <v>45316</v>
      </c>
      <c r="BB454" s="234" t="str">
        <f t="shared" si="28"/>
        <v>木曜日</v>
      </c>
      <c r="BC454" s="234">
        <f t="shared" si="29"/>
        <v>0</v>
      </c>
    </row>
    <row r="455" spans="53:55" x14ac:dyDescent="0.65">
      <c r="BA455" s="331">
        <v>45317</v>
      </c>
      <c r="BB455" s="234" t="str">
        <f t="shared" si="28"/>
        <v>金曜日</v>
      </c>
      <c r="BC455" s="234">
        <f t="shared" si="29"/>
        <v>0</v>
      </c>
    </row>
    <row r="456" spans="53:55" x14ac:dyDescent="0.65">
      <c r="BA456" s="331">
        <v>45318</v>
      </c>
      <c r="BB456" s="234" t="str">
        <f t="shared" si="28"/>
        <v>土曜日</v>
      </c>
      <c r="BC456" s="234">
        <f t="shared" si="29"/>
        <v>0</v>
      </c>
    </row>
    <row r="457" spans="53:55" x14ac:dyDescent="0.65">
      <c r="BA457" s="331">
        <v>45319</v>
      </c>
      <c r="BB457" s="234" t="str">
        <f t="shared" si="28"/>
        <v>日曜日</v>
      </c>
      <c r="BC457" s="234">
        <f t="shared" si="29"/>
        <v>0</v>
      </c>
    </row>
    <row r="458" spans="53:55" x14ac:dyDescent="0.65">
      <c r="BA458" s="331">
        <v>45320</v>
      </c>
      <c r="BB458" s="234" t="str">
        <f t="shared" si="28"/>
        <v>月曜日</v>
      </c>
      <c r="BC458" s="234">
        <f t="shared" si="29"/>
        <v>0</v>
      </c>
    </row>
    <row r="459" spans="53:55" x14ac:dyDescent="0.65">
      <c r="BA459" s="331">
        <v>45321</v>
      </c>
      <c r="BB459" s="234" t="str">
        <f t="shared" si="28"/>
        <v>火曜日</v>
      </c>
      <c r="BC459" s="234">
        <f t="shared" si="29"/>
        <v>0</v>
      </c>
    </row>
    <row r="460" spans="53:55" x14ac:dyDescent="0.65">
      <c r="BA460" s="331">
        <v>45322</v>
      </c>
      <c r="BB460" s="234" t="str">
        <f t="shared" si="28"/>
        <v>水曜日</v>
      </c>
      <c r="BC460" s="234">
        <f t="shared" si="29"/>
        <v>0</v>
      </c>
    </row>
    <row r="461" spans="53:55" x14ac:dyDescent="0.65">
      <c r="BA461" s="331">
        <v>45323</v>
      </c>
      <c r="BB461" s="234" t="str">
        <f t="shared" si="28"/>
        <v>木曜日</v>
      </c>
      <c r="BC461" s="234">
        <f t="shared" si="29"/>
        <v>0</v>
      </c>
    </row>
    <row r="462" spans="53:55" x14ac:dyDescent="0.65">
      <c r="BA462" s="331">
        <v>45324</v>
      </c>
      <c r="BB462" s="234" t="str">
        <f t="shared" si="28"/>
        <v>金曜日</v>
      </c>
      <c r="BC462" s="234">
        <f t="shared" si="29"/>
        <v>0</v>
      </c>
    </row>
    <row r="463" spans="53:55" x14ac:dyDescent="0.65">
      <c r="BA463" s="331">
        <v>45325</v>
      </c>
      <c r="BB463" s="234" t="str">
        <f t="shared" si="28"/>
        <v>土曜日</v>
      </c>
      <c r="BC463" s="234">
        <f t="shared" si="29"/>
        <v>0</v>
      </c>
    </row>
    <row r="464" spans="53:55" x14ac:dyDescent="0.65">
      <c r="BA464" s="331">
        <v>45326</v>
      </c>
      <c r="BB464" s="234" t="str">
        <f t="shared" si="28"/>
        <v>日曜日</v>
      </c>
      <c r="BC464" s="234">
        <f t="shared" si="29"/>
        <v>0</v>
      </c>
    </row>
    <row r="465" spans="53:55" x14ac:dyDescent="0.65">
      <c r="BA465" s="331">
        <v>45327</v>
      </c>
      <c r="BB465" s="234" t="str">
        <f t="shared" si="28"/>
        <v>月曜日</v>
      </c>
      <c r="BC465" s="234">
        <f t="shared" si="29"/>
        <v>0</v>
      </c>
    </row>
    <row r="466" spans="53:55" x14ac:dyDescent="0.65">
      <c r="BA466" s="331">
        <v>45328</v>
      </c>
      <c r="BB466" s="234" t="str">
        <f t="shared" si="28"/>
        <v>火曜日</v>
      </c>
      <c r="BC466" s="234">
        <f t="shared" si="29"/>
        <v>0</v>
      </c>
    </row>
    <row r="467" spans="53:55" x14ac:dyDescent="0.65">
      <c r="BA467" s="331">
        <v>45329</v>
      </c>
      <c r="BB467" s="234" t="str">
        <f t="shared" si="28"/>
        <v>水曜日</v>
      </c>
      <c r="BC467" s="234">
        <f t="shared" si="29"/>
        <v>0</v>
      </c>
    </row>
    <row r="468" spans="53:55" x14ac:dyDescent="0.65">
      <c r="BA468" s="331">
        <v>45330</v>
      </c>
      <c r="BB468" s="234" t="str">
        <f t="shared" si="28"/>
        <v>木曜日</v>
      </c>
      <c r="BC468" s="234">
        <f t="shared" si="29"/>
        <v>0</v>
      </c>
    </row>
    <row r="469" spans="53:55" x14ac:dyDescent="0.65">
      <c r="BA469" s="331">
        <v>45331</v>
      </c>
      <c r="BB469" s="234" t="str">
        <f t="shared" si="28"/>
        <v>金曜日</v>
      </c>
      <c r="BC469" s="234">
        <f t="shared" si="29"/>
        <v>0</v>
      </c>
    </row>
    <row r="470" spans="53:55" x14ac:dyDescent="0.65">
      <c r="BA470" s="331">
        <v>45332</v>
      </c>
      <c r="BB470" s="234" t="str">
        <f t="shared" si="28"/>
        <v>土曜日</v>
      </c>
      <c r="BC470" s="234">
        <f t="shared" si="29"/>
        <v>0</v>
      </c>
    </row>
    <row r="471" spans="53:55" x14ac:dyDescent="0.65">
      <c r="BA471" s="331">
        <v>45333</v>
      </c>
      <c r="BB471" s="234" t="str">
        <f t="shared" si="28"/>
        <v>日曜日</v>
      </c>
      <c r="BC471" s="234">
        <f t="shared" si="29"/>
        <v>0</v>
      </c>
    </row>
    <row r="472" spans="53:55" x14ac:dyDescent="0.65">
      <c r="BA472" s="331">
        <v>45334</v>
      </c>
      <c r="BB472" s="234" t="str">
        <f t="shared" si="28"/>
        <v>月曜日</v>
      </c>
      <c r="BC472" s="234">
        <f t="shared" si="29"/>
        <v>0</v>
      </c>
    </row>
    <row r="473" spans="53:55" x14ac:dyDescent="0.65">
      <c r="BA473" s="331">
        <v>45335</v>
      </c>
      <c r="BB473" s="234" t="str">
        <f t="shared" si="28"/>
        <v>火曜日</v>
      </c>
      <c r="BC473" s="234">
        <f t="shared" si="29"/>
        <v>0</v>
      </c>
    </row>
    <row r="474" spans="53:55" x14ac:dyDescent="0.65">
      <c r="BA474" s="331">
        <v>45336</v>
      </c>
      <c r="BB474" s="234" t="str">
        <f t="shared" si="28"/>
        <v>水曜日</v>
      </c>
      <c r="BC474" s="234">
        <f t="shared" si="29"/>
        <v>0</v>
      </c>
    </row>
    <row r="475" spans="53:55" x14ac:dyDescent="0.65">
      <c r="BA475" s="331">
        <v>45337</v>
      </c>
      <c r="BB475" s="234" t="str">
        <f t="shared" si="28"/>
        <v>木曜日</v>
      </c>
      <c r="BC475" s="234">
        <f t="shared" si="29"/>
        <v>0</v>
      </c>
    </row>
    <row r="476" spans="53:55" x14ac:dyDescent="0.65">
      <c r="BA476" s="331">
        <v>45338</v>
      </c>
      <c r="BB476" s="234" t="str">
        <f t="shared" si="28"/>
        <v>金曜日</v>
      </c>
      <c r="BC476" s="234">
        <f t="shared" si="29"/>
        <v>0</v>
      </c>
    </row>
    <row r="477" spans="53:55" x14ac:dyDescent="0.65">
      <c r="BA477" s="331">
        <v>45339</v>
      </c>
      <c r="BB477" s="234" t="str">
        <f t="shared" si="28"/>
        <v>土曜日</v>
      </c>
      <c r="BC477" s="234">
        <f t="shared" si="29"/>
        <v>0</v>
      </c>
    </row>
    <row r="478" spans="53:55" x14ac:dyDescent="0.65">
      <c r="BA478" s="331">
        <v>45340</v>
      </c>
      <c r="BB478" s="234" t="str">
        <f t="shared" si="28"/>
        <v>日曜日</v>
      </c>
      <c r="BC478" s="234">
        <f t="shared" si="29"/>
        <v>0</v>
      </c>
    </row>
    <row r="479" spans="53:55" x14ac:dyDescent="0.65">
      <c r="BA479" s="331">
        <v>45341</v>
      </c>
      <c r="BB479" s="234" t="str">
        <f t="shared" si="28"/>
        <v>月曜日</v>
      </c>
      <c r="BC479" s="234">
        <f t="shared" si="29"/>
        <v>0</v>
      </c>
    </row>
    <row r="480" spans="53:55" x14ac:dyDescent="0.65">
      <c r="BA480" s="331">
        <v>45342</v>
      </c>
      <c r="BB480" s="234" t="str">
        <f t="shared" si="28"/>
        <v>火曜日</v>
      </c>
      <c r="BC480" s="234">
        <f t="shared" si="29"/>
        <v>0</v>
      </c>
    </row>
    <row r="481" spans="53:55" x14ac:dyDescent="0.65">
      <c r="BA481" s="331">
        <v>45343</v>
      </c>
      <c r="BB481" s="234" t="str">
        <f t="shared" si="28"/>
        <v>水曜日</v>
      </c>
      <c r="BC481" s="234">
        <f t="shared" si="29"/>
        <v>0</v>
      </c>
    </row>
    <row r="482" spans="53:55" x14ac:dyDescent="0.65">
      <c r="BA482" s="331">
        <v>45344</v>
      </c>
      <c r="BB482" s="234" t="str">
        <f t="shared" si="28"/>
        <v>木曜日</v>
      </c>
      <c r="BC482" s="234">
        <f t="shared" si="29"/>
        <v>0</v>
      </c>
    </row>
    <row r="483" spans="53:55" x14ac:dyDescent="0.65">
      <c r="BA483" s="331">
        <v>45345</v>
      </c>
      <c r="BB483" s="234" t="str">
        <f t="shared" si="28"/>
        <v>金曜日</v>
      </c>
      <c r="BC483" s="234">
        <f t="shared" si="29"/>
        <v>0</v>
      </c>
    </row>
    <row r="484" spans="53:55" x14ac:dyDescent="0.65">
      <c r="BA484" s="331">
        <v>45346</v>
      </c>
      <c r="BB484" s="234" t="str">
        <f t="shared" si="28"/>
        <v>土曜日</v>
      </c>
      <c r="BC484" s="234">
        <f t="shared" si="29"/>
        <v>0</v>
      </c>
    </row>
    <row r="485" spans="53:55" x14ac:dyDescent="0.65">
      <c r="BA485" s="331">
        <v>45347</v>
      </c>
      <c r="BB485" s="234" t="str">
        <f t="shared" si="28"/>
        <v>日曜日</v>
      </c>
      <c r="BC485" s="234">
        <f t="shared" si="29"/>
        <v>0</v>
      </c>
    </row>
    <row r="486" spans="53:55" x14ac:dyDescent="0.65">
      <c r="BA486" s="331">
        <v>45348</v>
      </c>
      <c r="BB486" s="234" t="str">
        <f t="shared" si="28"/>
        <v>月曜日</v>
      </c>
      <c r="BC486" s="234">
        <f t="shared" si="29"/>
        <v>0</v>
      </c>
    </row>
    <row r="487" spans="53:55" x14ac:dyDescent="0.65">
      <c r="BA487" s="331">
        <v>45349</v>
      </c>
      <c r="BB487" s="234" t="str">
        <f t="shared" si="28"/>
        <v>火曜日</v>
      </c>
      <c r="BC487" s="234">
        <f t="shared" si="29"/>
        <v>0</v>
      </c>
    </row>
    <row r="488" spans="53:55" x14ac:dyDescent="0.65">
      <c r="BA488" s="331">
        <v>45350</v>
      </c>
      <c r="BB488" s="234" t="str">
        <f t="shared" si="28"/>
        <v>水曜日</v>
      </c>
      <c r="BC488" s="234">
        <f t="shared" si="29"/>
        <v>0</v>
      </c>
    </row>
    <row r="489" spans="53:55" x14ac:dyDescent="0.65">
      <c r="BA489" s="331">
        <v>45351</v>
      </c>
      <c r="BB489" s="234" t="str">
        <f t="shared" si="28"/>
        <v>木曜日</v>
      </c>
      <c r="BC489" s="234">
        <f t="shared" si="29"/>
        <v>0</v>
      </c>
    </row>
    <row r="490" spans="53:55" x14ac:dyDescent="0.65">
      <c r="BA490" s="331">
        <v>45352</v>
      </c>
      <c r="BB490" s="234" t="str">
        <f t="shared" si="28"/>
        <v>金曜日</v>
      </c>
      <c r="BC490" s="234">
        <f t="shared" si="29"/>
        <v>0</v>
      </c>
    </row>
    <row r="491" spans="53:55" x14ac:dyDescent="0.65">
      <c r="BA491" s="331">
        <v>45353</v>
      </c>
      <c r="BB491" s="234" t="str">
        <f t="shared" si="28"/>
        <v>土曜日</v>
      </c>
      <c r="BC491" s="234">
        <f t="shared" si="29"/>
        <v>0</v>
      </c>
    </row>
    <row r="492" spans="53:55" x14ac:dyDescent="0.65">
      <c r="BA492" s="331">
        <v>45354</v>
      </c>
      <c r="BB492" s="234" t="str">
        <f t="shared" si="28"/>
        <v>日曜日</v>
      </c>
      <c r="BC492" s="234">
        <f t="shared" si="29"/>
        <v>0</v>
      </c>
    </row>
    <row r="493" spans="53:55" x14ac:dyDescent="0.65">
      <c r="BA493" s="331">
        <v>45355</v>
      </c>
      <c r="BB493" s="234" t="str">
        <f t="shared" si="28"/>
        <v>月曜日</v>
      </c>
      <c r="BC493" s="234">
        <f t="shared" si="29"/>
        <v>0</v>
      </c>
    </row>
    <row r="494" spans="53:55" x14ac:dyDescent="0.65">
      <c r="BA494" s="331">
        <v>45356</v>
      </c>
      <c r="BB494" s="234" t="str">
        <f t="shared" si="28"/>
        <v>火曜日</v>
      </c>
      <c r="BC494" s="234">
        <f t="shared" si="29"/>
        <v>0</v>
      </c>
    </row>
    <row r="495" spans="53:55" x14ac:dyDescent="0.65">
      <c r="BA495" s="331">
        <v>45357</v>
      </c>
      <c r="BB495" s="234" t="str">
        <f t="shared" si="28"/>
        <v>水曜日</v>
      </c>
      <c r="BC495" s="234">
        <f t="shared" si="29"/>
        <v>0</v>
      </c>
    </row>
    <row r="496" spans="53:55" x14ac:dyDescent="0.65">
      <c r="BA496" s="331">
        <v>45358</v>
      </c>
      <c r="BB496" s="234" t="str">
        <f t="shared" si="28"/>
        <v>木曜日</v>
      </c>
      <c r="BC496" s="234">
        <f t="shared" si="29"/>
        <v>0</v>
      </c>
    </row>
    <row r="497" spans="53:55" x14ac:dyDescent="0.65">
      <c r="BA497" s="331">
        <v>45359</v>
      </c>
      <c r="BB497" s="234" t="str">
        <f t="shared" si="28"/>
        <v>金曜日</v>
      </c>
      <c r="BC497" s="234">
        <f t="shared" si="29"/>
        <v>0</v>
      </c>
    </row>
    <row r="498" spans="53:55" x14ac:dyDescent="0.65">
      <c r="BA498" s="331">
        <v>45360</v>
      </c>
      <c r="BB498" s="234" t="str">
        <f t="shared" si="28"/>
        <v>土曜日</v>
      </c>
      <c r="BC498" s="234">
        <f t="shared" si="29"/>
        <v>0</v>
      </c>
    </row>
    <row r="499" spans="53:55" x14ac:dyDescent="0.65">
      <c r="BA499" s="331">
        <v>45361</v>
      </c>
      <c r="BB499" s="234" t="str">
        <f t="shared" si="28"/>
        <v>日曜日</v>
      </c>
      <c r="BC499" s="234">
        <f t="shared" si="29"/>
        <v>0</v>
      </c>
    </row>
    <row r="500" spans="53:55" x14ac:dyDescent="0.65">
      <c r="BA500" s="331">
        <v>45362</v>
      </c>
      <c r="BB500" s="234" t="str">
        <f t="shared" si="28"/>
        <v>月曜日</v>
      </c>
      <c r="BC500" s="234">
        <f t="shared" si="29"/>
        <v>0</v>
      </c>
    </row>
    <row r="501" spans="53:55" x14ac:dyDescent="0.65">
      <c r="BA501" s="331">
        <v>45363</v>
      </c>
      <c r="BB501" s="234" t="str">
        <f t="shared" si="28"/>
        <v>火曜日</v>
      </c>
      <c r="BC501" s="234">
        <f t="shared" si="29"/>
        <v>0</v>
      </c>
    </row>
    <row r="502" spans="53:55" x14ac:dyDescent="0.65">
      <c r="BA502" s="331">
        <v>45364</v>
      </c>
      <c r="BB502" s="234" t="str">
        <f t="shared" si="28"/>
        <v>水曜日</v>
      </c>
      <c r="BC502" s="234">
        <f t="shared" si="29"/>
        <v>0</v>
      </c>
    </row>
    <row r="503" spans="53:55" x14ac:dyDescent="0.65">
      <c r="BA503" s="331">
        <v>45365</v>
      </c>
      <c r="BB503" s="234" t="str">
        <f t="shared" si="28"/>
        <v>木曜日</v>
      </c>
      <c r="BC503" s="234">
        <f t="shared" si="29"/>
        <v>0</v>
      </c>
    </row>
    <row r="504" spans="53:55" x14ac:dyDescent="0.65">
      <c r="BA504" s="331">
        <v>45366</v>
      </c>
      <c r="BB504" s="234" t="str">
        <f t="shared" si="28"/>
        <v>金曜日</v>
      </c>
      <c r="BC504" s="234">
        <f t="shared" si="29"/>
        <v>0</v>
      </c>
    </row>
    <row r="505" spans="53:55" x14ac:dyDescent="0.65">
      <c r="BA505" s="331">
        <v>45367</v>
      </c>
      <c r="BB505" s="234" t="str">
        <f t="shared" si="28"/>
        <v>土曜日</v>
      </c>
      <c r="BC505" s="234">
        <f t="shared" si="29"/>
        <v>0</v>
      </c>
    </row>
    <row r="506" spans="53:55" x14ac:dyDescent="0.65">
      <c r="BA506" s="331">
        <v>45368</v>
      </c>
      <c r="BB506" s="234" t="str">
        <f t="shared" si="28"/>
        <v>日曜日</v>
      </c>
      <c r="BC506" s="234">
        <f t="shared" si="29"/>
        <v>0</v>
      </c>
    </row>
    <row r="507" spans="53:55" x14ac:dyDescent="0.65">
      <c r="BA507" s="331">
        <v>45369</v>
      </c>
      <c r="BB507" s="234" t="str">
        <f t="shared" si="28"/>
        <v>月曜日</v>
      </c>
      <c r="BC507" s="234">
        <f t="shared" si="29"/>
        <v>0</v>
      </c>
    </row>
    <row r="508" spans="53:55" x14ac:dyDescent="0.65">
      <c r="BA508" s="331">
        <v>45370</v>
      </c>
      <c r="BB508" s="234" t="str">
        <f t="shared" si="28"/>
        <v>火曜日</v>
      </c>
      <c r="BC508" s="234">
        <f t="shared" si="29"/>
        <v>0</v>
      </c>
    </row>
    <row r="509" spans="53:55" x14ac:dyDescent="0.65">
      <c r="BA509" s="331">
        <v>45371</v>
      </c>
      <c r="BB509" s="234" t="str">
        <f t="shared" si="28"/>
        <v>水曜日</v>
      </c>
      <c r="BC509" s="234">
        <f t="shared" si="29"/>
        <v>0</v>
      </c>
    </row>
    <row r="510" spans="53:55" x14ac:dyDescent="0.65">
      <c r="BA510" s="331">
        <v>45372</v>
      </c>
      <c r="BB510" s="234" t="str">
        <f t="shared" si="28"/>
        <v>木曜日</v>
      </c>
      <c r="BC510" s="234">
        <f t="shared" si="29"/>
        <v>0</v>
      </c>
    </row>
    <row r="511" spans="53:55" x14ac:dyDescent="0.65">
      <c r="BA511" s="331">
        <v>45373</v>
      </c>
      <c r="BB511" s="234" t="str">
        <f t="shared" si="28"/>
        <v>金曜日</v>
      </c>
      <c r="BC511" s="234">
        <f t="shared" si="29"/>
        <v>0</v>
      </c>
    </row>
    <row r="512" spans="53:55" x14ac:dyDescent="0.65">
      <c r="BA512" s="331">
        <v>45374</v>
      </c>
      <c r="BB512" s="234" t="str">
        <f t="shared" si="28"/>
        <v>土曜日</v>
      </c>
      <c r="BC512" s="234">
        <f t="shared" si="29"/>
        <v>0</v>
      </c>
    </row>
    <row r="513" spans="53:55" x14ac:dyDescent="0.65">
      <c r="BA513" s="331">
        <v>45375</v>
      </c>
      <c r="BB513" s="234" t="str">
        <f t="shared" si="28"/>
        <v>日曜日</v>
      </c>
      <c r="BC513" s="234">
        <f t="shared" si="29"/>
        <v>0</v>
      </c>
    </row>
    <row r="514" spans="53:55" x14ac:dyDescent="0.65">
      <c r="BA514" s="331">
        <v>45376</v>
      </c>
      <c r="BB514" s="234" t="str">
        <f t="shared" ref="BB514:BB520" si="30">TEXT(BA514,"aaaa")</f>
        <v>月曜日</v>
      </c>
      <c r="BC514" s="234">
        <f t="shared" ref="BC514:BC520" si="31">VLOOKUP(BB514,$A$8:$E$14,2,FALSE)</f>
        <v>0</v>
      </c>
    </row>
    <row r="515" spans="53:55" x14ac:dyDescent="0.65">
      <c r="BA515" s="331">
        <v>45377</v>
      </c>
      <c r="BB515" s="234" t="str">
        <f t="shared" si="30"/>
        <v>火曜日</v>
      </c>
      <c r="BC515" s="234">
        <f t="shared" si="31"/>
        <v>0</v>
      </c>
    </row>
    <row r="516" spans="53:55" x14ac:dyDescent="0.65">
      <c r="BA516" s="331">
        <v>45378</v>
      </c>
      <c r="BB516" s="234" t="str">
        <f t="shared" si="30"/>
        <v>水曜日</v>
      </c>
      <c r="BC516" s="234">
        <f t="shared" si="31"/>
        <v>0</v>
      </c>
    </row>
    <row r="517" spans="53:55" x14ac:dyDescent="0.65">
      <c r="BA517" s="331">
        <v>45379</v>
      </c>
      <c r="BB517" s="234" t="str">
        <f t="shared" si="30"/>
        <v>木曜日</v>
      </c>
      <c r="BC517" s="234">
        <f t="shared" si="31"/>
        <v>0</v>
      </c>
    </row>
    <row r="518" spans="53:55" x14ac:dyDescent="0.65">
      <c r="BA518" s="331">
        <v>45380</v>
      </c>
      <c r="BB518" s="234" t="str">
        <f t="shared" si="30"/>
        <v>金曜日</v>
      </c>
      <c r="BC518" s="234">
        <f t="shared" si="31"/>
        <v>0</v>
      </c>
    </row>
    <row r="519" spans="53:55" x14ac:dyDescent="0.65">
      <c r="BA519" s="331">
        <v>45381</v>
      </c>
      <c r="BB519" s="234" t="str">
        <f t="shared" si="30"/>
        <v>土曜日</v>
      </c>
      <c r="BC519" s="234">
        <f t="shared" si="31"/>
        <v>0</v>
      </c>
    </row>
    <row r="520" spans="53:55" x14ac:dyDescent="0.65">
      <c r="BA520" s="331">
        <v>45382</v>
      </c>
      <c r="BB520" s="234" t="str">
        <f t="shared" si="30"/>
        <v>日曜日</v>
      </c>
      <c r="BC520" s="234">
        <f t="shared" si="31"/>
        <v>0</v>
      </c>
    </row>
  </sheetData>
  <sheetProtection algorithmName="SHA-512" hashValue="kIUAyOeOp7ootcykldO7BtDE2MvmZlzuGhVNswyAv1uHY1+UVZni8GLouSxPZjPOuBQLigS5RlFelSoseQ220A==" saltValue="YxG2fyOxXzHyZlXupvxGJA==" spinCount="100000" sheet="1" objects="1" scenarios="1"/>
  <mergeCells count="127">
    <mergeCell ref="B51:C51"/>
    <mergeCell ref="B7:E7"/>
    <mergeCell ref="F24:H25"/>
    <mergeCell ref="F23:H23"/>
    <mergeCell ref="C23:E23"/>
    <mergeCell ref="A23:B23"/>
    <mergeCell ref="C24:E25"/>
    <mergeCell ref="A24:B25"/>
    <mergeCell ref="B38:AH43"/>
    <mergeCell ref="B34:O35"/>
    <mergeCell ref="A29:AH29"/>
    <mergeCell ref="B28:AH28"/>
    <mergeCell ref="B13:E13"/>
    <mergeCell ref="AF51:AH51"/>
    <mergeCell ref="AD51:AE51"/>
    <mergeCell ref="AB51:AC51"/>
    <mergeCell ref="Z51:AA51"/>
    <mergeCell ref="X51:Y51"/>
    <mergeCell ref="V51:W51"/>
    <mergeCell ref="T51:U51"/>
    <mergeCell ref="R51:S51"/>
    <mergeCell ref="P51:Q51"/>
    <mergeCell ref="B58:D58"/>
    <mergeCell ref="B59:D61"/>
    <mergeCell ref="B62:D64"/>
    <mergeCell ref="E59:K61"/>
    <mergeCell ref="A2:AI3"/>
    <mergeCell ref="B65:D67"/>
    <mergeCell ref="E62:K64"/>
    <mergeCell ref="E65:K67"/>
    <mergeCell ref="A17:N18"/>
    <mergeCell ref="L8:M8"/>
    <mergeCell ref="N8:O8"/>
    <mergeCell ref="B47:AH47"/>
    <mergeCell ref="B48:AH48"/>
    <mergeCell ref="B46:AH46"/>
    <mergeCell ref="B37:AH37"/>
    <mergeCell ref="A33:AH33"/>
    <mergeCell ref="F8:G8"/>
    <mergeCell ref="H8:I8"/>
    <mergeCell ref="J8:K8"/>
    <mergeCell ref="B30:E31"/>
    <mergeCell ref="AD49:AE49"/>
    <mergeCell ref="AB49:AC49"/>
    <mergeCell ref="B8:E8"/>
    <mergeCell ref="B14:E14"/>
    <mergeCell ref="AJ62:AJ64"/>
    <mergeCell ref="AJ65:AJ67"/>
    <mergeCell ref="AB1:AD1"/>
    <mergeCell ref="AE1:AH1"/>
    <mergeCell ref="A5:AI5"/>
    <mergeCell ref="A20:AI20"/>
    <mergeCell ref="A21:AI21"/>
    <mergeCell ref="A27:AI27"/>
    <mergeCell ref="A45:AI45"/>
    <mergeCell ref="A54:AI54"/>
    <mergeCell ref="E58:K58"/>
    <mergeCell ref="L58:N58"/>
    <mergeCell ref="L59:N61"/>
    <mergeCell ref="L62:N64"/>
    <mergeCell ref="L65:N67"/>
    <mergeCell ref="O62:AH64"/>
    <mergeCell ref="O65:AH67"/>
    <mergeCell ref="B55:AH55"/>
    <mergeCell ref="B56:AH56"/>
    <mergeCell ref="B57:AH57"/>
    <mergeCell ref="B12:E12"/>
    <mergeCell ref="B11:E11"/>
    <mergeCell ref="B10:E10"/>
    <mergeCell ref="B9:E9"/>
    <mergeCell ref="AJ59:AJ61"/>
    <mergeCell ref="AF49:AH49"/>
    <mergeCell ref="AD50:AE50"/>
    <mergeCell ref="AB50:AC50"/>
    <mergeCell ref="Z50:AA50"/>
    <mergeCell ref="X50:Y50"/>
    <mergeCell ref="O58:AH58"/>
    <mergeCell ref="O59:AH61"/>
    <mergeCell ref="B49:C49"/>
    <mergeCell ref="L50:M50"/>
    <mergeCell ref="J50:K50"/>
    <mergeCell ref="H50:I50"/>
    <mergeCell ref="F50:G50"/>
    <mergeCell ref="V49:W49"/>
    <mergeCell ref="T49:U49"/>
    <mergeCell ref="R49:S49"/>
    <mergeCell ref="P49:Q49"/>
    <mergeCell ref="N49:O49"/>
    <mergeCell ref="F52:G52"/>
    <mergeCell ref="B52:C52"/>
    <mergeCell ref="AF52:AH52"/>
    <mergeCell ref="AF50:AH50"/>
    <mergeCell ref="D50:E50"/>
    <mergeCell ref="B50:C50"/>
    <mergeCell ref="AD52:AE52"/>
    <mergeCell ref="AB52:AC52"/>
    <mergeCell ref="Z52:AA52"/>
    <mergeCell ref="X52:Y52"/>
    <mergeCell ref="V52:W52"/>
    <mergeCell ref="T52:U52"/>
    <mergeCell ref="R52:S52"/>
    <mergeCell ref="P52:Q52"/>
    <mergeCell ref="N52:O52"/>
    <mergeCell ref="AD53:AH53"/>
    <mergeCell ref="Z53:AC53"/>
    <mergeCell ref="L52:M52"/>
    <mergeCell ref="J52:K52"/>
    <mergeCell ref="H52:I52"/>
    <mergeCell ref="J49:K49"/>
    <mergeCell ref="H49:I49"/>
    <mergeCell ref="F49:G49"/>
    <mergeCell ref="D49:E49"/>
    <mergeCell ref="D52:E52"/>
    <mergeCell ref="Z49:AA49"/>
    <mergeCell ref="X49:Y49"/>
    <mergeCell ref="N50:O50"/>
    <mergeCell ref="L49:M49"/>
    <mergeCell ref="V50:W50"/>
    <mergeCell ref="T50:U50"/>
    <mergeCell ref="R50:S50"/>
    <mergeCell ref="P50:Q50"/>
    <mergeCell ref="N51:O51"/>
    <mergeCell ref="L51:M51"/>
    <mergeCell ref="J51:K51"/>
    <mergeCell ref="H51:I51"/>
    <mergeCell ref="F51:G51"/>
    <mergeCell ref="D51:E51"/>
  </mergeCells>
  <phoneticPr fontId="1"/>
  <conditionalFormatting sqref="AE1:AH1">
    <cfRule type="containsText" dxfId="69" priority="2" operator="containsText" text="×">
      <formula>NOT(ISERROR(SEARCH("×",AE1)))</formula>
    </cfRule>
  </conditionalFormatting>
  <conditionalFormatting sqref="A5:AI5 A20:AI21 A27:AI27 A45:AI45 A54:AI54">
    <cfRule type="containsText" dxfId="68" priority="1" operator="containsText" text="×">
      <formula>NOT(ISERROR(SEARCH("×",A5)))</formula>
    </cfRule>
  </conditionalFormatting>
  <dataValidations count="12">
    <dataValidation type="list" allowBlank="1" showInputMessage="1" showErrorMessage="1" sqref="A17:N17" xr:uid="{8EB6CE1F-2339-489C-B303-3ADA29703893}">
      <formula1>$AL$15:$AL$16</formula1>
    </dataValidation>
    <dataValidation type="whole" operator="greaterThanOrEqual" allowBlank="1" showInputMessage="1" showErrorMessage="1" sqref="B30:E31" xr:uid="{7BDEB4FC-20D9-42F3-9BAF-980A1B96F173}">
      <formula1>1</formula1>
    </dataValidation>
    <dataValidation type="list" allowBlank="1" showInputMessage="1" showErrorMessage="1" sqref="B34:K35" xr:uid="{32BCA67B-20AB-465E-A1E1-9D6811719102}">
      <formula1>$AL$34:$AL$36</formula1>
    </dataValidation>
    <dataValidation type="whole" operator="greaterThanOrEqual" allowBlank="1" showInputMessage="1" showErrorMessage="1" sqref="F24 D50:D51 B50:B51 H50:H51 J50:J51 L50:L51 N50:N51 P50:P51 R50:R51 T50:T51 V50:V51 X50:X51 Z50:Z51 AB50:AB51 AD50:AD51 A24 F50:F51" xr:uid="{41A32749-2D21-4A23-937D-C3211A42AA55}">
      <formula1>0</formula1>
    </dataValidation>
    <dataValidation type="list" allowBlank="1" showInputMessage="1" showErrorMessage="1" sqref="L59:N61" xr:uid="{2A09D2BA-0C4E-489B-A177-22A0050A6E8C}">
      <formula1>$AT$56:$AT$58</formula1>
    </dataValidation>
    <dataValidation type="list" allowBlank="1" showInputMessage="1" showErrorMessage="1" sqref="L62:N64" xr:uid="{C40E176F-DC12-4E57-93D2-BB0342020CC9}">
      <formula1>$AT$58</formula1>
    </dataValidation>
    <dataValidation type="list" allowBlank="1" showInputMessage="1" showErrorMessage="1" sqref="L65:N67" xr:uid="{46303B84-1120-4937-B4B3-326BDBC60ECF}">
      <formula1>$AT$57:$AT$58</formula1>
    </dataValidation>
    <dataValidation type="list" allowBlank="1" showInputMessage="1" showErrorMessage="1" sqref="E59:K61" xr:uid="{4BD08460-EA96-4605-9218-6FCA95136358}">
      <formula1>$AL$53:$AL$54</formula1>
    </dataValidation>
    <dataValidation type="list" allowBlank="1" showInputMessage="1" showErrorMessage="1" sqref="E62:K64" xr:uid="{603D32D4-F363-4FF0-9FFC-60D5A84E77F9}">
      <formula1>$AL$55:$AL$56</formula1>
    </dataValidation>
    <dataValidation type="list" allowBlank="1" showInputMessage="1" showErrorMessage="1" sqref="E65:K67" xr:uid="{D0225A83-3804-41F5-A4DF-14083F0E6BEB}">
      <formula1>$AL$57:$AL$58</formula1>
    </dataValidation>
    <dataValidation type="list" allowBlank="1" showInputMessage="1" showErrorMessage="1" sqref="B8:E14" xr:uid="{16AE6111-04AF-4DA6-8AFB-88058B55BF94}">
      <formula1>$BC$6:$BC$7</formula1>
    </dataValidation>
    <dataValidation showInputMessage="1" showErrorMessage="1" sqref="F9:O9 F10 H10:O10 A16" xr:uid="{B4B0D5C9-EC3B-417B-9A21-E2927F41F050}"/>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56"/>
  <sheetViews>
    <sheetView showGridLines="0" view="pageBreakPreview" zoomScale="60" zoomScaleNormal="100" workbookViewId="0">
      <selection activeCell="G28" sqref="G28:H28"/>
    </sheetView>
  </sheetViews>
  <sheetFormatPr defaultColWidth="9" defaultRowHeight="18.45" x14ac:dyDescent="0.65"/>
  <cols>
    <col min="1" max="36" width="3.640625" style="47" customWidth="1"/>
    <col min="37" max="16384" width="9" style="47"/>
  </cols>
  <sheetData>
    <row r="1" spans="1:36" x14ac:dyDescent="0.65">
      <c r="A1" s="47">
        <v>1</v>
      </c>
      <c r="B1" s="47">
        <v>2</v>
      </c>
      <c r="C1" s="47">
        <v>3</v>
      </c>
      <c r="D1" s="47">
        <v>4</v>
      </c>
      <c r="E1" s="47">
        <v>5</v>
      </c>
      <c r="F1" s="47">
        <v>6</v>
      </c>
      <c r="G1" s="47">
        <v>7</v>
      </c>
      <c r="H1" s="47">
        <v>8</v>
      </c>
      <c r="I1" s="47">
        <v>9</v>
      </c>
      <c r="J1" s="47">
        <v>10</v>
      </c>
      <c r="K1" s="47">
        <v>11</v>
      </c>
      <c r="L1" s="47">
        <v>12</v>
      </c>
      <c r="M1" s="47">
        <v>13</v>
      </c>
      <c r="N1" s="47">
        <v>14</v>
      </c>
      <c r="O1" s="47">
        <v>15</v>
      </c>
      <c r="P1" s="47">
        <v>16</v>
      </c>
      <c r="Q1" s="47">
        <v>17</v>
      </c>
      <c r="R1" s="47">
        <v>18</v>
      </c>
      <c r="S1" s="47">
        <v>19</v>
      </c>
      <c r="T1" s="47">
        <v>20</v>
      </c>
      <c r="U1" s="47">
        <v>21</v>
      </c>
      <c r="V1" s="47">
        <v>22</v>
      </c>
      <c r="W1" s="47">
        <v>23</v>
      </c>
      <c r="X1" s="47">
        <v>24</v>
      </c>
      <c r="Y1" s="47">
        <v>25</v>
      </c>
      <c r="Z1" s="47">
        <v>26</v>
      </c>
      <c r="AA1" s="47">
        <v>27</v>
      </c>
      <c r="AB1" s="47">
        <v>28</v>
      </c>
      <c r="AC1" s="47">
        <v>29</v>
      </c>
      <c r="AD1" s="47">
        <v>30</v>
      </c>
      <c r="AE1" s="47">
        <v>31</v>
      </c>
      <c r="AF1" s="47">
        <v>32</v>
      </c>
      <c r="AG1" s="47">
        <v>33</v>
      </c>
      <c r="AH1" s="47">
        <v>34</v>
      </c>
      <c r="AI1" s="47">
        <v>35</v>
      </c>
      <c r="AJ1" s="47">
        <v>36</v>
      </c>
    </row>
    <row r="2" spans="1:36" s="128" customFormat="1" ht="23.15" x14ac:dyDescent="0.65">
      <c r="A2" s="19"/>
      <c r="B2" s="65"/>
      <c r="C2" s="20"/>
      <c r="D2" s="21"/>
      <c r="E2" s="21"/>
      <c r="F2" s="21"/>
      <c r="G2" s="21"/>
      <c r="H2" s="21"/>
      <c r="I2" s="21"/>
      <c r="J2" s="21"/>
      <c r="K2" s="21"/>
      <c r="L2" s="21"/>
      <c r="M2" s="21"/>
      <c r="N2" s="21"/>
      <c r="O2" s="21"/>
      <c r="P2" s="21"/>
      <c r="Q2" s="21"/>
      <c r="R2" s="21"/>
      <c r="S2" s="21"/>
      <c r="T2" s="21"/>
      <c r="U2" s="21"/>
      <c r="V2" s="21"/>
      <c r="W2" s="21"/>
      <c r="X2" s="21"/>
      <c r="Y2" s="21"/>
      <c r="Z2" s="21"/>
      <c r="AA2" s="21"/>
      <c r="AB2" s="683"/>
      <c r="AC2" s="684"/>
      <c r="AD2" s="684"/>
      <c r="AE2" s="684"/>
      <c r="AF2" s="684"/>
      <c r="AG2" s="684"/>
      <c r="AH2" s="684"/>
      <c r="AI2" s="684"/>
      <c r="AJ2" s="684"/>
    </row>
    <row r="3" spans="1:36" s="128" customFormat="1" x14ac:dyDescent="0.65">
      <c r="A3" s="693" t="s">
        <v>151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row>
    <row r="4" spans="1:36" s="128" customFormat="1" x14ac:dyDescent="0.65">
      <c r="A4" s="693"/>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row>
    <row r="5" spans="1:36" s="128" customFormat="1" x14ac:dyDescent="0.65">
      <c r="A5" s="694"/>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row>
    <row r="6" spans="1:36" s="128" customFormat="1" x14ac:dyDescent="0.65"/>
    <row r="7" spans="1:36" s="128" customFormat="1" x14ac:dyDescent="0.65">
      <c r="N7" s="690" t="str">
        <f>表紙!I9</f>
        <v>補助事業者名</v>
      </c>
      <c r="O7" s="690"/>
      <c r="P7" s="690"/>
      <c r="Q7" s="690"/>
      <c r="R7" s="690"/>
      <c r="S7" s="695" t="str">
        <f>表紙!L9</f>
        <v/>
      </c>
      <c r="T7" s="695"/>
      <c r="U7" s="695"/>
      <c r="V7" s="695"/>
      <c r="W7" s="695"/>
      <c r="X7" s="695"/>
      <c r="Y7" s="695"/>
      <c r="Z7" s="695"/>
      <c r="AA7" s="695"/>
      <c r="AB7" s="695"/>
      <c r="AC7" s="695"/>
      <c r="AD7" s="695"/>
      <c r="AE7" s="695"/>
      <c r="AF7" s="695"/>
      <c r="AG7" s="695"/>
      <c r="AH7" s="695"/>
      <c r="AI7" s="695"/>
      <c r="AJ7" s="695"/>
    </row>
    <row r="8" spans="1:36" s="128" customFormat="1" x14ac:dyDescent="0.65">
      <c r="N8" s="690"/>
      <c r="O8" s="690"/>
      <c r="P8" s="690"/>
      <c r="Q8" s="690"/>
      <c r="R8" s="690"/>
      <c r="S8" s="695"/>
      <c r="T8" s="695"/>
      <c r="U8" s="695"/>
      <c r="V8" s="695"/>
      <c r="W8" s="695"/>
      <c r="X8" s="695"/>
      <c r="Y8" s="695"/>
      <c r="Z8" s="695"/>
      <c r="AA8" s="695"/>
      <c r="AB8" s="695"/>
      <c r="AC8" s="695"/>
      <c r="AD8" s="695"/>
      <c r="AE8" s="695"/>
      <c r="AF8" s="695"/>
      <c r="AG8" s="695"/>
      <c r="AH8" s="695"/>
      <c r="AI8" s="695"/>
      <c r="AJ8" s="695"/>
    </row>
    <row r="9" spans="1:36" s="128" customFormat="1" x14ac:dyDescent="0.65">
      <c r="N9" s="690" t="str">
        <f>表紙!I8</f>
        <v>所　  在 　 地</v>
      </c>
      <c r="O9" s="690"/>
      <c r="P9" s="690"/>
      <c r="Q9" s="690"/>
      <c r="R9" s="690"/>
      <c r="S9" s="695" t="str">
        <f>表紙!L8</f>
        <v/>
      </c>
      <c r="T9" s="695"/>
      <c r="U9" s="695"/>
      <c r="V9" s="695"/>
      <c r="W9" s="695"/>
      <c r="X9" s="695"/>
      <c r="Y9" s="695"/>
      <c r="Z9" s="695"/>
      <c r="AA9" s="695"/>
      <c r="AB9" s="695"/>
      <c r="AC9" s="695"/>
      <c r="AD9" s="695"/>
      <c r="AE9" s="695"/>
      <c r="AF9" s="695"/>
      <c r="AG9" s="695"/>
      <c r="AH9" s="695"/>
      <c r="AI9" s="695"/>
      <c r="AJ9" s="695"/>
    </row>
    <row r="10" spans="1:36" s="128" customFormat="1" x14ac:dyDescent="0.65">
      <c r="N10" s="690"/>
      <c r="O10" s="690"/>
      <c r="P10" s="690"/>
      <c r="Q10" s="690"/>
      <c r="R10" s="690"/>
      <c r="S10" s="695"/>
      <c r="T10" s="695"/>
      <c r="U10" s="695"/>
      <c r="V10" s="695"/>
      <c r="W10" s="695"/>
      <c r="X10" s="695"/>
      <c r="Y10" s="695"/>
      <c r="Z10" s="695"/>
      <c r="AA10" s="695"/>
      <c r="AB10" s="695"/>
      <c r="AC10" s="695"/>
      <c r="AD10" s="695"/>
      <c r="AE10" s="695"/>
      <c r="AF10" s="695"/>
      <c r="AG10" s="695"/>
      <c r="AH10" s="695"/>
      <c r="AI10" s="695"/>
      <c r="AJ10" s="695"/>
    </row>
    <row r="11" spans="1:36" s="128" customFormat="1" x14ac:dyDescent="0.65">
      <c r="N11" s="690" t="str">
        <f>表紙!I10</f>
        <v>代表者職氏名</v>
      </c>
      <c r="O11" s="690"/>
      <c r="P11" s="690"/>
      <c r="Q11" s="690"/>
      <c r="R11" s="690"/>
      <c r="S11" s="698" t="str">
        <f>表紙!L10</f>
        <v>　</v>
      </c>
      <c r="T11" s="699"/>
      <c r="U11" s="699"/>
      <c r="V11" s="699"/>
      <c r="W11" s="699"/>
      <c r="X11" s="700"/>
      <c r="Y11" s="700"/>
      <c r="Z11" s="700"/>
      <c r="AA11" s="700"/>
      <c r="AB11" s="700"/>
      <c r="AC11" s="700"/>
      <c r="AD11" s="700"/>
      <c r="AE11" s="700"/>
      <c r="AF11" s="700"/>
      <c r="AG11" s="700"/>
      <c r="AH11" s="700"/>
      <c r="AI11" s="700"/>
      <c r="AJ11" s="701"/>
    </row>
    <row r="12" spans="1:36" s="128" customFormat="1" x14ac:dyDescent="0.65">
      <c r="N12" s="690"/>
      <c r="O12" s="690"/>
      <c r="P12" s="690"/>
      <c r="Q12" s="690"/>
      <c r="R12" s="690"/>
      <c r="S12" s="702"/>
      <c r="T12" s="703"/>
      <c r="U12" s="703"/>
      <c r="V12" s="703"/>
      <c r="W12" s="703"/>
      <c r="X12" s="704"/>
      <c r="Y12" s="704"/>
      <c r="Z12" s="704"/>
      <c r="AA12" s="704"/>
      <c r="AB12" s="704"/>
      <c r="AC12" s="704"/>
      <c r="AD12" s="704"/>
      <c r="AE12" s="704"/>
      <c r="AF12" s="704"/>
      <c r="AG12" s="704"/>
      <c r="AH12" s="704"/>
      <c r="AI12" s="704"/>
      <c r="AJ12" s="705"/>
    </row>
    <row r="13" spans="1:36" s="128" customFormat="1" x14ac:dyDescent="0.65">
      <c r="N13" s="690" t="s">
        <v>56</v>
      </c>
      <c r="O13" s="690"/>
      <c r="P13" s="690"/>
      <c r="Q13" s="690"/>
      <c r="R13" s="690"/>
      <c r="S13" s="691" t="s">
        <v>55</v>
      </c>
      <c r="T13" s="691"/>
      <c r="U13" s="691"/>
      <c r="V13" s="691"/>
      <c r="W13" s="692" t="str">
        <f>表紙!L44</f>
        <v/>
      </c>
      <c r="X13" s="692"/>
      <c r="Y13" s="692"/>
      <c r="Z13" s="692"/>
      <c r="AA13" s="692"/>
      <c r="AB13" s="692"/>
      <c r="AC13" s="692"/>
      <c r="AD13" s="692"/>
      <c r="AE13" s="692"/>
      <c r="AF13" s="692"/>
      <c r="AG13" s="692"/>
      <c r="AH13" s="692"/>
      <c r="AI13" s="692"/>
      <c r="AJ13" s="692"/>
    </row>
    <row r="14" spans="1:36" s="128" customFormat="1" x14ac:dyDescent="0.65">
      <c r="N14" s="690"/>
      <c r="O14" s="690"/>
      <c r="P14" s="690"/>
      <c r="Q14" s="690"/>
      <c r="R14" s="690"/>
      <c r="S14" s="691"/>
      <c r="T14" s="691"/>
      <c r="U14" s="691"/>
      <c r="V14" s="691"/>
      <c r="W14" s="692"/>
      <c r="X14" s="692"/>
      <c r="Y14" s="692"/>
      <c r="Z14" s="692"/>
      <c r="AA14" s="692"/>
      <c r="AB14" s="692"/>
      <c r="AC14" s="692"/>
      <c r="AD14" s="692"/>
      <c r="AE14" s="692"/>
      <c r="AF14" s="692"/>
      <c r="AG14" s="692"/>
      <c r="AH14" s="692"/>
      <c r="AI14" s="692"/>
      <c r="AJ14" s="692"/>
    </row>
    <row r="15" spans="1:36" s="128" customFormat="1" x14ac:dyDescent="0.65">
      <c r="N15" s="690"/>
      <c r="O15" s="690"/>
      <c r="P15" s="690"/>
      <c r="Q15" s="690"/>
      <c r="R15" s="690"/>
      <c r="S15" s="691" t="s">
        <v>57</v>
      </c>
      <c r="T15" s="691"/>
      <c r="U15" s="691"/>
      <c r="V15" s="691"/>
      <c r="W15" s="692" t="str">
        <f>表紙!L45</f>
        <v/>
      </c>
      <c r="X15" s="692"/>
      <c r="Y15" s="692"/>
      <c r="Z15" s="692"/>
      <c r="AA15" s="692"/>
      <c r="AB15" s="692"/>
      <c r="AC15" s="692"/>
      <c r="AD15" s="692"/>
      <c r="AE15" s="692"/>
      <c r="AF15" s="692"/>
      <c r="AG15" s="692"/>
      <c r="AH15" s="692"/>
      <c r="AI15" s="692"/>
      <c r="AJ15" s="692"/>
    </row>
    <row r="16" spans="1:36" s="128" customFormat="1" x14ac:dyDescent="0.65">
      <c r="N16" s="690"/>
      <c r="O16" s="690"/>
      <c r="P16" s="690"/>
      <c r="Q16" s="690"/>
      <c r="R16" s="690"/>
      <c r="S16" s="691"/>
      <c r="T16" s="691"/>
      <c r="U16" s="691"/>
      <c r="V16" s="691"/>
      <c r="W16" s="692"/>
      <c r="X16" s="692"/>
      <c r="Y16" s="692"/>
      <c r="Z16" s="692"/>
      <c r="AA16" s="692"/>
      <c r="AB16" s="692"/>
      <c r="AC16" s="692"/>
      <c r="AD16" s="692"/>
      <c r="AE16" s="692"/>
      <c r="AF16" s="692"/>
      <c r="AG16" s="692"/>
      <c r="AH16" s="692"/>
      <c r="AI16" s="692"/>
      <c r="AJ16" s="692"/>
    </row>
    <row r="17" spans="1:36" s="128" customFormat="1" x14ac:dyDescent="0.65">
      <c r="N17" s="690"/>
      <c r="O17" s="690"/>
      <c r="P17" s="690"/>
      <c r="Q17" s="690"/>
      <c r="R17" s="690"/>
      <c r="S17" s="691" t="s">
        <v>58</v>
      </c>
      <c r="T17" s="691"/>
      <c r="U17" s="691"/>
      <c r="V17" s="691"/>
      <c r="W17" s="706" t="str">
        <f>表紙!L46</f>
        <v/>
      </c>
      <c r="X17" s="692"/>
      <c r="Y17" s="692"/>
      <c r="Z17" s="692"/>
      <c r="AA17" s="692"/>
      <c r="AB17" s="692"/>
      <c r="AC17" s="692"/>
      <c r="AD17" s="692"/>
      <c r="AE17" s="692"/>
      <c r="AF17" s="692"/>
      <c r="AG17" s="692"/>
      <c r="AH17" s="692"/>
      <c r="AI17" s="692"/>
      <c r="AJ17" s="692"/>
    </row>
    <row r="18" spans="1:36" s="128" customFormat="1" x14ac:dyDescent="0.65">
      <c r="N18" s="690"/>
      <c r="O18" s="690"/>
      <c r="P18" s="690"/>
      <c r="Q18" s="690"/>
      <c r="R18" s="690"/>
      <c r="S18" s="691"/>
      <c r="T18" s="691"/>
      <c r="U18" s="691"/>
      <c r="V18" s="691"/>
      <c r="W18" s="692"/>
      <c r="X18" s="692"/>
      <c r="Y18" s="692"/>
      <c r="Z18" s="692"/>
      <c r="AA18" s="692"/>
      <c r="AB18" s="692"/>
      <c r="AC18" s="692"/>
      <c r="AD18" s="692"/>
      <c r="AE18" s="692"/>
      <c r="AF18" s="692"/>
      <c r="AG18" s="692"/>
      <c r="AH18" s="692"/>
      <c r="AI18" s="692"/>
      <c r="AJ18" s="692"/>
    </row>
    <row r="19" spans="1:36" s="128" customFormat="1" x14ac:dyDescent="0.65"/>
    <row r="20" spans="1:36" s="128" customFormat="1" ht="23.15" x14ac:dyDescent="0.8">
      <c r="A20" s="707" t="str">
        <f ca="1">"　標記の補助金交付申請（申請額："&amp;IF(表紙!H20="金　　　　　　　　　円","　　　　　　　　",TEXT(表紙!H20,"###,0"))&amp;"円）に係る振込先口座情報及び当該口座の通帳写しについては"</f>
        <v>　標記の補助金交付申請（申請額：　　　　　　　　円）に係る振込先口座情報及び当該口座の通帳写しについては</v>
      </c>
      <c r="B20" s="708"/>
      <c r="C20" s="708"/>
      <c r="D20" s="708"/>
      <c r="E20" s="708"/>
      <c r="F20" s="708"/>
      <c r="G20" s="708"/>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row>
    <row r="21" spans="1:36" s="128" customFormat="1" ht="23.15" x14ac:dyDescent="0.8">
      <c r="A21" s="22" t="s">
        <v>67</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s="128" customFormat="1" x14ac:dyDescent="0.65"/>
    <row r="23" spans="1:36" s="128" customFormat="1" ht="23.15" x14ac:dyDescent="0.65">
      <c r="A23" s="710" t="s">
        <v>69</v>
      </c>
      <c r="B23" s="716" t="s">
        <v>59</v>
      </c>
      <c r="C23" s="717"/>
      <c r="D23" s="717"/>
      <c r="E23" s="717"/>
      <c r="F23" s="718"/>
      <c r="G23" s="59" t="str">
        <f>IF(はじめに入力してください!H19="","",はじめに入力してください!H19)</f>
        <v/>
      </c>
      <c r="H23" s="60" t="str">
        <f>IF(はじめに入力してください!I19="","",はじめに入力してください!I19)</f>
        <v/>
      </c>
      <c r="I23" s="60" t="str">
        <f>IF(はじめに入力してください!J19="","",はじめに入力してください!J19)</f>
        <v/>
      </c>
      <c r="J23" s="61" t="str">
        <f>IF(はじめに入力してください!K19="","",はじめに入力してください!K19)</f>
        <v/>
      </c>
      <c r="K23" s="719"/>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row>
    <row r="24" spans="1:36" s="128" customFormat="1" ht="23.15" x14ac:dyDescent="0.65">
      <c r="A24" s="711"/>
      <c r="B24" s="685" t="s">
        <v>60</v>
      </c>
      <c r="C24" s="686"/>
      <c r="D24" s="686"/>
      <c r="E24" s="686"/>
      <c r="F24" s="686"/>
      <c r="G24" s="59" t="str">
        <f>IF(はじめに入力してください!H21="","",はじめに入力してください!H21)</f>
        <v/>
      </c>
      <c r="H24" s="60" t="str">
        <f>IF(はじめに入力してください!I21="","",はじめに入力してください!I21)</f>
        <v/>
      </c>
      <c r="I24" s="61" t="str">
        <f>IF(はじめに入力してください!J21="","",はじめに入力してください!J21)</f>
        <v/>
      </c>
      <c r="J24" s="129"/>
      <c r="K24" s="715"/>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row>
    <row r="25" spans="1:36" s="128" customFormat="1" ht="23.15" x14ac:dyDescent="0.65">
      <c r="A25" s="711"/>
      <c r="B25" s="687" t="s">
        <v>61</v>
      </c>
      <c r="C25" s="688"/>
      <c r="D25" s="688"/>
      <c r="E25" s="688"/>
      <c r="F25" s="689"/>
      <c r="G25" s="712" t="str">
        <f>IF(はじめに入力してください!H20="","",はじめに入力してください!H20)</f>
        <v/>
      </c>
      <c r="H25" s="713"/>
      <c r="I25" s="713"/>
      <c r="J25" s="713"/>
      <c r="K25" s="713"/>
      <c r="L25" s="713"/>
      <c r="M25" s="714"/>
      <c r="N25" s="696"/>
      <c r="O25" s="697"/>
      <c r="P25" s="697"/>
      <c r="Q25" s="697"/>
      <c r="R25" s="697"/>
      <c r="S25" s="697"/>
      <c r="T25" s="697"/>
      <c r="U25" s="697"/>
      <c r="V25" s="697"/>
      <c r="W25" s="697"/>
      <c r="X25" s="697"/>
      <c r="Y25" s="697"/>
      <c r="Z25" s="697"/>
      <c r="AA25" s="697"/>
      <c r="AB25" s="697"/>
      <c r="AC25" s="697"/>
      <c r="AD25" s="697"/>
      <c r="AE25" s="697"/>
      <c r="AF25" s="697"/>
      <c r="AG25" s="697"/>
      <c r="AH25" s="697"/>
      <c r="AI25" s="697"/>
      <c r="AJ25" s="697"/>
    </row>
    <row r="26" spans="1:36" s="128" customFormat="1" ht="23.15" x14ac:dyDescent="0.65">
      <c r="A26" s="711"/>
      <c r="B26" s="687" t="s">
        <v>62</v>
      </c>
      <c r="C26" s="688"/>
      <c r="D26" s="688"/>
      <c r="E26" s="688"/>
      <c r="F26" s="689"/>
      <c r="G26" s="731" t="str">
        <f>IF(はじめに入力してください!H22="","",はじめに入力してください!H22)</f>
        <v/>
      </c>
      <c r="H26" s="732"/>
      <c r="I26" s="732"/>
      <c r="J26" s="732"/>
      <c r="K26" s="732"/>
      <c r="L26" s="732"/>
      <c r="M26" s="733"/>
      <c r="N26" s="719"/>
      <c r="O26" s="715"/>
      <c r="P26" s="715"/>
      <c r="Q26" s="715"/>
      <c r="R26" s="715"/>
      <c r="S26" s="715"/>
      <c r="T26" s="715"/>
      <c r="U26" s="715"/>
      <c r="V26" s="715"/>
      <c r="W26" s="715"/>
      <c r="X26" s="715"/>
      <c r="Y26" s="715"/>
      <c r="Z26" s="715"/>
      <c r="AA26" s="715"/>
      <c r="AB26" s="715"/>
      <c r="AC26" s="715"/>
      <c r="AD26" s="715"/>
      <c r="AE26" s="715"/>
      <c r="AF26" s="715"/>
      <c r="AG26" s="715"/>
      <c r="AH26" s="715"/>
      <c r="AI26" s="715"/>
      <c r="AJ26" s="715"/>
    </row>
    <row r="27" spans="1:36" s="128" customFormat="1" ht="23.15" hidden="1" x14ac:dyDescent="0.65">
      <c r="A27" s="711"/>
      <c r="B27" s="73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row>
    <row r="28" spans="1:36" s="128" customFormat="1" ht="23.15" x14ac:dyDescent="0.65">
      <c r="A28" s="711"/>
      <c r="B28" s="687" t="s">
        <v>63</v>
      </c>
      <c r="C28" s="688"/>
      <c r="D28" s="688"/>
      <c r="E28" s="688"/>
      <c r="F28" s="688"/>
      <c r="G28" s="735" t="str">
        <f>IF(はじめに入力してください!H23="","",はじめに入力してください!H23)</f>
        <v/>
      </c>
      <c r="H28" s="736"/>
      <c r="I28" s="737"/>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row>
    <row r="29" spans="1:36" s="128" customFormat="1" ht="23.15" x14ac:dyDescent="0.65">
      <c r="A29" s="711"/>
      <c r="B29" s="687" t="s">
        <v>64</v>
      </c>
      <c r="C29" s="688"/>
      <c r="D29" s="688"/>
      <c r="E29" s="688"/>
      <c r="F29" s="688"/>
      <c r="G29" s="62" t="str">
        <f>IF(はじめに入力してください!H24="","",はじめに入力してください!H24)</f>
        <v/>
      </c>
      <c r="H29" s="63" t="str">
        <f>IF(はじめに入力してください!I24="","",はじめに入力してください!I24)</f>
        <v/>
      </c>
      <c r="I29" s="63" t="str">
        <f>IF(はじめに入力してください!J24="","",はじめに入力してください!J24)</f>
        <v/>
      </c>
      <c r="J29" s="63" t="str">
        <f>IF(はじめに入力してください!K24="","",はじめに入力してください!K24)</f>
        <v/>
      </c>
      <c r="K29" s="63" t="str">
        <f>IF(はじめに入力してください!L24="","",はじめに入力してください!L24)</f>
        <v/>
      </c>
      <c r="L29" s="63" t="str">
        <f>IF(はじめに入力してください!M24="","",はじめに入力してください!M24)</f>
        <v/>
      </c>
      <c r="M29" s="64" t="str">
        <f>IF(はじめに入力してください!N24="","",はじめに入力してください!N24)</f>
        <v/>
      </c>
      <c r="N29" s="739"/>
      <c r="O29" s="740"/>
      <c r="P29" s="740"/>
      <c r="Q29" s="740"/>
      <c r="R29" s="740"/>
      <c r="S29" s="740"/>
      <c r="T29" s="740"/>
      <c r="U29" s="740"/>
      <c r="V29" s="740"/>
      <c r="W29" s="740"/>
      <c r="X29" s="740"/>
      <c r="Y29" s="740"/>
      <c r="Z29" s="740"/>
      <c r="AA29" s="740"/>
      <c r="AB29" s="740"/>
      <c r="AC29" s="740"/>
      <c r="AD29" s="740"/>
      <c r="AE29" s="740"/>
      <c r="AF29" s="740"/>
      <c r="AG29" s="740"/>
      <c r="AH29" s="740"/>
      <c r="AI29" s="740"/>
      <c r="AJ29" s="740"/>
    </row>
    <row r="30" spans="1:36" s="128" customFormat="1" ht="24.75" customHeight="1" x14ac:dyDescent="0.65">
      <c r="A30" s="711"/>
      <c r="B30" s="717" t="s">
        <v>65</v>
      </c>
      <c r="C30" s="717"/>
      <c r="D30" s="717"/>
      <c r="E30" s="717"/>
      <c r="F30" s="718"/>
      <c r="G30" s="741" t="str">
        <f>IF(はじめに入力してください!H25="","",はじめに入力してください!H25)</f>
        <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row>
    <row r="31" spans="1:36" s="128" customFormat="1" ht="23.15" x14ac:dyDescent="0.65">
      <c r="A31" s="729" t="s">
        <v>66</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row>
    <row r="32" spans="1:36" s="128" customFormat="1" ht="23.6" thickBot="1" x14ac:dyDescent="0.85">
      <c r="C32" s="48"/>
    </row>
    <row r="33" spans="2:35" s="128" customFormat="1" x14ac:dyDescent="0.65">
      <c r="B33" s="720" t="s">
        <v>156</v>
      </c>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2"/>
    </row>
    <row r="34" spans="2:35" s="128" customFormat="1" x14ac:dyDescent="0.65">
      <c r="B34" s="723"/>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5"/>
    </row>
    <row r="35" spans="2:35" s="128" customFormat="1" x14ac:dyDescent="0.65">
      <c r="B35" s="723"/>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5"/>
    </row>
    <row r="36" spans="2:35" s="128" customFormat="1" x14ac:dyDescent="0.65">
      <c r="B36" s="723"/>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5"/>
    </row>
    <row r="37" spans="2:35" s="128" customFormat="1" x14ac:dyDescent="0.65">
      <c r="B37" s="723"/>
      <c r="C37" s="724"/>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5"/>
    </row>
    <row r="38" spans="2:35" s="128" customFormat="1" x14ac:dyDescent="0.65">
      <c r="B38" s="723"/>
      <c r="C38" s="724"/>
      <c r="D38" s="724"/>
      <c r="E38" s="724"/>
      <c r="F38" s="724"/>
      <c r="G38" s="724"/>
      <c r="H38" s="724"/>
      <c r="I38" s="724"/>
      <c r="J38" s="724"/>
      <c r="K38" s="724"/>
      <c r="L38" s="724"/>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5"/>
    </row>
    <row r="39" spans="2:35" s="128" customFormat="1" x14ac:dyDescent="0.65">
      <c r="B39" s="723"/>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5"/>
    </row>
    <row r="40" spans="2:35" s="128" customFormat="1" x14ac:dyDescent="0.65">
      <c r="B40" s="723"/>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5"/>
    </row>
    <row r="41" spans="2:35" s="128" customFormat="1" x14ac:dyDescent="0.65">
      <c r="B41" s="723"/>
      <c r="C41" s="724"/>
      <c r="D41" s="724"/>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5"/>
    </row>
    <row r="42" spans="2:35" s="128" customFormat="1" x14ac:dyDescent="0.65">
      <c r="B42" s="723"/>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5"/>
    </row>
    <row r="43" spans="2:35" s="128" customFormat="1" x14ac:dyDescent="0.65">
      <c r="B43" s="723"/>
      <c r="C43" s="724"/>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5"/>
    </row>
    <row r="44" spans="2:35" s="128" customFormat="1" x14ac:dyDescent="0.65">
      <c r="B44" s="723"/>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5"/>
    </row>
    <row r="45" spans="2:35" s="128" customFormat="1" x14ac:dyDescent="0.65">
      <c r="B45" s="723"/>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5"/>
    </row>
    <row r="46" spans="2:35" s="128" customFormat="1" x14ac:dyDescent="0.65">
      <c r="B46" s="723"/>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5"/>
    </row>
    <row r="47" spans="2:35" s="128" customFormat="1" x14ac:dyDescent="0.65">
      <c r="B47" s="723"/>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5"/>
    </row>
    <row r="48" spans="2:35" s="128" customFormat="1" x14ac:dyDescent="0.65">
      <c r="B48" s="723"/>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5"/>
    </row>
    <row r="49" spans="2:35" s="128" customFormat="1" x14ac:dyDescent="0.65">
      <c r="B49" s="723"/>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5"/>
    </row>
    <row r="50" spans="2:35" s="128" customFormat="1" x14ac:dyDescent="0.65">
      <c r="B50" s="723"/>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5"/>
    </row>
    <row r="51" spans="2:35" s="128" customFormat="1" x14ac:dyDescent="0.65">
      <c r="B51" s="723"/>
      <c r="C51" s="724"/>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5"/>
    </row>
    <row r="52" spans="2:35" s="128" customFormat="1" x14ac:dyDescent="0.65">
      <c r="B52" s="723"/>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5"/>
    </row>
    <row r="53" spans="2:35" s="128" customFormat="1" x14ac:dyDescent="0.65">
      <c r="B53" s="723"/>
      <c r="C53" s="724"/>
      <c r="D53" s="724"/>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724"/>
      <c r="AI53" s="725"/>
    </row>
    <row r="54" spans="2:35" s="128" customFormat="1" x14ac:dyDescent="0.65">
      <c r="B54" s="723"/>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c r="AF54" s="724"/>
      <c r="AG54" s="724"/>
      <c r="AH54" s="724"/>
      <c r="AI54" s="725"/>
    </row>
    <row r="55" spans="2:35" s="128" customFormat="1" ht="18.899999999999999" thickBot="1" x14ac:dyDescent="0.7">
      <c r="B55" s="726"/>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8"/>
    </row>
    <row r="56" spans="2:35" ht="151.4" customHeight="1" x14ac:dyDescent="0.65"/>
  </sheetData>
  <sheetProtection algorithmName="SHA-512" hashValue="qEbe5RYfyNMV7reJex0KhkKjihAV+7lwsDFPXzvO3raYJkpR2U/9I7gzVXkJQfhs926twQLdXiKQbrdIg85ffA==" saltValue="AUG9jFp2imJHsjjgjFGqCA==" spinCount="100000" sheet="1" objects="1" scenarios="1"/>
  <mergeCells count="37">
    <mergeCell ref="B33:AI55"/>
    <mergeCell ref="A31:AJ31"/>
    <mergeCell ref="B26:F26"/>
    <mergeCell ref="G26:M26"/>
    <mergeCell ref="N26:AJ26"/>
    <mergeCell ref="B27:AJ27"/>
    <mergeCell ref="B28:F28"/>
    <mergeCell ref="G28:H28"/>
    <mergeCell ref="I28:AJ28"/>
    <mergeCell ref="B29:F29"/>
    <mergeCell ref="N29:AJ29"/>
    <mergeCell ref="B30:F30"/>
    <mergeCell ref="G30:AJ30"/>
    <mergeCell ref="S17:V18"/>
    <mergeCell ref="W17:AJ18"/>
    <mergeCell ref="A20:AJ20"/>
    <mergeCell ref="A23:A30"/>
    <mergeCell ref="G25:M25"/>
    <mergeCell ref="K24:AJ24"/>
    <mergeCell ref="B23:F23"/>
    <mergeCell ref="K23:AJ23"/>
    <mergeCell ref="AB2:AJ2"/>
    <mergeCell ref="B24:F24"/>
    <mergeCell ref="B25:F25"/>
    <mergeCell ref="N13:R18"/>
    <mergeCell ref="S13:V14"/>
    <mergeCell ref="W13:AJ14"/>
    <mergeCell ref="S15:V16"/>
    <mergeCell ref="A3:AJ5"/>
    <mergeCell ref="N7:R8"/>
    <mergeCell ref="S7:AJ8"/>
    <mergeCell ref="N9:R10"/>
    <mergeCell ref="S9:AJ10"/>
    <mergeCell ref="N11:R12"/>
    <mergeCell ref="N25:AJ25"/>
    <mergeCell ref="S11:AJ12"/>
    <mergeCell ref="W15:AJ16"/>
  </mergeCells>
  <phoneticPr fontId="1"/>
  <conditionalFormatting sqref="AK22">
    <cfRule type="containsText" dxfId="67" priority="1" operator="containsText" text="不十分">
      <formula>NOT(ISERROR(SEARCH("不十分",AK22)))</formula>
    </cfRule>
    <cfRule type="containsText" dxfId="66" priority="2" operator="containsText" text="藤生bん">
      <formula>NOT(ISERROR(SEARCH("藤生bん",AK22)))</formula>
    </cfRule>
  </conditionalFormatting>
  <dataValidations count="4">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200-000000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200-000001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200-000002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200-000003000000}">
      <formula1>AND(LENB(D23:G23)=LEN(D23:G23))</formula1>
    </dataValidation>
  </dataValidation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D539-E41C-45C2-85E4-387341A07A90}">
  <sheetPr>
    <pageSetUpPr fitToPage="1"/>
  </sheetPr>
  <dimension ref="A1:BK70"/>
  <sheetViews>
    <sheetView showGridLines="0" view="pageBreakPreview" zoomScale="60" zoomScaleNormal="50" workbookViewId="0">
      <selection activeCell="B14" sqref="B14:AU17"/>
    </sheetView>
  </sheetViews>
  <sheetFormatPr defaultColWidth="9" defaultRowHeight="32.6" x14ac:dyDescent="0.65"/>
  <cols>
    <col min="1" max="48" width="3.640625" style="113" customWidth="1"/>
    <col min="49" max="16384" width="9" style="113"/>
  </cols>
  <sheetData>
    <row r="1" spans="1:47" x14ac:dyDescent="0.65">
      <c r="A1" s="115">
        <v>1</v>
      </c>
      <c r="B1" s="115">
        <v>2</v>
      </c>
      <c r="C1" s="115">
        <v>3</v>
      </c>
      <c r="D1" s="115">
        <v>4</v>
      </c>
      <c r="E1" s="115">
        <v>5</v>
      </c>
      <c r="F1" s="115">
        <v>6</v>
      </c>
      <c r="G1" s="115">
        <v>7</v>
      </c>
      <c r="H1" s="115">
        <v>8</v>
      </c>
      <c r="I1" s="115">
        <v>9</v>
      </c>
      <c r="J1" s="115">
        <v>10</v>
      </c>
      <c r="K1" s="115">
        <v>11</v>
      </c>
      <c r="L1" s="115">
        <v>12</v>
      </c>
      <c r="M1" s="115">
        <v>13</v>
      </c>
      <c r="N1" s="115">
        <v>14</v>
      </c>
      <c r="O1" s="115">
        <v>15</v>
      </c>
      <c r="P1" s="115">
        <v>16</v>
      </c>
      <c r="Q1" s="115">
        <v>17</v>
      </c>
      <c r="R1" s="115">
        <v>18</v>
      </c>
      <c r="S1" s="115">
        <v>19</v>
      </c>
      <c r="T1" s="115">
        <v>20</v>
      </c>
      <c r="U1" s="115">
        <v>21</v>
      </c>
      <c r="V1" s="115">
        <v>22</v>
      </c>
      <c r="W1" s="115">
        <v>23</v>
      </c>
      <c r="X1" s="115">
        <v>24</v>
      </c>
      <c r="Y1" s="115">
        <v>25</v>
      </c>
      <c r="Z1" s="115">
        <v>26</v>
      </c>
      <c r="AA1" s="115">
        <v>27</v>
      </c>
      <c r="AB1" s="115">
        <v>28</v>
      </c>
      <c r="AC1" s="115">
        <v>29</v>
      </c>
      <c r="AD1" s="115">
        <v>30</v>
      </c>
      <c r="AE1" s="115">
        <v>31</v>
      </c>
      <c r="AF1" s="115">
        <v>32</v>
      </c>
      <c r="AG1" s="115">
        <v>33</v>
      </c>
      <c r="AH1" s="115">
        <v>34</v>
      </c>
      <c r="AI1" s="115">
        <v>35</v>
      </c>
      <c r="AJ1" s="115">
        <v>36</v>
      </c>
      <c r="AK1" s="115">
        <v>37</v>
      </c>
      <c r="AL1" s="115">
        <v>38</v>
      </c>
      <c r="AM1" s="115">
        <v>39</v>
      </c>
      <c r="AN1" s="115">
        <v>40</v>
      </c>
      <c r="AO1" s="115">
        <v>41</v>
      </c>
      <c r="AP1" s="115">
        <v>42</v>
      </c>
      <c r="AQ1" s="115">
        <v>43</v>
      </c>
      <c r="AR1" s="115">
        <v>44</v>
      </c>
      <c r="AS1" s="115">
        <v>45</v>
      </c>
      <c r="AT1" s="115">
        <v>46</v>
      </c>
      <c r="AU1" s="115">
        <v>47</v>
      </c>
    </row>
    <row r="2" spans="1:47" ht="20.149999999999999" customHeight="1" x14ac:dyDescent="0.65"/>
    <row r="3" spans="1:47" ht="33" customHeight="1" x14ac:dyDescent="0.65">
      <c r="AK3" s="748" t="str">
        <f>IF(はじめに入力してください!O12="×","令和　年　月　日",はじめに入力してください!AF12)</f>
        <v>令和　年　月　日</v>
      </c>
      <c r="AL3" s="756"/>
      <c r="AM3" s="756"/>
      <c r="AN3" s="756"/>
      <c r="AO3" s="756"/>
      <c r="AP3" s="756"/>
      <c r="AQ3" s="756"/>
      <c r="AR3" s="756"/>
      <c r="AS3" s="756"/>
      <c r="AT3" s="756"/>
      <c r="AU3" s="756"/>
    </row>
    <row r="4" spans="1:47" x14ac:dyDescent="0.65">
      <c r="AK4" s="756"/>
      <c r="AL4" s="756"/>
      <c r="AM4" s="756"/>
      <c r="AN4" s="756"/>
      <c r="AO4" s="756"/>
      <c r="AP4" s="756"/>
      <c r="AQ4" s="756"/>
      <c r="AR4" s="756"/>
      <c r="AS4" s="756"/>
      <c r="AT4" s="756"/>
      <c r="AU4" s="756"/>
    </row>
    <row r="5" spans="1:47" x14ac:dyDescent="0.65">
      <c r="B5" s="748" t="s">
        <v>230</v>
      </c>
      <c r="C5" s="749"/>
      <c r="D5" s="749"/>
      <c r="E5" s="749"/>
      <c r="F5" s="749"/>
      <c r="G5" s="749"/>
      <c r="H5" s="749"/>
      <c r="I5" s="749"/>
      <c r="J5" s="761"/>
      <c r="K5" s="765"/>
      <c r="L5" s="765"/>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row>
    <row r="6" spans="1:47" ht="20.149999999999999" customHeight="1" x14ac:dyDescent="0.65">
      <c r="B6" s="123"/>
      <c r="C6" s="122"/>
      <c r="D6" s="122"/>
      <c r="E6" s="122"/>
      <c r="F6" s="122"/>
      <c r="G6" s="122"/>
      <c r="H6" s="122"/>
      <c r="I6" s="122"/>
      <c r="J6" s="121"/>
      <c r="K6" s="120"/>
      <c r="L6" s="120"/>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row>
    <row r="7" spans="1:47" ht="33" customHeight="1" x14ac:dyDescent="0.65">
      <c r="X7" s="757" t="s">
        <v>229</v>
      </c>
      <c r="Y7" s="758"/>
      <c r="Z7" s="758"/>
      <c r="AA7" s="758"/>
      <c r="AB7" s="758"/>
      <c r="AC7" s="758"/>
      <c r="AD7" s="758"/>
      <c r="AF7" s="752" t="str">
        <f>IF(はじめに入力してください!H9="","",はじめに入力してください!H9)</f>
        <v/>
      </c>
      <c r="AG7" s="753"/>
      <c r="AH7" s="753"/>
      <c r="AI7" s="753"/>
      <c r="AJ7" s="753"/>
      <c r="AK7" s="753"/>
      <c r="AL7" s="753"/>
      <c r="AM7" s="753"/>
      <c r="AN7" s="753"/>
      <c r="AO7" s="753"/>
      <c r="AP7" s="753"/>
      <c r="AQ7" s="753"/>
      <c r="AR7" s="753"/>
      <c r="AS7" s="753"/>
      <c r="AT7" s="753"/>
      <c r="AU7" s="753"/>
    </row>
    <row r="8" spans="1:47" ht="33" customHeight="1" x14ac:dyDescent="0.65">
      <c r="X8" s="757" t="s">
        <v>228</v>
      </c>
      <c r="Y8" s="758"/>
      <c r="Z8" s="758"/>
      <c r="AA8" s="758"/>
      <c r="AB8" s="758"/>
      <c r="AC8" s="758"/>
      <c r="AD8" s="758"/>
      <c r="AF8" s="752" t="str">
        <f>IF(はじめに入力してください!H6="","",はじめに入力してください!H6)</f>
        <v/>
      </c>
      <c r="AG8" s="753"/>
      <c r="AH8" s="753"/>
      <c r="AI8" s="753"/>
      <c r="AJ8" s="753"/>
      <c r="AK8" s="753"/>
      <c r="AL8" s="753"/>
      <c r="AM8" s="753"/>
      <c r="AN8" s="753"/>
      <c r="AO8" s="753"/>
      <c r="AP8" s="753"/>
      <c r="AQ8" s="753"/>
      <c r="AR8" s="753"/>
      <c r="AS8" s="753"/>
      <c r="AT8" s="753"/>
      <c r="AU8" s="753"/>
    </row>
    <row r="9" spans="1:47" ht="33" customHeight="1" x14ac:dyDescent="0.65">
      <c r="X9" s="757" t="s">
        <v>227</v>
      </c>
      <c r="Y9" s="758"/>
      <c r="Z9" s="758"/>
      <c r="AA9" s="758"/>
      <c r="AB9" s="758"/>
      <c r="AC9" s="758"/>
      <c r="AD9" s="758"/>
      <c r="AF9" s="752" t="str">
        <f>IF(はじめに入力してください!H7="","",はじめに入力してください!H7)</f>
        <v/>
      </c>
      <c r="AG9" s="753"/>
      <c r="AH9" s="753"/>
      <c r="AI9" s="753"/>
      <c r="AJ9" s="753"/>
      <c r="AK9" s="119"/>
      <c r="AL9" s="752" t="str">
        <f>IF(はじめに入力してください!H8="","",はじめに入力してください!H8)</f>
        <v/>
      </c>
      <c r="AM9" s="752"/>
      <c r="AN9" s="752"/>
      <c r="AO9" s="752"/>
      <c r="AP9" s="752"/>
      <c r="AQ9" s="752"/>
      <c r="AR9" s="752"/>
      <c r="AS9" s="752"/>
      <c r="AT9" s="752"/>
      <c r="AU9" s="752"/>
    </row>
    <row r="10" spans="1:47" ht="20.149999999999999" customHeight="1" x14ac:dyDescent="0.65"/>
    <row r="11" spans="1:47" x14ac:dyDescent="0.65">
      <c r="B11" s="759" t="s">
        <v>370</v>
      </c>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row>
    <row r="12" spans="1:47" x14ac:dyDescent="0.65">
      <c r="B12" s="760"/>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760"/>
      <c r="AL12" s="760"/>
      <c r="AM12" s="760"/>
      <c r="AN12" s="760"/>
      <c r="AO12" s="760"/>
      <c r="AP12" s="760"/>
      <c r="AQ12" s="760"/>
      <c r="AR12" s="760"/>
      <c r="AS12" s="760"/>
      <c r="AT12" s="760"/>
      <c r="AU12" s="760"/>
    </row>
    <row r="13" spans="1:47" ht="20.149999999999999" customHeight="1" x14ac:dyDescent="0.65">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row>
    <row r="14" spans="1:47" x14ac:dyDescent="0.65">
      <c r="B14" s="754" t="s">
        <v>226</v>
      </c>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55"/>
    </row>
    <row r="15" spans="1:47" x14ac:dyDescent="0.65">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row>
    <row r="16" spans="1:47" x14ac:dyDescent="0.65">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row>
    <row r="17" spans="2:47" x14ac:dyDescent="0.65">
      <c r="B17" s="761"/>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row>
    <row r="18" spans="2:47" ht="20.149999999999999" customHeight="1" x14ac:dyDescent="0.65"/>
    <row r="19" spans="2:47" x14ac:dyDescent="0.65">
      <c r="B19" s="746" t="s">
        <v>225</v>
      </c>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row>
    <row r="20" spans="2:47" x14ac:dyDescent="0.65">
      <c r="C20" s="145"/>
      <c r="D20" s="752" t="str">
        <f>IF(はじめに入力してください!H10="","",はじめに入力してください!H10)</f>
        <v/>
      </c>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row>
    <row r="21" spans="2:47" x14ac:dyDescent="0.65">
      <c r="C21" s="145"/>
      <c r="D21" s="752" t="str">
        <f>IF(はじめに入力してください!H11="","",はじめに入力してください!H11)</f>
        <v/>
      </c>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row>
    <row r="22" spans="2:47" ht="20.149999999999999" customHeight="1" x14ac:dyDescent="0.65">
      <c r="B22" s="750"/>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row>
    <row r="23" spans="2:47" x14ac:dyDescent="0.65">
      <c r="B23" s="746" t="s">
        <v>224</v>
      </c>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row>
    <row r="24" spans="2:47" x14ac:dyDescent="0.65">
      <c r="C24" s="144"/>
      <c r="D24" s="762" t="str">
        <f ca="1">IF(経費書!I16&gt;0,経費書!I18,"金　　　　　　　　円")</f>
        <v>金　　　　　　　　円</v>
      </c>
      <c r="E24" s="763"/>
      <c r="F24" s="763"/>
      <c r="G24" s="763"/>
      <c r="H24" s="763"/>
      <c r="I24" s="763"/>
      <c r="J24" s="763"/>
      <c r="K24" s="763"/>
      <c r="L24" s="763"/>
      <c r="M24" s="764"/>
      <c r="N24" s="76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row>
    <row r="25" spans="2:47" ht="20.149999999999999" customHeight="1" x14ac:dyDescent="0.65"/>
    <row r="26" spans="2:47" x14ac:dyDescent="0.65">
      <c r="B26" s="746" t="s">
        <v>223</v>
      </c>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row>
    <row r="27" spans="2:47" x14ac:dyDescent="0.65">
      <c r="B27" s="746" t="s">
        <v>222</v>
      </c>
      <c r="C27" s="755"/>
      <c r="D27" s="755"/>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row>
    <row r="28" spans="2:47" x14ac:dyDescent="0.65">
      <c r="B28" s="746" t="s">
        <v>221</v>
      </c>
      <c r="C28" s="755"/>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row>
    <row r="29" spans="2:47" x14ac:dyDescent="0.65">
      <c r="B29" s="746" t="s">
        <v>220</v>
      </c>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row>
    <row r="30" spans="2:47" x14ac:dyDescent="0.65">
      <c r="B30" s="746" t="s">
        <v>219</v>
      </c>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row>
    <row r="31" spans="2:47" x14ac:dyDescent="0.65">
      <c r="B31" s="746" t="s">
        <v>218</v>
      </c>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row>
    <row r="32" spans="2:47" ht="20.149999999999999" customHeight="1" x14ac:dyDescent="0.65"/>
    <row r="33" spans="2:47" ht="33" customHeight="1" x14ac:dyDescent="0.65">
      <c r="Z33" s="748" t="s">
        <v>209</v>
      </c>
      <c r="AA33" s="756"/>
      <c r="AB33" s="756"/>
      <c r="AC33" s="756"/>
      <c r="AD33" s="756"/>
      <c r="AE33" s="756"/>
      <c r="AF33" s="756"/>
      <c r="AG33" s="756"/>
      <c r="AI33" s="752" t="str">
        <f>IF(はじめに入力してください!H15="","",はじめに入力してください!H15)</f>
        <v/>
      </c>
      <c r="AJ33" s="753"/>
      <c r="AK33" s="753"/>
      <c r="AL33" s="753"/>
      <c r="AM33" s="753"/>
      <c r="AN33" s="753"/>
      <c r="AO33" s="753"/>
      <c r="AP33" s="753"/>
      <c r="AQ33" s="753"/>
      <c r="AR33" s="753"/>
      <c r="AS33" s="753"/>
      <c r="AT33" s="753"/>
      <c r="AU33" s="753"/>
    </row>
    <row r="34" spans="2:47" ht="33" customHeight="1" x14ac:dyDescent="0.65">
      <c r="Z34" s="748" t="s">
        <v>217</v>
      </c>
      <c r="AA34" s="756"/>
      <c r="AB34" s="756"/>
      <c r="AC34" s="756"/>
      <c r="AD34" s="756"/>
      <c r="AE34" s="756"/>
      <c r="AF34" s="756"/>
      <c r="AG34" s="756"/>
      <c r="AI34" s="752" t="str">
        <f>IF(はじめに入力してください!H16="","",はじめに入力してください!H16)</f>
        <v/>
      </c>
      <c r="AJ34" s="753"/>
      <c r="AK34" s="753"/>
      <c r="AL34" s="753"/>
      <c r="AM34" s="753"/>
      <c r="AN34" s="753"/>
      <c r="AO34" s="753"/>
      <c r="AP34" s="753"/>
      <c r="AQ34" s="753"/>
      <c r="AR34" s="753"/>
      <c r="AS34" s="753"/>
      <c r="AT34" s="753"/>
      <c r="AU34" s="753"/>
    </row>
    <row r="35" spans="2:47" ht="33" customHeight="1" x14ac:dyDescent="0.65">
      <c r="Z35" s="748" t="s">
        <v>208</v>
      </c>
      <c r="AA35" s="756"/>
      <c r="AB35" s="756"/>
      <c r="AC35" s="756"/>
      <c r="AD35" s="756"/>
      <c r="AE35" s="756"/>
      <c r="AF35" s="756"/>
      <c r="AG35" s="756"/>
      <c r="AI35" s="752" t="str">
        <f>IF(はじめに入力してください!AF17="","",はじめに入力してください!AF17)</f>
        <v/>
      </c>
      <c r="AJ35" s="753"/>
      <c r="AK35" s="753"/>
      <c r="AL35" s="753"/>
      <c r="AM35" s="753"/>
      <c r="AN35" s="753"/>
      <c r="AO35" s="753"/>
      <c r="AP35" s="753"/>
      <c r="AQ35" s="753"/>
      <c r="AR35" s="753"/>
      <c r="AS35" s="753"/>
      <c r="AT35" s="753"/>
      <c r="AU35" s="753"/>
    </row>
    <row r="36" spans="2:47" ht="33" customHeight="1" x14ac:dyDescent="0.65">
      <c r="Z36" s="748" t="s">
        <v>216</v>
      </c>
      <c r="AA36" s="756"/>
      <c r="AB36" s="756"/>
      <c r="AC36" s="756"/>
      <c r="AD36" s="756"/>
      <c r="AE36" s="756"/>
      <c r="AF36" s="756"/>
      <c r="AG36" s="756"/>
      <c r="AI36" s="752" t="str">
        <f>IF(はじめに入力してください!AF18="","",はじめに入力してください!AF18)</f>
        <v/>
      </c>
      <c r="AJ36" s="753"/>
      <c r="AK36" s="753"/>
      <c r="AL36" s="753"/>
      <c r="AM36" s="753"/>
      <c r="AN36" s="753"/>
      <c r="AO36" s="753"/>
      <c r="AP36" s="753"/>
      <c r="AQ36" s="753"/>
      <c r="AR36" s="753"/>
      <c r="AS36" s="753"/>
      <c r="AT36" s="753"/>
      <c r="AU36" s="753"/>
    </row>
    <row r="37" spans="2:47" ht="20.149999999999999" customHeight="1" x14ac:dyDescent="0.65"/>
    <row r="38" spans="2:47" x14ac:dyDescent="0.65">
      <c r="B38" s="746" t="s">
        <v>215</v>
      </c>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row>
    <row r="39" spans="2:47" x14ac:dyDescent="0.65">
      <c r="B39" s="754" t="str">
        <f>IF(AX55="回答",AX56,"")</f>
        <v/>
      </c>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row>
    <row r="40" spans="2:47" x14ac:dyDescent="0.65">
      <c r="B40" s="755"/>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row>
    <row r="41" spans="2:47" x14ac:dyDescent="0.65">
      <c r="B41" s="745" t="s">
        <v>214</v>
      </c>
      <c r="C41" s="744"/>
      <c r="D41" s="744"/>
      <c r="E41" s="744"/>
      <c r="F41" s="744"/>
      <c r="G41" s="744"/>
      <c r="H41" s="744"/>
      <c r="I41" s="744"/>
      <c r="J41" s="744"/>
      <c r="K41" s="744"/>
      <c r="L41" s="745"/>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4"/>
      <c r="AS41" s="744"/>
      <c r="AT41" s="744"/>
      <c r="AU41" s="744"/>
    </row>
    <row r="42" spans="2:47" x14ac:dyDescent="0.65">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row>
    <row r="43" spans="2:47" x14ac:dyDescent="0.65">
      <c r="B43" s="745" t="s">
        <v>213</v>
      </c>
      <c r="C43" s="744"/>
      <c r="D43" s="744"/>
      <c r="E43" s="744"/>
      <c r="F43" s="744"/>
      <c r="G43" s="744"/>
      <c r="H43" s="744"/>
      <c r="I43" s="744"/>
      <c r="J43" s="744"/>
      <c r="K43" s="744"/>
      <c r="L43" s="745"/>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row>
    <row r="44" spans="2:47" x14ac:dyDescent="0.65">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row>
    <row r="45" spans="2:47" x14ac:dyDescent="0.65">
      <c r="B45" s="745" t="s">
        <v>212</v>
      </c>
      <c r="C45" s="744"/>
      <c r="D45" s="744"/>
      <c r="E45" s="744"/>
      <c r="F45" s="744"/>
      <c r="G45" s="744"/>
      <c r="H45" s="744"/>
      <c r="I45" s="744"/>
      <c r="J45" s="744"/>
      <c r="K45" s="744"/>
      <c r="L45" s="745"/>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row>
    <row r="46" spans="2:47" x14ac:dyDescent="0.65">
      <c r="B46" s="744"/>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row>
    <row r="47" spans="2:47" x14ac:dyDescent="0.65">
      <c r="B47" s="745" t="s">
        <v>211</v>
      </c>
      <c r="C47" s="744"/>
      <c r="D47" s="744"/>
      <c r="E47" s="744"/>
      <c r="F47" s="744"/>
      <c r="G47" s="744"/>
      <c r="H47" s="744"/>
      <c r="I47" s="744"/>
      <c r="J47" s="744"/>
      <c r="K47" s="744"/>
      <c r="L47" s="745"/>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row>
    <row r="48" spans="2:47" x14ac:dyDescent="0.65">
      <c r="B48" s="744"/>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row>
    <row r="49" spans="2:63" x14ac:dyDescent="0.65">
      <c r="B49" s="743" t="s">
        <v>210</v>
      </c>
      <c r="C49" s="744"/>
      <c r="D49" s="744"/>
      <c r="E49" s="744"/>
      <c r="F49" s="744"/>
      <c r="G49" s="744"/>
      <c r="H49" s="744"/>
      <c r="I49" s="744"/>
      <c r="J49" s="744"/>
      <c r="K49" s="744"/>
      <c r="L49" s="745"/>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4"/>
      <c r="AS49" s="744"/>
      <c r="AT49" s="744"/>
      <c r="AU49" s="744"/>
    </row>
    <row r="50" spans="2:63" x14ac:dyDescent="0.65">
      <c r="B50" s="744"/>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row>
    <row r="51" spans="2:63" ht="20.149999999999999" customHeight="1" x14ac:dyDescent="0.65"/>
    <row r="52" spans="2:63" x14ac:dyDescent="0.65">
      <c r="X52" s="748" t="s">
        <v>209</v>
      </c>
      <c r="Y52" s="749"/>
      <c r="Z52" s="749"/>
      <c r="AA52" s="749"/>
      <c r="AB52" s="749"/>
      <c r="AD52" s="746" t="str">
        <f>IF(AX55="回答",AX69,"")</f>
        <v/>
      </c>
      <c r="AE52" s="747"/>
      <c r="AF52" s="747"/>
      <c r="AG52" s="747"/>
      <c r="AH52" s="747"/>
      <c r="AI52" s="747"/>
      <c r="AJ52" s="747"/>
      <c r="AK52" s="747"/>
      <c r="AL52" s="747"/>
      <c r="AM52" s="747"/>
      <c r="AN52" s="747"/>
      <c r="AO52" s="747"/>
      <c r="AP52" s="747"/>
      <c r="AQ52" s="747"/>
      <c r="AR52" s="747"/>
      <c r="AS52" s="747"/>
      <c r="AT52" s="747"/>
      <c r="AU52" s="747"/>
      <c r="AY52" s="117"/>
      <c r="AZ52" s="117"/>
      <c r="BA52" s="117"/>
      <c r="BB52" s="117"/>
      <c r="BC52" s="117"/>
      <c r="BD52" s="117"/>
      <c r="BE52" s="117"/>
      <c r="BF52" s="117"/>
      <c r="BG52" s="117"/>
      <c r="BH52" s="117"/>
      <c r="BI52" s="117"/>
      <c r="BJ52" s="117"/>
      <c r="BK52" s="117"/>
    </row>
    <row r="53" spans="2:63" x14ac:dyDescent="0.65">
      <c r="X53" s="748" t="s">
        <v>208</v>
      </c>
      <c r="Y53" s="749"/>
      <c r="Z53" s="749"/>
      <c r="AA53" s="749"/>
      <c r="AB53" s="749"/>
      <c r="AD53" s="746" t="str">
        <f>IF(AX55="回答",AX70,"")</f>
        <v/>
      </c>
      <c r="AE53" s="747"/>
      <c r="AF53" s="747"/>
      <c r="AG53" s="747"/>
      <c r="AH53" s="747"/>
      <c r="AI53" s="747"/>
      <c r="AJ53" s="747"/>
      <c r="AK53" s="747"/>
      <c r="AL53" s="747"/>
      <c r="AM53" s="747"/>
      <c r="AN53" s="747"/>
      <c r="AO53" s="747"/>
      <c r="AP53" s="747"/>
      <c r="AQ53" s="747"/>
      <c r="AR53" s="747"/>
      <c r="AS53" s="747"/>
      <c r="AT53" s="747"/>
      <c r="AU53" s="747"/>
      <c r="AY53" s="117"/>
      <c r="AZ53" s="117"/>
      <c r="BA53" s="117"/>
      <c r="BB53" s="117"/>
      <c r="BC53" s="117"/>
      <c r="BD53" s="117"/>
      <c r="BE53" s="117"/>
      <c r="BF53" s="117"/>
      <c r="BG53" s="117"/>
      <c r="BH53" s="117"/>
      <c r="BI53" s="117"/>
      <c r="BJ53" s="117"/>
      <c r="BK53" s="117"/>
    </row>
    <row r="54" spans="2:63" ht="20.149999999999999" customHeight="1" x14ac:dyDescent="0.65"/>
    <row r="55" spans="2:63" x14ac:dyDescent="0.65">
      <c r="AX55" s="116" t="s">
        <v>206</v>
      </c>
    </row>
    <row r="56" spans="2:63" x14ac:dyDescent="0.65">
      <c r="AX56" s="115" t="s">
        <v>207</v>
      </c>
    </row>
    <row r="57" spans="2:63" x14ac:dyDescent="0.65">
      <c r="AX57" s="113" t="s">
        <v>206</v>
      </c>
    </row>
    <row r="58" spans="2:63" x14ac:dyDescent="0.65">
      <c r="AX58" s="113" t="s">
        <v>205</v>
      </c>
    </row>
    <row r="69" spans="50:50" x14ac:dyDescent="0.65">
      <c r="AX69" s="114" t="s">
        <v>204</v>
      </c>
    </row>
    <row r="70" spans="50:50" x14ac:dyDescent="0.65">
      <c r="AX70" s="114" t="s">
        <v>203</v>
      </c>
    </row>
  </sheetData>
  <sheetProtection algorithmName="SHA-512" hashValue="Splab0uapCJkNE5hImxBOpj9TmJkHLqauh1wTymginGMXUyXizhf+GubfHFounfXra4dlzq/vcvmh6ZlIqQbeQ==" saltValue="Y5vQhH90leO7uIvggLBQJg==" spinCount="100000" sheet="1" objects="1" scenarios="1"/>
  <mergeCells count="47">
    <mergeCell ref="D24:N24"/>
    <mergeCell ref="D20:AU20"/>
    <mergeCell ref="D21:AU21"/>
    <mergeCell ref="AF7:AU7"/>
    <mergeCell ref="B5:L5"/>
    <mergeCell ref="AK3:AU4"/>
    <mergeCell ref="X7:AD7"/>
    <mergeCell ref="B11:AU12"/>
    <mergeCell ref="B19:AU19"/>
    <mergeCell ref="AF8:AU8"/>
    <mergeCell ref="AF9:AJ9"/>
    <mergeCell ref="AL9:AU9"/>
    <mergeCell ref="X9:AD9"/>
    <mergeCell ref="X8:AD8"/>
    <mergeCell ref="B14:AU17"/>
    <mergeCell ref="Z33:AG33"/>
    <mergeCell ref="B29:AU29"/>
    <mergeCell ref="B30:AU30"/>
    <mergeCell ref="B31:AU31"/>
    <mergeCell ref="AI33:AU33"/>
    <mergeCell ref="L41:AU42"/>
    <mergeCell ref="AD52:AU52"/>
    <mergeCell ref="B22:AU22"/>
    <mergeCell ref="AI35:AU35"/>
    <mergeCell ref="AI36:AU36"/>
    <mergeCell ref="B39:AU40"/>
    <mergeCell ref="B38:AU38"/>
    <mergeCell ref="Z36:AG36"/>
    <mergeCell ref="Z35:AG35"/>
    <mergeCell ref="AI34:AU34"/>
    <mergeCell ref="B23:AU23"/>
    <mergeCell ref="B26:AU26"/>
    <mergeCell ref="B27:AU27"/>
    <mergeCell ref="B28:AU28"/>
    <mergeCell ref="Z34:AG34"/>
    <mergeCell ref="B41:K42"/>
    <mergeCell ref="B49:K50"/>
    <mergeCell ref="B47:K48"/>
    <mergeCell ref="B45:K46"/>
    <mergeCell ref="B43:K44"/>
    <mergeCell ref="AD53:AU53"/>
    <mergeCell ref="X53:AB53"/>
    <mergeCell ref="L43:AU44"/>
    <mergeCell ref="L45:AU46"/>
    <mergeCell ref="L47:AU48"/>
    <mergeCell ref="L49:AU50"/>
    <mergeCell ref="X52:AB52"/>
  </mergeCells>
  <phoneticPr fontId="1"/>
  <dataValidations count="1">
    <dataValidation type="list" allowBlank="1" showInputMessage="1" showErrorMessage="1" sqref="AX55" xr:uid="{BF7F3F19-000F-45DC-A7F4-04998F990967}">
      <formula1>$AX$57:$AX$58</formula1>
    </dataValidation>
  </dataValidations>
  <pageMargins left="0.7" right="0.7" top="0.75" bottom="0.75" header="0.3" footer="0.3"/>
  <pageSetup paperSize="9" scale="4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56"/>
  <sheetViews>
    <sheetView showGridLines="0" view="pageBreakPreview" topLeftCell="A5" zoomScaleNormal="100" zoomScaleSheetLayoutView="100" workbookViewId="0">
      <selection activeCell="W20" sqref="W20"/>
    </sheetView>
  </sheetViews>
  <sheetFormatPr defaultColWidth="5.640625" defaultRowHeight="20.149999999999999" customHeight="1" x14ac:dyDescent="0.65"/>
  <cols>
    <col min="1" max="1" width="2.640625" style="220" customWidth="1"/>
    <col min="2" max="18" width="4.640625" style="220" customWidth="1"/>
    <col min="19" max="19" width="2.640625" style="220" customWidth="1"/>
    <col min="20" max="20" width="1.7109375" style="220" customWidth="1"/>
    <col min="21" max="25" width="10.140625" style="220" customWidth="1"/>
    <col min="26" max="26" width="7" style="220" customWidth="1"/>
    <col min="27" max="38" width="10.2109375" style="220" customWidth="1"/>
    <col min="39" max="39" width="4.640625" style="220" customWidth="1"/>
    <col min="40" max="41" width="10.640625" style="220" customWidth="1"/>
    <col min="42" max="42" width="4.640625" style="220" customWidth="1"/>
    <col min="43" max="44" width="10.2109375" style="220" customWidth="1"/>
    <col min="45" max="47" width="6.640625" style="220" customWidth="1"/>
    <col min="48" max="54" width="10.2109375" style="220" customWidth="1"/>
    <col min="55" max="16384" width="5.640625" style="220"/>
  </cols>
  <sheetData>
    <row r="1" spans="1:54" ht="10" customHeight="1" x14ac:dyDescent="0.65"/>
    <row r="2" spans="1:54" ht="16" customHeight="1" x14ac:dyDescent="0.65">
      <c r="O2" s="766"/>
      <c r="P2" s="767"/>
      <c r="Q2" s="767"/>
      <c r="R2" s="767"/>
      <c r="S2" s="767"/>
    </row>
    <row r="3" spans="1:54" ht="16" customHeight="1" x14ac:dyDescent="0.65">
      <c r="B3" s="220" t="s">
        <v>475</v>
      </c>
    </row>
    <row r="4" spans="1:54" ht="16" customHeight="1" x14ac:dyDescent="0.65">
      <c r="N4" s="779" t="str">
        <f>IF(はじめに入力してください!H14="","",はじめに入力してください!H14)</f>
        <v/>
      </c>
      <c r="O4" s="779"/>
      <c r="P4" s="779"/>
      <c r="Q4" s="779"/>
      <c r="R4" s="769"/>
      <c r="Z4" s="158"/>
      <c r="AA4" s="158"/>
      <c r="AB4" s="159"/>
      <c r="AC4" s="158"/>
      <c r="AD4" s="160"/>
      <c r="AE4" s="160"/>
      <c r="AF4" s="160"/>
      <c r="AG4" s="158"/>
      <c r="AH4" s="158"/>
      <c r="AI4" s="160"/>
      <c r="AJ4" s="160"/>
      <c r="AK4" s="161"/>
      <c r="AL4" s="161"/>
      <c r="AM4" s="161"/>
      <c r="AN4" s="161"/>
      <c r="AO4" s="161"/>
      <c r="AP4" s="161"/>
      <c r="AQ4" s="161"/>
      <c r="AR4" s="161"/>
      <c r="AS4" s="160"/>
      <c r="AT4" s="162"/>
      <c r="AU4" s="162"/>
      <c r="AV4" s="216"/>
      <c r="AW4" s="216"/>
      <c r="AX4" s="216"/>
      <c r="AY4" s="216"/>
      <c r="AZ4" s="216"/>
      <c r="BA4" s="163"/>
      <c r="BB4" s="163"/>
    </row>
    <row r="5" spans="1:54" ht="16" customHeight="1" x14ac:dyDescent="0.65">
      <c r="N5" s="782"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775"/>
      <c r="P5" s="775"/>
      <c r="Q5" s="775"/>
      <c r="R5" s="783"/>
      <c r="Z5" s="158"/>
      <c r="AA5" s="158"/>
      <c r="AB5" s="159"/>
      <c r="AC5" s="158"/>
      <c r="AD5" s="160"/>
      <c r="AE5" s="160"/>
      <c r="AF5" s="160"/>
      <c r="AG5" s="158"/>
      <c r="AH5" s="158"/>
      <c r="AI5" s="160"/>
      <c r="AJ5" s="160"/>
      <c r="AK5" s="164"/>
      <c r="AL5" s="165"/>
      <c r="AM5" s="164"/>
      <c r="AN5" s="165"/>
      <c r="AO5" s="161"/>
      <c r="AP5" s="164"/>
      <c r="AQ5" s="165"/>
      <c r="AR5" s="161"/>
      <c r="AS5" s="160"/>
      <c r="AT5" s="162"/>
      <c r="AU5" s="162"/>
      <c r="AV5" s="216"/>
      <c r="AW5" s="216"/>
      <c r="AX5" s="216"/>
      <c r="AY5" s="216"/>
      <c r="AZ5" s="216"/>
      <c r="BA5" s="163"/>
      <c r="BB5" s="163"/>
    </row>
    <row r="6" spans="1:54" ht="16" customHeight="1" x14ac:dyDescent="0.65">
      <c r="B6" s="784" t="s">
        <v>5</v>
      </c>
      <c r="C6" s="784"/>
      <c r="D6" s="784"/>
      <c r="E6" s="784"/>
      <c r="F6" s="784"/>
      <c r="G6" s="784"/>
      <c r="Z6" s="166"/>
      <c r="AA6" s="216"/>
      <c r="AB6" s="216"/>
      <c r="AC6" s="167"/>
      <c r="AD6" s="167"/>
      <c r="AE6" s="167"/>
      <c r="AF6" s="167"/>
      <c r="AG6" s="167"/>
      <c r="AH6" s="167"/>
      <c r="AI6" s="167"/>
      <c r="AJ6" s="167"/>
      <c r="AK6" s="167"/>
      <c r="AL6" s="167"/>
      <c r="AM6" s="167"/>
      <c r="AN6" s="167"/>
      <c r="AO6" s="167"/>
      <c r="AP6" s="167"/>
      <c r="AQ6" s="167"/>
      <c r="AR6" s="167"/>
      <c r="AS6" s="216"/>
      <c r="AT6" s="168"/>
      <c r="AU6" s="216"/>
      <c r="AV6" s="216"/>
      <c r="AW6" s="216"/>
      <c r="AX6" s="216"/>
      <c r="AY6" s="216"/>
      <c r="AZ6" s="216"/>
      <c r="BA6" s="216"/>
      <c r="BB6" s="216"/>
    </row>
    <row r="7" spans="1:54" ht="16" customHeight="1" x14ac:dyDescent="0.65">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row>
    <row r="8" spans="1:54" ht="16" customHeight="1" x14ac:dyDescent="0.65">
      <c r="I8" s="775" t="s">
        <v>38</v>
      </c>
      <c r="J8" s="775"/>
      <c r="K8" s="775"/>
      <c r="L8" s="786" t="str">
        <f>IF(はじめに入力してください!H9=0,"",はじめに入力してください!H9)</f>
        <v/>
      </c>
      <c r="M8" s="786"/>
      <c r="N8" s="786"/>
      <c r="O8" s="786"/>
      <c r="P8" s="786"/>
      <c r="Q8" s="786"/>
      <c r="R8" s="786"/>
      <c r="Z8" s="216"/>
      <c r="AA8" s="50"/>
      <c r="AB8" s="50"/>
      <c r="AC8" s="50"/>
      <c r="AD8" s="50"/>
      <c r="AE8" s="50"/>
      <c r="AF8" s="50"/>
      <c r="AG8" s="50"/>
      <c r="AH8" s="216"/>
      <c r="AI8" s="216"/>
      <c r="AJ8" s="216"/>
      <c r="AK8" s="216"/>
      <c r="AL8" s="216"/>
      <c r="AM8" s="216"/>
      <c r="AN8" s="216"/>
      <c r="AO8" s="216"/>
      <c r="AP8" s="216"/>
      <c r="AQ8" s="216"/>
      <c r="AR8" s="216"/>
      <c r="AS8" s="216"/>
      <c r="AT8" s="216"/>
      <c r="AU8" s="216"/>
      <c r="AV8" s="216"/>
      <c r="AW8" s="216"/>
      <c r="AX8" s="216"/>
      <c r="AY8" s="216"/>
      <c r="AZ8" s="216"/>
      <c r="BA8" s="216"/>
      <c r="BB8" s="216"/>
    </row>
    <row r="9" spans="1:54" ht="16" customHeight="1" x14ac:dyDescent="0.65">
      <c r="I9" s="775" t="s">
        <v>3</v>
      </c>
      <c r="J9" s="775"/>
      <c r="K9" s="775"/>
      <c r="L9" s="786"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786"/>
      <c r="N9" s="786"/>
      <c r="O9" s="786"/>
      <c r="P9" s="786"/>
      <c r="Q9" s="786"/>
      <c r="R9" s="786"/>
      <c r="Z9" s="216"/>
      <c r="AA9" s="50"/>
      <c r="AB9" s="50"/>
      <c r="AC9" s="50"/>
      <c r="AD9" s="50"/>
      <c r="AE9" s="50"/>
      <c r="AF9" s="50"/>
      <c r="AG9" s="50"/>
      <c r="AH9" s="216"/>
      <c r="AI9" s="216"/>
      <c r="AJ9" s="216"/>
      <c r="AK9" s="216"/>
      <c r="AL9" s="216"/>
      <c r="AM9" s="216"/>
      <c r="AN9" s="216"/>
      <c r="AO9" s="216"/>
      <c r="AP9" s="216"/>
      <c r="AQ9" s="216"/>
      <c r="AR9" s="216"/>
      <c r="AS9" s="216"/>
      <c r="AT9" s="216"/>
      <c r="AU9" s="216"/>
      <c r="AV9" s="216"/>
      <c r="AW9" s="216"/>
      <c r="AX9" s="216"/>
      <c r="AY9" s="216"/>
      <c r="AZ9" s="216"/>
      <c r="BA9" s="216"/>
      <c r="BB9" s="216"/>
    </row>
    <row r="10" spans="1:54" ht="16" customHeight="1" x14ac:dyDescent="0.65">
      <c r="I10" s="775" t="s">
        <v>28</v>
      </c>
      <c r="J10" s="775"/>
      <c r="K10" s="775"/>
      <c r="L10" s="787" t="str">
        <f>はじめに入力してください!H7&amp;"　"&amp;はじめに入力してください!H8</f>
        <v>　</v>
      </c>
      <c r="M10" s="787"/>
      <c r="N10" s="787"/>
      <c r="O10" s="787"/>
      <c r="P10" s="787"/>
      <c r="Q10" s="787"/>
      <c r="R10" s="787"/>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row>
    <row r="11" spans="1:54" ht="10" customHeight="1" x14ac:dyDescent="0.65"/>
    <row r="12" spans="1:54" ht="32.15" customHeight="1" x14ac:dyDescent="0.65">
      <c r="B12" s="776" t="str">
        <f xml:space="preserve">
IF(テーブル!B3="交付申請兼実績報告書",
"　　　令和５年度　新型コロナウイルス感染症外来対応医療機関確保事業費補助金"&amp;CHAR(10)&amp;
"　　　交付申請書兼実績報告書兼請求書",
IF(テーブル!B3="事前協議",
"　　　令和５年度　新型コロナウイルス感染症外来対応医療機関確保事業費補助金"&amp;CHAR(10)&amp;
"　　　交付申請書兼実績報告書兼請求書（案）"))</f>
        <v>　　　令和５年度　新型コロナウイルス感染症外来対応医療機関確保事業費補助金
　　　交付申請書兼実績報告書兼請求書</v>
      </c>
      <c r="C12" s="776"/>
      <c r="D12" s="776"/>
      <c r="E12" s="776"/>
      <c r="F12" s="776"/>
      <c r="G12" s="776"/>
      <c r="H12" s="776"/>
      <c r="I12" s="776"/>
      <c r="J12" s="776"/>
      <c r="K12" s="776"/>
      <c r="L12" s="776"/>
      <c r="M12" s="776"/>
      <c r="N12" s="776"/>
      <c r="O12" s="776"/>
      <c r="P12" s="776"/>
      <c r="Q12" s="776"/>
      <c r="R12" s="776"/>
    </row>
    <row r="13" spans="1:54" ht="10" customHeight="1" x14ac:dyDescent="0.65"/>
    <row r="14" spans="1:54" ht="40" customHeight="1" x14ac:dyDescent="0.65">
      <c r="A14" s="777" t="s">
        <v>484</v>
      </c>
      <c r="B14" s="778"/>
      <c r="C14" s="778"/>
      <c r="D14" s="778"/>
      <c r="E14" s="778"/>
      <c r="F14" s="778"/>
      <c r="G14" s="778"/>
      <c r="H14" s="778"/>
      <c r="I14" s="778"/>
      <c r="J14" s="778"/>
      <c r="K14" s="778"/>
      <c r="L14" s="778"/>
      <c r="M14" s="778"/>
      <c r="N14" s="778"/>
      <c r="O14" s="778"/>
      <c r="P14" s="778"/>
      <c r="Q14" s="778"/>
      <c r="R14" s="778"/>
      <c r="S14" s="778"/>
    </row>
    <row r="15" spans="1:54" ht="16" customHeight="1" x14ac:dyDescent="0.65">
      <c r="B15" s="785" t="s">
        <v>8</v>
      </c>
      <c r="C15" s="785"/>
      <c r="D15" s="785"/>
      <c r="E15" s="785"/>
      <c r="F15" s="785"/>
      <c r="G15" s="785"/>
      <c r="H15" s="785"/>
      <c r="I15" s="785"/>
      <c r="J15" s="785"/>
      <c r="K15" s="785"/>
      <c r="L15" s="785"/>
      <c r="M15" s="785"/>
      <c r="N15" s="785"/>
      <c r="O15" s="785"/>
      <c r="P15" s="785"/>
      <c r="Q15" s="785"/>
      <c r="R15" s="785"/>
    </row>
    <row r="16" spans="1:54" ht="18" customHeight="1" x14ac:dyDescent="0.65">
      <c r="B16" s="220" t="s">
        <v>29</v>
      </c>
      <c r="C16" s="222"/>
      <c r="D16" s="222"/>
      <c r="E16" s="222"/>
      <c r="F16" s="222"/>
      <c r="G16" s="222"/>
      <c r="H16" s="222"/>
      <c r="I16" s="222"/>
      <c r="J16" s="222"/>
      <c r="K16" s="222"/>
      <c r="L16" s="222"/>
      <c r="M16" s="222"/>
      <c r="N16" s="222"/>
      <c r="O16" s="222"/>
      <c r="P16" s="222"/>
      <c r="Q16" s="222"/>
      <c r="R16" s="222"/>
      <c r="V16" s="216"/>
      <c r="W16" s="217"/>
    </row>
    <row r="17" spans="2:23" ht="18" customHeight="1" x14ac:dyDescent="0.65">
      <c r="B17" s="778" t="str">
        <f>"　　"&amp;IF(はじめに入力してください!H10=0,"",はじめに入力してください!H10)</f>
        <v>　　</v>
      </c>
      <c r="C17" s="629"/>
      <c r="D17" s="629"/>
      <c r="E17" s="629"/>
      <c r="F17" s="629"/>
      <c r="G17" s="629"/>
      <c r="H17" s="629"/>
      <c r="I17" s="629"/>
      <c r="J17" s="629"/>
      <c r="K17" s="629"/>
      <c r="L17" s="629"/>
      <c r="M17" s="629"/>
      <c r="N17" s="629"/>
      <c r="O17" s="629"/>
      <c r="P17" s="629"/>
      <c r="Q17" s="629"/>
      <c r="R17" s="629"/>
      <c r="V17" s="217"/>
      <c r="W17" s="217"/>
    </row>
    <row r="18" spans="2:23" ht="18" customHeight="1" x14ac:dyDescent="0.65">
      <c r="B18" s="778" t="str">
        <f>"　　"&amp;IF(はじめに入力してください!H11=0,"",はじめに入力してください!H11)</f>
        <v>　　</v>
      </c>
      <c r="C18" s="629"/>
      <c r="D18" s="629"/>
      <c r="E18" s="629"/>
      <c r="F18" s="629"/>
      <c r="G18" s="629"/>
      <c r="H18" s="629"/>
      <c r="I18" s="629"/>
      <c r="J18" s="629"/>
      <c r="K18" s="629"/>
      <c r="L18" s="629"/>
      <c r="M18" s="629"/>
      <c r="N18" s="629"/>
      <c r="O18" s="629"/>
      <c r="P18" s="629"/>
      <c r="Q18" s="629"/>
      <c r="R18" s="629"/>
      <c r="V18" s="803"/>
      <c r="W18" s="803"/>
    </row>
    <row r="19" spans="2:23" ht="18" customHeight="1" x14ac:dyDescent="0.65">
      <c r="B19" s="777" t="s">
        <v>473</v>
      </c>
      <c r="C19" s="804"/>
      <c r="D19" s="804"/>
      <c r="E19" s="804"/>
      <c r="F19" s="804"/>
      <c r="G19" s="804"/>
      <c r="H19" s="804"/>
      <c r="I19" s="804"/>
      <c r="J19" s="804"/>
      <c r="K19" s="804"/>
      <c r="L19" s="804"/>
      <c r="M19" s="804"/>
      <c r="N19" s="804"/>
      <c r="O19" s="804"/>
      <c r="P19" s="804"/>
      <c r="Q19" s="804"/>
      <c r="R19" s="804"/>
      <c r="V19" s="803"/>
      <c r="W19" s="803"/>
    </row>
    <row r="20" spans="2:23" ht="18" customHeight="1" x14ac:dyDescent="0.65">
      <c r="C20" s="768"/>
      <c r="D20" s="769"/>
      <c r="E20" s="769"/>
      <c r="F20" s="769"/>
      <c r="H20" s="770" t="str">
        <f ca="1" xml:space="preserve">
IF(AND(OR(テーブル!B3="交付申請兼実績報告書",テーブル!B3="事前協議"),はじめに入力してください!F39="×"),"金　　　　　　　　　円",
IF(AND(OR(テーブル!B3="交付申請兼実績報告書",テーブル!B3="事前協議"),はじめに入力してください!F39="○"),経費書!I18))</f>
        <v>金　　　　　　　　　円</v>
      </c>
      <c r="I20" s="771"/>
      <c r="J20" s="771"/>
      <c r="K20" s="771"/>
      <c r="L20" s="772"/>
      <c r="M20" s="780"/>
      <c r="N20" s="781"/>
      <c r="O20" s="781"/>
      <c r="P20" s="781"/>
      <c r="Q20" s="781"/>
      <c r="R20" s="781"/>
      <c r="S20" s="781"/>
      <c r="V20" s="217"/>
      <c r="W20" s="217"/>
    </row>
    <row r="21" spans="2:23" ht="18" customHeight="1" x14ac:dyDescent="0.65">
      <c r="C21" s="768"/>
      <c r="D21" s="769"/>
      <c r="E21" s="769"/>
      <c r="F21" s="769"/>
      <c r="H21" s="774"/>
      <c r="I21" s="771"/>
      <c r="J21" s="771"/>
      <c r="K21" s="771"/>
      <c r="L21" s="772"/>
      <c r="M21" s="781"/>
      <c r="N21" s="781"/>
      <c r="O21" s="781"/>
      <c r="P21" s="781"/>
      <c r="Q21" s="781"/>
      <c r="R21" s="781"/>
      <c r="S21" s="781"/>
      <c r="V21" s="217"/>
      <c r="W21" s="217"/>
    </row>
    <row r="22" spans="2:23" ht="16" customHeight="1" x14ac:dyDescent="0.65">
      <c r="C22" s="768"/>
      <c r="D22" s="769"/>
      <c r="E22" s="769"/>
      <c r="F22" s="769"/>
      <c r="H22" s="773"/>
      <c r="I22" s="771"/>
      <c r="J22" s="771"/>
      <c r="K22" s="771"/>
      <c r="L22" s="772"/>
      <c r="M22" s="169"/>
      <c r="N22" s="169"/>
      <c r="O22" s="169"/>
      <c r="P22" s="169"/>
    </row>
    <row r="23" spans="2:23" ht="16" customHeight="1" x14ac:dyDescent="0.65">
      <c r="B23" s="220" t="s">
        <v>167</v>
      </c>
    </row>
    <row r="24" spans="2:23" ht="16" customHeight="1" x14ac:dyDescent="0.65">
      <c r="B24" s="170" t="s">
        <v>166</v>
      </c>
    </row>
    <row r="25" spans="2:23" ht="16" customHeight="1" x14ac:dyDescent="0.65">
      <c r="B25" s="171" t="s">
        <v>30</v>
      </c>
      <c r="C25" s="172"/>
      <c r="D25" s="172"/>
      <c r="E25" s="172"/>
      <c r="F25" s="172"/>
      <c r="G25" s="172"/>
      <c r="H25" s="172"/>
      <c r="I25" s="172"/>
      <c r="J25" s="172"/>
      <c r="K25" s="172"/>
      <c r="L25" s="172"/>
      <c r="M25" s="172"/>
    </row>
    <row r="26" spans="2:23" ht="16" customHeight="1" x14ac:dyDescent="0.65">
      <c r="B26" s="795" t="s">
        <v>165</v>
      </c>
      <c r="C26" s="795"/>
      <c r="D26" s="795"/>
      <c r="E26" s="795"/>
      <c r="F26" s="795"/>
      <c r="G26" s="795"/>
      <c r="H26" s="795"/>
      <c r="I26" s="795"/>
      <c r="J26" s="795"/>
      <c r="K26" s="795"/>
      <c r="L26" s="795"/>
      <c r="M26" s="795"/>
      <c r="N26" s="795"/>
      <c r="O26" s="795"/>
      <c r="P26" s="795"/>
      <c r="Q26" s="795"/>
      <c r="R26" s="795"/>
    </row>
    <row r="27" spans="2:23" s="215" customFormat="1" ht="32.15" customHeight="1" x14ac:dyDescent="0.65">
      <c r="B27" s="800" t="str">
        <f xml:space="preserve">
IF(OR(テーブル!B3=テーブル!D3,テーブル!B3=テーブル!D4),"　　（注）公立医療機関に限る。"&amp;CHAR(10)&amp;"　　　　　決算書には、当該事業の補助対象事業に係る額を備考欄に記入すること。")</f>
        <v>　　（注）公立医療機関に限る。
　　　　　決算書には、当該事業の補助対象事業に係る額を備考欄に記入すること。</v>
      </c>
      <c r="C27" s="800"/>
      <c r="D27" s="800"/>
      <c r="E27" s="800"/>
      <c r="F27" s="800"/>
      <c r="G27" s="800"/>
      <c r="H27" s="800"/>
      <c r="I27" s="800"/>
      <c r="J27" s="800"/>
      <c r="K27" s="800"/>
      <c r="L27" s="800"/>
      <c r="M27" s="800"/>
      <c r="N27" s="800"/>
      <c r="O27" s="800"/>
      <c r="P27" s="800"/>
      <c r="Q27" s="800"/>
      <c r="R27" s="800"/>
    </row>
    <row r="28" spans="2:23" s="215" customFormat="1" ht="16" customHeight="1" x14ac:dyDescent="0.65">
      <c r="B28" s="795" t="s">
        <v>153</v>
      </c>
      <c r="C28" s="795"/>
      <c r="D28" s="795"/>
      <c r="E28" s="795"/>
      <c r="F28" s="795"/>
      <c r="G28" s="795"/>
      <c r="H28" s="795"/>
      <c r="I28" s="795"/>
      <c r="J28" s="795"/>
      <c r="K28" s="795"/>
      <c r="L28" s="795"/>
      <c r="M28" s="795"/>
      <c r="N28" s="795"/>
      <c r="O28" s="795"/>
      <c r="P28" s="795"/>
      <c r="Q28" s="795"/>
      <c r="R28" s="795"/>
    </row>
    <row r="29" spans="2:23" ht="16" customHeight="1" x14ac:dyDescent="0.65">
      <c r="B29" s="795" t="s">
        <v>154</v>
      </c>
      <c r="C29" s="792"/>
      <c r="D29" s="792"/>
      <c r="E29" s="792"/>
      <c r="F29" s="792"/>
      <c r="G29" s="792"/>
      <c r="H29" s="792"/>
      <c r="I29" s="792"/>
      <c r="J29" s="219"/>
      <c r="K29" s="219"/>
      <c r="L29" s="219"/>
      <c r="M29" s="219"/>
      <c r="N29" s="219"/>
      <c r="O29" s="219"/>
      <c r="P29" s="219"/>
      <c r="Q29" s="219"/>
      <c r="R29" s="219"/>
    </row>
    <row r="30" spans="2:23" ht="16" customHeight="1" x14ac:dyDescent="0.65">
      <c r="B30" s="219"/>
      <c r="C30" s="792"/>
      <c r="D30" s="792"/>
      <c r="E30" s="792"/>
      <c r="F30" s="792"/>
      <c r="G30" s="792"/>
      <c r="H30" s="792"/>
      <c r="I30" s="792"/>
      <c r="J30" s="793"/>
      <c r="K30" s="793"/>
      <c r="L30" s="793"/>
      <c r="M30" s="793"/>
      <c r="N30" s="794"/>
      <c r="O30" s="216"/>
      <c r="P30" s="216"/>
      <c r="Q30" s="216"/>
      <c r="R30" s="216"/>
      <c r="S30" s="51"/>
    </row>
    <row r="31" spans="2:23" ht="16" customHeight="1" x14ac:dyDescent="0.65">
      <c r="B31" s="801" t="s">
        <v>168</v>
      </c>
      <c r="C31" s="801"/>
      <c r="D31" s="801"/>
      <c r="E31" s="801"/>
      <c r="F31" s="801"/>
      <c r="G31" s="801"/>
      <c r="H31" s="801"/>
      <c r="I31" s="801"/>
      <c r="J31" s="801"/>
      <c r="K31" s="801"/>
      <c r="L31" s="801"/>
      <c r="M31" s="801"/>
      <c r="N31" s="801"/>
      <c r="O31" s="801"/>
      <c r="P31" s="801"/>
      <c r="Q31" s="801"/>
      <c r="R31" s="216"/>
      <c r="S31" s="51"/>
    </row>
    <row r="32" spans="2:23" ht="16" customHeight="1" x14ac:dyDescent="0.65">
      <c r="B32" s="805" t="str">
        <f xml:space="preserve">
"　"&amp;
IF(はじめに入力してください!AF20="","","《金融機関名》"&amp;はじめに入力してください!AF20&amp;
IF(はじめに入力してください!AF22="","","《支店名》"&amp;はじめに入力してください!AF22&amp;
IF(はじめに入力してください!AF23="","","《口座種別》"&amp;IF(はじめに入力してください!H23=1,"普通",IF(はじめに入力してください!H23=2,"当座",""))&amp;
IF(はじめに入力してください!AF24="","","《口座番号》"&amp;はじめに入力してください!AF24))))</f>
        <v>　</v>
      </c>
      <c r="C32" s="805"/>
      <c r="D32" s="805"/>
      <c r="E32" s="805"/>
      <c r="F32" s="805"/>
      <c r="G32" s="805"/>
      <c r="H32" s="805"/>
      <c r="I32" s="805"/>
      <c r="J32" s="805"/>
      <c r="K32" s="805"/>
      <c r="L32" s="805"/>
      <c r="M32" s="805"/>
      <c r="N32" s="805"/>
      <c r="O32" s="805"/>
      <c r="P32" s="805"/>
      <c r="Q32" s="805"/>
      <c r="R32" s="805"/>
      <c r="S32" s="805"/>
    </row>
    <row r="33" spans="2:22" ht="16" customHeight="1" x14ac:dyDescent="0.65">
      <c r="B33" s="805"/>
      <c r="C33" s="805"/>
      <c r="D33" s="805"/>
      <c r="E33" s="805"/>
      <c r="F33" s="805"/>
      <c r="G33" s="805"/>
      <c r="H33" s="805"/>
      <c r="I33" s="805"/>
      <c r="J33" s="805"/>
      <c r="K33" s="805"/>
      <c r="L33" s="805"/>
      <c r="M33" s="805"/>
      <c r="N33" s="805"/>
      <c r="O33" s="805"/>
      <c r="P33" s="805"/>
      <c r="Q33" s="805"/>
      <c r="R33" s="805"/>
      <c r="S33" s="805"/>
    </row>
    <row r="34" spans="2:22" ht="16" customHeight="1" x14ac:dyDescent="0.65">
      <c r="N34" s="216"/>
      <c r="O34" s="216"/>
      <c r="P34" s="216"/>
      <c r="Q34" s="216"/>
      <c r="R34" s="216"/>
      <c r="S34" s="51"/>
      <c r="V34" s="218" t="s">
        <v>343</v>
      </c>
    </row>
    <row r="35" spans="2:22" ht="16" customHeight="1" x14ac:dyDescent="0.65">
      <c r="B35" s="802" t="s">
        <v>474</v>
      </c>
      <c r="C35" s="629"/>
      <c r="D35" s="629"/>
      <c r="E35" s="629"/>
      <c r="F35" s="629"/>
      <c r="G35" s="629"/>
      <c r="H35" s="629"/>
      <c r="I35" s="629"/>
      <c r="J35" s="629"/>
      <c r="K35" s="629"/>
      <c r="L35" s="629"/>
      <c r="M35" s="629"/>
      <c r="N35" s="629"/>
      <c r="O35" s="629"/>
      <c r="P35" s="629"/>
      <c r="Q35" s="629"/>
      <c r="R35" s="629"/>
      <c r="S35" s="51"/>
      <c r="V35" s="218" t="s">
        <v>344</v>
      </c>
    </row>
    <row r="36" spans="2:22" ht="5.15" customHeight="1" x14ac:dyDescent="0.65">
      <c r="B36" s="796" t="str">
        <f xml:space="preserve">
IF(はじめに入力してください!H32="申立てする",表紙!V35,
IF(OR(はじめに入力してください!H32="申立てしない",はじめに入力してください!H32=""),表紙!V34))</f>
        <v>　申請者は、以下いずれの事項にも該当するものであることを申し立てます。
□　補助を受ける経費について他の補助金等の交付を受けていないこと。
□　外来対応医療機関として指定を受けてから少なくとも令和５年度中は指定継続の上、外来対応を行うこと。
□　令和５年度中に外来対応医療機関の指定が解除された際、本補助金の交付申請を取り下げること。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v>
      </c>
      <c r="C36" s="796"/>
      <c r="D36" s="796"/>
      <c r="E36" s="796"/>
      <c r="F36" s="796"/>
      <c r="G36" s="796"/>
      <c r="H36" s="796"/>
      <c r="I36" s="796"/>
      <c r="J36" s="796"/>
      <c r="K36" s="796"/>
      <c r="L36" s="796"/>
      <c r="M36" s="796"/>
      <c r="N36" s="796"/>
      <c r="O36" s="796"/>
      <c r="P36" s="796"/>
      <c r="Q36" s="796"/>
      <c r="R36" s="796"/>
    </row>
    <row r="37" spans="2:22" ht="30" customHeight="1" x14ac:dyDescent="0.65">
      <c r="B37" s="796"/>
      <c r="C37" s="796"/>
      <c r="D37" s="796"/>
      <c r="E37" s="796"/>
      <c r="F37" s="796"/>
      <c r="G37" s="796"/>
      <c r="H37" s="796"/>
      <c r="I37" s="796"/>
      <c r="J37" s="796"/>
      <c r="K37" s="796"/>
      <c r="L37" s="796"/>
      <c r="M37" s="796"/>
      <c r="N37" s="796"/>
      <c r="O37" s="796"/>
      <c r="P37" s="796"/>
      <c r="Q37" s="796"/>
      <c r="R37" s="796"/>
    </row>
    <row r="38" spans="2:22" ht="30" customHeight="1" x14ac:dyDescent="0.65">
      <c r="B38" s="796"/>
      <c r="C38" s="796"/>
      <c r="D38" s="796"/>
      <c r="E38" s="796"/>
      <c r="F38" s="796"/>
      <c r="G38" s="796"/>
      <c r="H38" s="796"/>
      <c r="I38" s="796"/>
      <c r="J38" s="796"/>
      <c r="K38" s="796"/>
      <c r="L38" s="796"/>
      <c r="M38" s="796"/>
      <c r="N38" s="796"/>
      <c r="O38" s="796"/>
      <c r="P38" s="796"/>
      <c r="Q38" s="796"/>
      <c r="R38" s="796"/>
    </row>
    <row r="39" spans="2:22" ht="30" customHeight="1" x14ac:dyDescent="0.65">
      <c r="B39" s="796"/>
      <c r="C39" s="796"/>
      <c r="D39" s="796"/>
      <c r="E39" s="796"/>
      <c r="F39" s="796"/>
      <c r="G39" s="796"/>
      <c r="H39" s="796"/>
      <c r="I39" s="796"/>
      <c r="J39" s="796"/>
      <c r="K39" s="796"/>
      <c r="L39" s="796"/>
      <c r="M39" s="796"/>
      <c r="N39" s="796"/>
      <c r="O39" s="796"/>
      <c r="P39" s="796"/>
      <c r="Q39" s="796"/>
      <c r="R39" s="796"/>
    </row>
    <row r="40" spans="2:22" ht="30" customHeight="1" x14ac:dyDescent="0.65">
      <c r="B40" s="796"/>
      <c r="C40" s="796"/>
      <c r="D40" s="796"/>
      <c r="E40" s="796"/>
      <c r="F40" s="796"/>
      <c r="G40" s="796"/>
      <c r="H40" s="796"/>
      <c r="I40" s="796"/>
      <c r="J40" s="796"/>
      <c r="K40" s="796"/>
      <c r="L40" s="796"/>
      <c r="M40" s="796"/>
      <c r="N40" s="796"/>
      <c r="O40" s="796"/>
      <c r="P40" s="796"/>
      <c r="Q40" s="796"/>
      <c r="R40" s="796"/>
    </row>
    <row r="41" spans="2:22" ht="5.15" customHeight="1" x14ac:dyDescent="0.65">
      <c r="B41" s="796"/>
      <c r="C41" s="796"/>
      <c r="D41" s="796"/>
      <c r="E41" s="796"/>
      <c r="F41" s="796"/>
      <c r="G41" s="796"/>
      <c r="H41" s="796"/>
      <c r="I41" s="796"/>
      <c r="J41" s="796"/>
      <c r="K41" s="796"/>
      <c r="L41" s="796"/>
      <c r="M41" s="796"/>
      <c r="N41" s="796"/>
      <c r="O41" s="796"/>
      <c r="P41" s="796"/>
      <c r="Q41" s="796"/>
      <c r="R41" s="796"/>
    </row>
    <row r="42" spans="2:22" ht="10" customHeight="1" x14ac:dyDescent="0.65">
      <c r="B42" s="163"/>
      <c r="C42" s="163"/>
      <c r="D42" s="163"/>
      <c r="E42" s="163"/>
      <c r="F42" s="163"/>
      <c r="G42" s="163"/>
      <c r="H42" s="163"/>
      <c r="I42" s="163"/>
      <c r="J42" s="163"/>
      <c r="K42" s="163"/>
      <c r="L42" s="163"/>
      <c r="M42" s="163"/>
      <c r="N42" s="163"/>
      <c r="O42" s="163"/>
      <c r="P42" s="163"/>
      <c r="Q42" s="163"/>
      <c r="R42" s="163"/>
    </row>
    <row r="43" spans="2:22" ht="16" customHeight="1" x14ac:dyDescent="0.65">
      <c r="B43" s="790"/>
      <c r="C43" s="791"/>
      <c r="D43" s="791"/>
      <c r="E43" s="791"/>
      <c r="F43" s="791"/>
      <c r="G43" s="791"/>
      <c r="H43" s="791"/>
      <c r="J43" s="797" t="s">
        <v>11</v>
      </c>
      <c r="K43" s="797"/>
      <c r="L43" s="798" t="str">
        <f>IF(はじめに入力してください!O15="×","",はじめに入力してください!H15)</f>
        <v/>
      </c>
      <c r="M43" s="798"/>
      <c r="N43" s="798"/>
      <c r="O43" s="798"/>
      <c r="P43" s="798"/>
      <c r="Q43" s="798"/>
      <c r="R43" s="798"/>
    </row>
    <row r="44" spans="2:22" ht="16" customHeight="1" x14ac:dyDescent="0.65">
      <c r="B44" s="791"/>
      <c r="C44" s="791"/>
      <c r="D44" s="791"/>
      <c r="E44" s="791"/>
      <c r="F44" s="791"/>
      <c r="G44" s="791"/>
      <c r="H44" s="791"/>
      <c r="J44" s="797" t="s">
        <v>12</v>
      </c>
      <c r="K44" s="797"/>
      <c r="L44" s="798" t="str">
        <f>IF(はじめに入力してください!O16="×","",はじめに入力してください!H16)</f>
        <v/>
      </c>
      <c r="M44" s="798"/>
      <c r="N44" s="798"/>
      <c r="O44" s="798"/>
      <c r="P44" s="798"/>
      <c r="Q44" s="798"/>
      <c r="R44" s="798"/>
    </row>
    <row r="45" spans="2:22" ht="16" customHeight="1" x14ac:dyDescent="0.65">
      <c r="B45" s="791"/>
      <c r="C45" s="791"/>
      <c r="D45" s="791"/>
      <c r="E45" s="791"/>
      <c r="F45" s="791"/>
      <c r="G45" s="791"/>
      <c r="H45" s="791"/>
      <c r="J45" s="797" t="s">
        <v>13</v>
      </c>
      <c r="K45" s="797"/>
      <c r="L45" s="798" t="str">
        <f>IF(はじめに入力してください!O17="×","",はじめに入力してください!AF17)</f>
        <v/>
      </c>
      <c r="M45" s="798"/>
      <c r="N45" s="798"/>
      <c r="O45" s="798"/>
      <c r="P45" s="798"/>
      <c r="Q45" s="798"/>
      <c r="R45" s="798"/>
    </row>
    <row r="46" spans="2:22" ht="16" customHeight="1" x14ac:dyDescent="0.65">
      <c r="B46" s="173"/>
      <c r="C46" s="173"/>
      <c r="D46" s="173"/>
      <c r="E46" s="173"/>
      <c r="F46" s="173"/>
      <c r="G46" s="173"/>
      <c r="H46" s="173"/>
      <c r="J46" s="797" t="s">
        <v>14</v>
      </c>
      <c r="K46" s="797"/>
      <c r="L46" s="799" t="str">
        <f>IF(はじめに入力してください!O18="×","",はじめに入力してください!H18)</f>
        <v/>
      </c>
      <c r="M46" s="799"/>
      <c r="N46" s="799"/>
      <c r="O46" s="799"/>
      <c r="P46" s="799"/>
      <c r="Q46" s="799"/>
      <c r="R46" s="799"/>
    </row>
    <row r="47" spans="2:22" ht="18" customHeight="1" x14ac:dyDescent="0.65"/>
    <row r="48" spans="2:22" ht="18" customHeight="1" x14ac:dyDescent="0.65"/>
    <row r="49" spans="37:42" ht="18" customHeight="1" x14ac:dyDescent="0.65"/>
    <row r="50" spans="37:42" ht="30" customHeight="1" x14ac:dyDescent="0.65">
      <c r="AM50" s="174"/>
      <c r="AN50" s="175"/>
      <c r="AO50" s="175"/>
      <c r="AP50" s="176"/>
    </row>
    <row r="51" spans="37:42" ht="30" customHeight="1" x14ac:dyDescent="0.65">
      <c r="AM51" s="177"/>
      <c r="AN51" s="51"/>
      <c r="AO51" s="51"/>
      <c r="AP51" s="178"/>
    </row>
    <row r="52" spans="37:42" ht="27" customHeight="1" x14ac:dyDescent="0.65">
      <c r="AM52" s="179"/>
      <c r="AN52" s="788" t="str">
        <f>はじめに入力してください!AF12</f>
        <v/>
      </c>
      <c r="AO52" s="788"/>
      <c r="AP52" s="180"/>
    </row>
    <row r="53" spans="37:42" ht="27" customHeight="1" x14ac:dyDescent="0.65">
      <c r="AK53" s="368">
        <v>1</v>
      </c>
      <c r="AM53" s="181"/>
      <c r="AN53" s="789" t="str">
        <f>IF(COUNTA(AK53)=1,"確保第"&amp;AK53&amp;"号","")</f>
        <v>確保第1号</v>
      </c>
      <c r="AO53" s="789"/>
      <c r="AP53" s="180"/>
    </row>
    <row r="54" spans="37:42" ht="25" customHeight="1" x14ac:dyDescent="0.65">
      <c r="AM54" s="181"/>
      <c r="AN54" s="182"/>
      <c r="AO54" s="183"/>
      <c r="AP54" s="180"/>
    </row>
    <row r="55" spans="37:42" ht="30" customHeight="1" x14ac:dyDescent="0.65">
      <c r="AM55" s="184"/>
      <c r="AN55" s="185"/>
      <c r="AO55" s="185"/>
      <c r="AP55" s="186"/>
    </row>
    <row r="56" spans="37:42" ht="20.149999999999999" customHeight="1" x14ac:dyDescent="0.65">
      <c r="AM56" s="187"/>
      <c r="AN56" s="188"/>
      <c r="AO56" s="188"/>
      <c r="AP56" s="189"/>
    </row>
  </sheetData>
  <sheetProtection algorithmName="SHA-512" hashValue="SCIZ1qm1kOW3vXotk+AeXX+YhmgkczqegJbitTBLgVqAaYor4KZULjM3FMfl49LhzKz6fXbQgMomfWVVbE0vag==" saltValue="hbkZL7amCGNv71ENWEhkvg==" spinCount="100000" sheet="1" formatCells="0" formatColumns="0" formatRows="0"/>
  <mergeCells count="44">
    <mergeCell ref="J45:K45"/>
    <mergeCell ref="J43:K43"/>
    <mergeCell ref="B18:R18"/>
    <mergeCell ref="B35:R35"/>
    <mergeCell ref="V18:W19"/>
    <mergeCell ref="B19:R19"/>
    <mergeCell ref="B32:S33"/>
    <mergeCell ref="AN52:AO52"/>
    <mergeCell ref="AN53:AO53"/>
    <mergeCell ref="B43:H45"/>
    <mergeCell ref="C30:N30"/>
    <mergeCell ref="B26:R26"/>
    <mergeCell ref="B29:I29"/>
    <mergeCell ref="B36:R41"/>
    <mergeCell ref="J46:K46"/>
    <mergeCell ref="L43:R43"/>
    <mergeCell ref="L44:R44"/>
    <mergeCell ref="L45:R45"/>
    <mergeCell ref="L46:R46"/>
    <mergeCell ref="J44:K44"/>
    <mergeCell ref="B28:R28"/>
    <mergeCell ref="B27:R27"/>
    <mergeCell ref="B31:Q31"/>
    <mergeCell ref="L9:R9"/>
    <mergeCell ref="L10:R10"/>
    <mergeCell ref="I8:K8"/>
    <mergeCell ref="I9:K9"/>
    <mergeCell ref="B17:R17"/>
    <mergeCell ref="O2:S2"/>
    <mergeCell ref="C21:F21"/>
    <mergeCell ref="C22:F22"/>
    <mergeCell ref="H20:L20"/>
    <mergeCell ref="H22:L22"/>
    <mergeCell ref="H21:L21"/>
    <mergeCell ref="I10:K10"/>
    <mergeCell ref="B12:R12"/>
    <mergeCell ref="A14:S14"/>
    <mergeCell ref="N4:R4"/>
    <mergeCell ref="M20:S21"/>
    <mergeCell ref="N5:R5"/>
    <mergeCell ref="C20:F20"/>
    <mergeCell ref="B6:G6"/>
    <mergeCell ref="B15:R15"/>
    <mergeCell ref="L8:R8"/>
  </mergeCells>
  <phoneticPr fontId="1"/>
  <conditionalFormatting sqref="H20:H22">
    <cfRule type="containsText" dxfId="65" priority="1" operator="containsText" text="不備">
      <formula>NOT(ISERROR(SEARCH("不備",H20)))</formula>
    </cfRule>
  </conditionalFormatting>
  <printOptions horizontalCentered="1"/>
  <pageMargins left="0.59055118110236227" right="0.39370078740157483" top="0.39370078740157483" bottom="0.39370078740157483" header="0.31496062992125984" footer="0.31496062992125984"/>
  <pageSetup paperSize="9" scale="97"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M21"/>
  <sheetViews>
    <sheetView showGridLines="0" view="pageBreakPreview" topLeftCell="B1" zoomScale="60" zoomScaleNormal="100" workbookViewId="0">
      <selection activeCell="B1" sqref="B1"/>
    </sheetView>
  </sheetViews>
  <sheetFormatPr defaultColWidth="9" defaultRowHeight="18.45" x14ac:dyDescent="0.65"/>
  <cols>
    <col min="1" max="1" width="2.640625" style="47" customWidth="1"/>
    <col min="2" max="2" width="40.640625" style="47" customWidth="1"/>
    <col min="3" max="9" width="15.640625" style="47" customWidth="1"/>
    <col min="10" max="10" width="10.7109375" style="47" customWidth="1"/>
    <col min="11" max="11" width="12.640625" style="47" customWidth="1"/>
    <col min="12" max="12" width="15" style="47" customWidth="1"/>
    <col min="13" max="13" width="12.7109375" style="49" customWidth="1"/>
    <col min="14" max="16384" width="9" style="47"/>
  </cols>
  <sheetData>
    <row r="1" spans="2:13" ht="25" customHeight="1" x14ac:dyDescent="0.65">
      <c r="B1" s="47" t="str">
        <f xml:space="preserve">
IF(OR(テーブル!B3="事前協議",テーブル!B3="交付申請兼実績報告書",テーブル!B3="交付申請",テーブル!B3="交付申請（２次以降）"),"様式１－１",
IF(テーブル!B3="変更申請","様式１－１",
IF(テーブル!B3="実績報告","様式３－１")))</f>
        <v>様式１－１</v>
      </c>
      <c r="I1" s="808"/>
      <c r="J1" s="809"/>
    </row>
    <row r="2" spans="2:13" ht="25" customHeight="1" x14ac:dyDescent="0.65">
      <c r="B2" s="785" t="str">
        <f xml:space="preserve">
IF(テーブル!B3="交付申請兼実績報告書",
"令和５年度　新型コロナウイルス感染症外来対応医療機関確保事業費補助金経費経費精算書",
IF(テーブル!B3="事前協議",
"令和５年度　新型コロナウイルス感染症外来対応医療機関確保事業費補助金経費経費精算書（案）"))</f>
        <v>令和５年度　新型コロナウイルス感染症外来対応医療機関確保事業費補助金経費経費精算書</v>
      </c>
      <c r="C2" s="785"/>
      <c r="D2" s="785"/>
      <c r="E2" s="785"/>
      <c r="F2" s="785"/>
      <c r="G2" s="785"/>
      <c r="H2" s="785"/>
      <c r="I2" s="785"/>
      <c r="J2" s="130"/>
    </row>
    <row r="3" spans="2:13" ht="25" customHeight="1" x14ac:dyDescent="0.65">
      <c r="B3" s="130"/>
      <c r="C3" s="130"/>
      <c r="D3" s="130"/>
      <c r="E3" s="130"/>
      <c r="F3" s="130"/>
      <c r="G3" s="50" t="s">
        <v>33</v>
      </c>
      <c r="H3" s="812" t="str">
        <f>IF(はじめに入力してください!H10=0,"",はじめに入力してください!H10)</f>
        <v/>
      </c>
      <c r="I3" s="769"/>
      <c r="J3" s="21"/>
    </row>
    <row r="4" spans="2:13" ht="25" customHeight="1" x14ac:dyDescent="0.65">
      <c r="B4" s="51"/>
      <c r="C4" s="51"/>
      <c r="D4" s="51"/>
      <c r="E4" s="51"/>
      <c r="F4" s="51"/>
      <c r="G4" s="52" t="str">
        <f xml:space="preserve">
IF(OR(テーブル!B3="交付申請",テーブル!B3="交付申請（２次以降）"),"事業完了予定日",
IF(テーブル!B3="変更申請","事業完了予定日",
IF(OR(テーブル!B3="事前協議",テーブル!B3="交付申請兼実績報告書",テーブル!B3="実績報告"),"事業完了日")))</f>
        <v>事業完了日</v>
      </c>
      <c r="H4" s="813" t="str">
        <f>IF(MAX(額内訳書!AE6:AE10)=0,"",MAX(額内訳書!AE6:AE10))</f>
        <v/>
      </c>
      <c r="I4" s="813"/>
      <c r="J4" s="104"/>
    </row>
    <row r="5" spans="2:13" ht="60" customHeight="1" x14ac:dyDescent="0.65">
      <c r="B5" s="53" t="s">
        <v>37</v>
      </c>
      <c r="C5" s="53" t="s">
        <v>39</v>
      </c>
      <c r="D5" s="53" t="str">
        <f xml:space="preserve">
IF(OR(テーブル!B3="事前協議",テーブル!B3="交付申請兼実績報告書",テーブル!B3="交付申請",テーブル!B3="交付申請（２次以降）"),"寄付金その他の"&amp;CHAR(10)&amp;"収入予定額"&amp;CHAR(10)&amp;"(B)",
IF(テーブル!B3="変更申請","寄付金その他の"&amp;CHAR(10)&amp;"収入予定額"&amp;CHAR(10)&amp;"(B)",
IF(テーブル!B3="実績報告","寄付金その他の"&amp;CHAR(10)&amp;"収入済額"&amp;CHAR(10)&amp;"(B)")))</f>
        <v>寄付金その他の
収入予定額
(B)</v>
      </c>
      <c r="E5" s="53" t="s">
        <v>1</v>
      </c>
      <c r="F5" s="53" t="str">
        <f xml:space="preserve">
IF(OR(テーブル!B3="交付申請",テーブル!B3="交付申請（２次以降）"),"対象経費"&amp;CHAR(10)&amp;"支出予定額"&amp;CHAR(10)&amp;"(D)",
IF(テーブル!B3="変更申請","対象経費"&amp;CHAR(10)&amp;"支出予定額"&amp;CHAR(10)&amp;"(D)",
IF(OR(テーブル!B3="事前協議",テーブル!B3="交付申請兼実績報告書",テーブル!B3="実績報告"),"対象経費"&amp;CHAR(10)&amp;"支出済額"&amp;CHAR(10)&amp;"(D)")))</f>
        <v>対象経費
支出済額
(D)</v>
      </c>
      <c r="G5" s="53" t="s">
        <v>159</v>
      </c>
      <c r="H5" s="53" t="s">
        <v>160</v>
      </c>
      <c r="I5" s="53" t="s">
        <v>161</v>
      </c>
      <c r="J5" s="53" t="s">
        <v>36</v>
      </c>
    </row>
    <row r="6" spans="2:13" ht="30" customHeight="1" x14ac:dyDescent="0.65">
      <c r="B6" s="814" t="str">
        <f>額内訳書!B6</f>
        <v>患者案内のための看板の設置料</v>
      </c>
      <c r="C6" s="55">
        <f ca="1">額内訳書!F6</f>
        <v>0</v>
      </c>
      <c r="D6" s="141">
        <v>0</v>
      </c>
      <c r="E6" s="55">
        <f ca="1">C6-D6</f>
        <v>0</v>
      </c>
      <c r="F6" s="55">
        <f ca="1">E6</f>
        <v>0</v>
      </c>
      <c r="G6" s="55">
        <f ca="1">F6</f>
        <v>0</v>
      </c>
      <c r="H6" s="55">
        <f ca="1">G6</f>
        <v>0</v>
      </c>
      <c r="I6" s="55">
        <f ca="1">ROUNDDOWN(H6,-3)</f>
        <v>0</v>
      </c>
      <c r="J6" s="814" t="str">
        <f xml:space="preserve">
IF(OR(テーブル!B3="事前協議",テーブル!B3="交付申請兼実績報告書",テーブル!B3="交付申請",テーブル!B3="交付申請（２次以降）"),"内訳は様式1-2のとおり",
IF(テーブル!B3="変更申請","内訳は様式1-2のとおり",
IF(テーブル!B3="実績報告","内訳は様式3-2のとおり")))</f>
        <v>内訳は様式1-2のとおり</v>
      </c>
    </row>
    <row r="7" spans="2:13" ht="30" customHeight="1" x14ac:dyDescent="0.65">
      <c r="B7" s="815"/>
      <c r="C7" s="56"/>
      <c r="D7" s="142"/>
      <c r="E7" s="56"/>
      <c r="F7" s="56"/>
      <c r="G7" s="56"/>
      <c r="H7" s="56"/>
      <c r="I7" s="56"/>
      <c r="J7" s="816"/>
      <c r="L7" s="51"/>
      <c r="M7" s="54"/>
    </row>
    <row r="8" spans="2:13" ht="30" customHeight="1" x14ac:dyDescent="0.65">
      <c r="B8" s="814" t="str">
        <f>額内訳書!B7</f>
        <v xml:space="preserve"> ホームページ上に外来対応医療機関である
ことを明記するための改修費</v>
      </c>
      <c r="C8" s="55">
        <f>額内訳書!F7</f>
        <v>0</v>
      </c>
      <c r="D8" s="141">
        <v>0</v>
      </c>
      <c r="E8" s="55">
        <f>C8-D8</f>
        <v>0</v>
      </c>
      <c r="F8" s="55">
        <f>E8</f>
        <v>0</v>
      </c>
      <c r="G8" s="55">
        <f>F8</f>
        <v>0</v>
      </c>
      <c r="H8" s="55">
        <f>G8</f>
        <v>0</v>
      </c>
      <c r="I8" s="55">
        <f>ROUNDDOWN(H8,-3)</f>
        <v>0</v>
      </c>
      <c r="J8" s="816"/>
      <c r="L8" s="51"/>
      <c r="M8" s="54"/>
    </row>
    <row r="9" spans="2:13" ht="30" customHeight="1" x14ac:dyDescent="0.65">
      <c r="B9" s="815"/>
      <c r="C9" s="56"/>
      <c r="D9" s="142"/>
      <c r="E9" s="56"/>
      <c r="F9" s="56"/>
      <c r="G9" s="56"/>
      <c r="H9" s="56"/>
      <c r="I9" s="56"/>
      <c r="J9" s="816"/>
    </row>
    <row r="10" spans="2:13" ht="30" customHeight="1" x14ac:dyDescent="0.65">
      <c r="B10" s="814" t="str">
        <f>額内訳書!B8</f>
        <v>換気設備設置のための軽微な改修等の修繕費</v>
      </c>
      <c r="C10" s="55">
        <f>額内訳書!F8</f>
        <v>0</v>
      </c>
      <c r="D10" s="141">
        <v>0</v>
      </c>
      <c r="E10" s="55">
        <f>C10-D10</f>
        <v>0</v>
      </c>
      <c r="F10" s="55">
        <f>E10</f>
        <v>0</v>
      </c>
      <c r="G10" s="55">
        <f>F10</f>
        <v>0</v>
      </c>
      <c r="H10" s="55">
        <f>G10</f>
        <v>0</v>
      </c>
      <c r="I10" s="55">
        <f>ROUNDDOWN(H10,-3)</f>
        <v>0</v>
      </c>
      <c r="J10" s="816"/>
    </row>
    <row r="11" spans="2:13" ht="30" customHeight="1" x14ac:dyDescent="0.65">
      <c r="B11" s="815"/>
      <c r="C11" s="56"/>
      <c r="D11" s="142"/>
      <c r="E11" s="56"/>
      <c r="F11" s="56"/>
      <c r="G11" s="56"/>
      <c r="H11" s="56"/>
      <c r="I11" s="56"/>
      <c r="J11" s="816"/>
    </row>
    <row r="12" spans="2:13" ht="30" customHeight="1" x14ac:dyDescent="0.65">
      <c r="B12" s="814" t="str">
        <f>額内訳書!B9</f>
        <v>医療機器
（パルスオキシメーター等）</v>
      </c>
      <c r="C12" s="55">
        <f>額内訳書!F9</f>
        <v>0</v>
      </c>
      <c r="D12" s="141">
        <v>0</v>
      </c>
      <c r="E12" s="55">
        <f>C12-D12</f>
        <v>0</v>
      </c>
      <c r="F12" s="55">
        <f>E12</f>
        <v>0</v>
      </c>
      <c r="G12" s="55">
        <f>F12</f>
        <v>0</v>
      </c>
      <c r="H12" s="55">
        <f>G12</f>
        <v>0</v>
      </c>
      <c r="I12" s="55">
        <f>ROUNDDOWN(H12,-3)</f>
        <v>0</v>
      </c>
      <c r="J12" s="816"/>
    </row>
    <row r="13" spans="2:13" ht="30" customHeight="1" x14ac:dyDescent="0.65">
      <c r="B13" s="815"/>
      <c r="C13" s="56"/>
      <c r="D13" s="142"/>
      <c r="E13" s="56"/>
      <c r="F13" s="56"/>
      <c r="G13" s="56"/>
      <c r="H13" s="56"/>
      <c r="I13" s="56"/>
      <c r="J13" s="816"/>
    </row>
    <row r="14" spans="2:13" ht="30" customHeight="1" x14ac:dyDescent="0.65">
      <c r="B14" s="814" t="str">
        <f>額内訳書!B10</f>
        <v>非接触サーモグラフィーカメラ
（検温・消毒機能付き）</v>
      </c>
      <c r="C14" s="55">
        <f>額内訳書!F10</f>
        <v>0</v>
      </c>
      <c r="D14" s="141">
        <v>0</v>
      </c>
      <c r="E14" s="55">
        <f>C14-D14</f>
        <v>0</v>
      </c>
      <c r="F14" s="55">
        <f>E14</f>
        <v>0</v>
      </c>
      <c r="G14" s="55">
        <f>F14</f>
        <v>0</v>
      </c>
      <c r="H14" s="55">
        <f>G14</f>
        <v>0</v>
      </c>
      <c r="I14" s="55">
        <f>ROUNDDOWN(H14,-3)</f>
        <v>0</v>
      </c>
      <c r="J14" s="816"/>
    </row>
    <row r="15" spans="2:13" ht="30" customHeight="1" x14ac:dyDescent="0.65">
      <c r="B15" s="815"/>
      <c r="C15" s="56"/>
      <c r="D15" s="142"/>
      <c r="E15" s="56"/>
      <c r="F15" s="56"/>
      <c r="G15" s="56"/>
      <c r="H15" s="56"/>
      <c r="I15" s="56"/>
      <c r="J15" s="816"/>
    </row>
    <row r="16" spans="2:13" ht="30" customHeight="1" x14ac:dyDescent="0.65">
      <c r="B16" s="810" t="s">
        <v>2</v>
      </c>
      <c r="C16" s="55">
        <f ca="1">C6+C8+C10+C12+C14</f>
        <v>0</v>
      </c>
      <c r="D16" s="55">
        <f t="shared" ref="D16:H16" si="0">D6+D8+D10+D12+D14</f>
        <v>0</v>
      </c>
      <c r="E16" s="55">
        <f t="shared" ca="1" si="0"/>
        <v>0</v>
      </c>
      <c r="F16" s="55">
        <f t="shared" ca="1" si="0"/>
        <v>0</v>
      </c>
      <c r="G16" s="55">
        <f t="shared" ca="1" si="0"/>
        <v>0</v>
      </c>
      <c r="H16" s="55">
        <f t="shared" ca="1" si="0"/>
        <v>0</v>
      </c>
      <c r="I16" s="55">
        <f ca="1">SUM(I6,I8,I10,I12,I14)</f>
        <v>0</v>
      </c>
      <c r="J16" s="816"/>
      <c r="K16" s="99"/>
      <c r="M16" s="47"/>
    </row>
    <row r="17" spans="2:13" ht="30" customHeight="1" x14ac:dyDescent="0.65">
      <c r="B17" s="811"/>
      <c r="C17" s="56" t="str">
        <f>IF(テーブル!B3="変更申請",SUM(C7,C9,C11,C13,C15),"")</f>
        <v/>
      </c>
      <c r="D17" s="56" t="str">
        <f>IF(テーブル!B3="変更申請",SUM(D7,D9,D11,D13,D15),"")</f>
        <v/>
      </c>
      <c r="E17" s="56" t="str">
        <f>IF(テーブル!B3="変更申請",SUM(E7,E9,E11,E13,E15),"")</f>
        <v/>
      </c>
      <c r="F17" s="56" t="str">
        <f>IF(テーブル!B3="変更申請",SUM(F7,F9,F11,F13,F15),"")</f>
        <v/>
      </c>
      <c r="G17" s="56" t="str">
        <f>IF(テーブル!B3="変更申請",SUM(G7,G9,G11,G13,G15),"")</f>
        <v/>
      </c>
      <c r="H17" s="56" t="str">
        <f>IF(テーブル!B3="変更申請",SUM(H7,H9,H11,H13,H15),"")</f>
        <v/>
      </c>
      <c r="I17" s="56" t="str">
        <f>IF(テーブル!B3="変更申請",SUM(I7,I9,I11,I13,I15),"")</f>
        <v/>
      </c>
      <c r="J17" s="815"/>
      <c r="K17" s="98"/>
      <c r="M17" s="47"/>
    </row>
    <row r="18" spans="2:13" ht="21.75" customHeight="1" x14ac:dyDescent="0.65">
      <c r="B18" s="47" t="s">
        <v>162</v>
      </c>
      <c r="G18" s="806" t="str">
        <f ca="1">IF(I16&gt;0,"補助上限額：500,000円→補助額：","")</f>
        <v/>
      </c>
      <c r="H18" s="807"/>
      <c r="I18" s="210" t="str">
        <f ca="1">IF(I16&gt;0,MIN(I16,500000),"")</f>
        <v/>
      </c>
      <c r="M18" s="47"/>
    </row>
    <row r="19" spans="2:13" ht="20.149999999999999" customHeight="1" x14ac:dyDescent="0.65">
      <c r="M19" s="47"/>
    </row>
    <row r="20" spans="2:13" ht="20.149999999999999" customHeight="1" x14ac:dyDescent="0.65">
      <c r="M20" s="47"/>
    </row>
    <row r="21" spans="2:13" ht="20.149999999999999" customHeight="1" x14ac:dyDescent="0.65">
      <c r="M21" s="47"/>
    </row>
  </sheetData>
  <sheetProtection algorithmName="SHA-512" hashValue="KVpvQol6y4S7UQmXS2hzJsMQdXr1e3ECIhqMwDuWdypy216ErfswA8HtxF9+FhSOOvmCjZlGdLreGo+kulSMbw==" saltValue="Tf7hu72fjBmFj6gy7XCX1A==" spinCount="100000" sheet="1" objects="1" scenarios="1"/>
  <mergeCells count="12">
    <mergeCell ref="G18:H18"/>
    <mergeCell ref="I1:J1"/>
    <mergeCell ref="B16:B17"/>
    <mergeCell ref="H3:I3"/>
    <mergeCell ref="H4:I4"/>
    <mergeCell ref="B14:B15"/>
    <mergeCell ref="B2:I2"/>
    <mergeCell ref="B6:B7"/>
    <mergeCell ref="B8:B9"/>
    <mergeCell ref="B10:B11"/>
    <mergeCell ref="B12:B13"/>
    <mergeCell ref="J6:J17"/>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6:D15" xr:uid="{00000000-0002-0000-0500-000000000000}"/>
  </dataValidations>
  <printOptions horizontalCentered="1"/>
  <pageMargins left="0.59055118110236227" right="0.39370078740157483" top="0.98425196850393704" bottom="0.39370078740157483" header="0.31496062992125984" footer="0.31496062992125984"/>
  <pageSetup paperSize="9" scale="70" fitToWidth="0" fitToHeight="0" orientation="landscape" r:id="rId1"/>
  <colBreaks count="1" manualBreakCount="1">
    <brk id="10"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W12"/>
  <sheetViews>
    <sheetView showGridLines="0" view="pageBreakPreview" zoomScale="60" zoomScaleNormal="37" workbookViewId="0">
      <selection activeCell="F11" sqref="F11"/>
    </sheetView>
  </sheetViews>
  <sheetFormatPr defaultColWidth="9" defaultRowHeight="23.15" x14ac:dyDescent="0.65"/>
  <cols>
    <col min="1" max="1" width="2.640625" style="1" customWidth="1"/>
    <col min="2" max="2" width="50.640625" style="1" customWidth="1"/>
    <col min="3" max="3" width="30.640625" style="1" customWidth="1"/>
    <col min="4" max="4" width="20.640625" style="1" customWidth="1"/>
    <col min="5" max="6" width="30.640625" style="1" customWidth="1"/>
    <col min="7" max="7" width="10.640625" style="1" customWidth="1"/>
    <col min="8" max="8" width="7.35546875" style="1" customWidth="1"/>
    <col min="9" max="9" width="7.640625" style="1" customWidth="1"/>
    <col min="10" max="15" width="5.640625" style="1" customWidth="1"/>
    <col min="16" max="16" width="5.640625" style="2" customWidth="1"/>
    <col min="17" max="17" width="2.640625" style="1" customWidth="1"/>
    <col min="18" max="25" width="8.640625" style="1" customWidth="1"/>
    <col min="26" max="29" width="9" style="1"/>
    <col min="30" max="30" width="10.640625" style="3" customWidth="1"/>
    <col min="31" max="33" width="9" style="1"/>
    <col min="34" max="34" width="14.140625" style="1" bestFit="1" customWidth="1"/>
    <col min="35" max="35" width="10.640625" style="1" customWidth="1"/>
    <col min="36" max="36" width="10.640625" style="7" customWidth="1"/>
    <col min="37" max="43" width="10.640625" style="1" customWidth="1"/>
    <col min="44" max="44" width="9" style="2"/>
    <col min="45" max="46" width="9" style="1"/>
    <col min="47" max="47" width="90.640625" style="4" customWidth="1"/>
    <col min="48" max="48" width="30.640625" style="75" customWidth="1"/>
    <col min="49" max="49" width="16.7109375" style="1" bestFit="1" customWidth="1"/>
    <col min="50" max="16384" width="9" style="1"/>
  </cols>
  <sheetData>
    <row r="1" spans="2:49" ht="40" customHeight="1" x14ac:dyDescent="0.65">
      <c r="B1" s="1" t="str">
        <f xml:space="preserve">
IF(OR(テーブル!B3="事前協議",テーブル!B3="交付申請兼実績報告書",テーブル!B3="交付申請",テーブル!B3="交付申請（２次以降）"),"様式１－２",
IF(テーブル!B3="変更申請","様式１－２",
IF(テーブル!B3="実績報告","様式３－２")))</f>
        <v>様式１－２</v>
      </c>
      <c r="J1" s="808"/>
      <c r="K1" s="769"/>
      <c r="L1" s="769"/>
      <c r="M1" s="769"/>
      <c r="N1" s="769"/>
      <c r="O1" s="769"/>
      <c r="P1" s="769"/>
      <c r="AI1" s="67"/>
      <c r="AJ1" s="68"/>
      <c r="AK1" s="68"/>
      <c r="AL1" s="68"/>
      <c r="AM1" s="68"/>
      <c r="AN1" s="68"/>
      <c r="AO1" s="66"/>
      <c r="AP1" s="1" t="e">
        <f>IF(AO2=#REF!,"OK","エラー")</f>
        <v>#REF!</v>
      </c>
    </row>
    <row r="2" spans="2:49" ht="25" customHeight="1" x14ac:dyDescent="0.65">
      <c r="B2" s="825" t="str">
        <f xml:space="preserve">
IF(テーブル!B3="交付申請兼実績報告書",
"令和５年度　新型コロナウイルス感染症外来対応医療機関確保事業費補助金　基準額算出内訳及び対象経費実支出額内訳書",
IF(テーブル!B3="事前協議",
"令和５年度　新型コロナウイルス感染症外来対応医療機関確保事業費補助金　基準額算出内訳及び対象経費実支出額内訳書（案）"))</f>
        <v>令和５年度　新型コロナウイルス感染症外来対応医療機関確保事業費補助金　基準額算出内訳及び対象経費実支出額内訳書</v>
      </c>
      <c r="C2" s="638"/>
      <c r="D2" s="638"/>
      <c r="E2" s="638"/>
      <c r="F2" s="638"/>
      <c r="G2" s="638"/>
      <c r="H2" s="638"/>
      <c r="I2" s="638"/>
      <c r="J2" s="638"/>
      <c r="K2" s="638"/>
      <c r="L2" s="638"/>
      <c r="M2" s="638"/>
      <c r="N2" s="638"/>
      <c r="O2" s="638"/>
      <c r="P2" s="638"/>
      <c r="AI2" s="69"/>
      <c r="AJ2" s="5"/>
      <c r="AK2" s="5"/>
      <c r="AL2" s="5"/>
      <c r="AM2" s="5"/>
      <c r="AN2" s="5"/>
      <c r="AO2" s="5"/>
      <c r="AP2" s="5"/>
      <c r="AR2" s="826" t="s">
        <v>127</v>
      </c>
      <c r="AS2" s="827"/>
      <c r="AT2" s="830" t="str">
        <f ca="1" xml:space="preserve">
IF(COUNTIF(AQ6:AQ10,"×")&gt;=1,"×",
IF(AND(COUNTIF(AQ6:AQ10,"×")=0,COUNTIF(AQ6:AQ10,"◎")&gt;=1),"○",
IF(COUNTIF(AQ6:AQ10,"○")=8,"×")))</f>
        <v>×</v>
      </c>
      <c r="AU2" s="817" t="str">
        <f ca="1" xml:space="preserve">
IF(COUNTIF(AQ6:AQ10,"×")&gt;=1,"【要修正】未入力または記載不十分の箇所があるため赤色表示の行を確認してください。",
IF(AND(COUNTIF(AQ6:AQ10,"×")=0,COUNTIF(AQ6:AQ10,"◎")&gt;=1),"適切に入力がされました。",
IF(COUNTIF(AQ6:AQ10,"○")=8,"【要修正】未入力の状態です。")))</f>
        <v>【要修正】未入力または記載不十分の箇所があるため赤色表示の行を確認してください。</v>
      </c>
      <c r="AV2" s="107" t="s">
        <v>130</v>
      </c>
      <c r="AW2" s="105" t="s">
        <v>129</v>
      </c>
    </row>
    <row r="3" spans="2:49" ht="31.4" customHeight="1" x14ac:dyDescent="0.65">
      <c r="B3" s="6"/>
      <c r="C3" s="6"/>
      <c r="D3" s="6"/>
      <c r="E3" s="6"/>
      <c r="F3" s="6"/>
      <c r="G3" s="6"/>
      <c r="H3" s="6"/>
      <c r="I3" s="6"/>
      <c r="J3" s="6"/>
      <c r="K3" s="6"/>
      <c r="L3" s="6"/>
      <c r="M3" s="6"/>
      <c r="N3" s="6"/>
      <c r="O3" s="6"/>
      <c r="P3" s="66"/>
      <c r="R3" s="2"/>
      <c r="AI3" s="66"/>
      <c r="AJ3" s="5"/>
      <c r="AK3" s="5"/>
      <c r="AL3" s="5"/>
      <c r="AM3" s="5"/>
      <c r="AN3" s="5"/>
      <c r="AO3" s="5"/>
      <c r="AP3" s="5"/>
      <c r="AR3" s="828"/>
      <c r="AS3" s="829"/>
      <c r="AT3" s="831"/>
      <c r="AU3" s="818"/>
      <c r="AV3" s="108"/>
      <c r="AW3" s="106"/>
    </row>
    <row r="4" spans="2:49" ht="48" customHeight="1" x14ac:dyDescent="0.65">
      <c r="B4" s="821" t="s">
        <v>34</v>
      </c>
      <c r="C4" s="820" t="str">
        <f xml:space="preserve">
IF(OR(テーブル!B3="交付申請",テーブル!B3="交付申請（２次以降）"),"対象経費支出予定額",
IF(テーブル!B3="変更申請","対象経費支出予定額",
IF(OR(テーブル!B3="事前協議",テーブル!B3="実績報告",テーブル!B3="交付申請兼実績報告書"),"対象経費実支出額")))</f>
        <v>対象経費実支出額</v>
      </c>
      <c r="D4" s="820"/>
      <c r="E4" s="820"/>
      <c r="F4" s="820"/>
      <c r="G4" s="833" t="str">
        <f xml:space="preserve">
IF(OR(テーブル!B3="交付申請",テーブル!B3="交付申請（２次以降）"),"事業完了予定日"&amp;CHAR(10)&amp;"（複数の場合は最終納品の予定日）",
IF((テーブル!B3="変更申請"),"事業完了予定日"&amp;CHAR(10)&amp;"（複数の場合は最終納品の予定日）",
IF((テーブル!B3="事前協議"),"事業完了日"&amp;CHAR(10)&amp;"（複数の場合は最終の事業完了日）",
IF(OR(テーブル!B3="実績報告",テーブル!B3="交付申請兼実績報告書"),"事業完了日"&amp;CHAR(10)&amp;"（複数の場合は最終納品日）"))))</f>
        <v>事業完了日
（複数の場合は最終納品日）</v>
      </c>
      <c r="H4" s="834"/>
      <c r="I4" s="834"/>
      <c r="J4" s="834"/>
      <c r="K4" s="835"/>
      <c r="L4" s="835"/>
      <c r="M4" s="736"/>
      <c r="P4" s="1"/>
      <c r="AA4" s="68"/>
      <c r="AB4" s="65"/>
      <c r="AC4" s="65"/>
      <c r="AD4" s="65"/>
      <c r="AF4" s="66"/>
      <c r="AG4" s="5"/>
      <c r="AH4" s="5"/>
      <c r="AI4" s="5"/>
      <c r="AJ4" s="5"/>
      <c r="AK4" s="5"/>
      <c r="AL4" s="5"/>
      <c r="AM4" s="5"/>
      <c r="AO4" s="832" t="s">
        <v>54</v>
      </c>
      <c r="AP4" s="819" t="s">
        <v>128</v>
      </c>
      <c r="AQ4" s="819" t="s">
        <v>68</v>
      </c>
      <c r="AR4" s="819" t="s">
        <v>43</v>
      </c>
      <c r="AS4" s="108"/>
      <c r="AT4" s="106"/>
      <c r="AU4" s="1"/>
      <c r="AV4" s="1"/>
    </row>
    <row r="5" spans="2:49" ht="52" customHeight="1" x14ac:dyDescent="0.65">
      <c r="B5" s="821"/>
      <c r="C5" s="190" t="s">
        <v>40</v>
      </c>
      <c r="D5" s="191" t="s">
        <v>0</v>
      </c>
      <c r="E5" s="192" t="s">
        <v>42</v>
      </c>
      <c r="F5" s="191" t="s">
        <v>35</v>
      </c>
      <c r="G5" s="735" t="s">
        <v>49</v>
      </c>
      <c r="H5" s="835"/>
      <c r="I5" s="835"/>
      <c r="J5" s="836" t="s">
        <v>51</v>
      </c>
      <c r="K5" s="837"/>
      <c r="L5" s="835" t="s">
        <v>53</v>
      </c>
      <c r="M5" s="736"/>
      <c r="P5" s="1"/>
      <c r="AA5" s="73"/>
      <c r="AB5" s="65"/>
      <c r="AC5" s="65"/>
      <c r="AD5" s="65"/>
      <c r="AG5" s="7"/>
      <c r="AH5" s="7"/>
      <c r="AI5" s="7"/>
      <c r="AK5" s="7"/>
      <c r="AO5" s="819"/>
      <c r="AP5" s="819"/>
      <c r="AQ5" s="819"/>
      <c r="AR5" s="819"/>
      <c r="AS5" s="109"/>
      <c r="AT5" s="131"/>
      <c r="AU5" s="1"/>
      <c r="AV5" s="1"/>
    </row>
    <row r="6" spans="2:49" ht="75" customHeight="1" x14ac:dyDescent="0.65">
      <c r="B6" s="97" t="s">
        <v>288</v>
      </c>
      <c r="C6" s="133" t="str">
        <f ca="1">IF(D6=1,"（別紙のとおり）","")</f>
        <v/>
      </c>
      <c r="D6" s="138">
        <f ca="1">IF(看板!AZ2="◎",1,0)</f>
        <v>0</v>
      </c>
      <c r="E6" s="135">
        <f ca="1">IF(D6=1,看板!AO3,0)</f>
        <v>0</v>
      </c>
      <c r="F6" s="134">
        <f ca="1">D6*E6</f>
        <v>0</v>
      </c>
      <c r="G6" s="110" t="s">
        <v>47</v>
      </c>
      <c r="H6" s="155" t="str">
        <f>IF(看板!B33&lt;&gt;0,看板!BC33,"")</f>
        <v/>
      </c>
      <c r="I6" s="111" t="s">
        <v>48</v>
      </c>
      <c r="J6" s="155" t="str">
        <f>IF(看板!BC34&lt;&gt;0,看板!BC34,"")</f>
        <v/>
      </c>
      <c r="K6" s="111" t="s">
        <v>50</v>
      </c>
      <c r="L6" s="155" t="str">
        <f>IF(看板!BC35&lt;&gt;0,看板!BC35,"")</f>
        <v/>
      </c>
      <c r="M6" s="112" t="s">
        <v>52</v>
      </c>
      <c r="P6" s="1"/>
      <c r="V6" s="2"/>
      <c r="AA6" s="74"/>
      <c r="AB6" s="65"/>
      <c r="AC6" s="70"/>
      <c r="AD6" s="1"/>
      <c r="AE6" s="100" t="str">
        <f t="shared" ref="AE6:AE10" si="0">IFERROR(DATE(AF6,J6,L6),"")</f>
        <v/>
      </c>
      <c r="AF6" s="101" t="str">
        <f t="shared" ref="AF6:AF10" si="1">IF(H6=4,2022,IF(H6=5,2023,""))</f>
        <v/>
      </c>
      <c r="AG6" s="102" t="str">
        <f>IF(J6="","",J6)</f>
        <v/>
      </c>
      <c r="AH6" s="103" t="str">
        <f>IF(L6="","",L6)</f>
        <v/>
      </c>
      <c r="AI6" s="8"/>
      <c r="AJ6" s="1"/>
      <c r="AN6" s="2" t="s">
        <v>45</v>
      </c>
      <c r="AO6" s="132" t="str">
        <f>IF(COUNTA(H6,J6,L6)=0,"○",
IF(AND(COUNTA(H6,J6,L6)&lt;3,COUNTA(H6,J6,L6)&gt;=1),"×",
IF(COUNTA(H6,J6,L6)=3,"◎")))</f>
        <v>◎</v>
      </c>
      <c r="AP6" s="132" t="str">
        <f ca="1">看板!AZ2</f>
        <v>○</v>
      </c>
      <c r="AQ6" s="132" t="str">
        <f t="shared" ref="AQ6:AQ7" ca="1" si="2">IF(AND(AO6="◎",AP6="×"),"×",
IF(AND(AO6="◎",AP6="○"),"×",
IF(AND(AO6="◎",AP6="◎"),"◎",
IF(AND(AO6="○",AP6="×"),"×",
IF(AND(AO6="○",AP6="○"),"○",
IF(AND(AO6="○",AP6="◎"),"×",
IF(AND(AO6="×",AP6="×"),"×",
IF(AND(AO6="×",AP6="○"),"×",
IF(AND(AO6="×",AP6="◎"),"×")))))))))</f>
        <v>×</v>
      </c>
      <c r="AR6" s="77" t="str">
        <f ca="1">IF(AND(AO6="◎",AP6="×"),
"【要修正】以下を確認してください。"&amp;CHAR(10)&amp;"《看板設置料の明細シートをご確認ください》本シートで納品の日付が入力されていますが、明細シートが入力不十分です。",
IF(AND(AO6="◎",AP6="○"),
"【要修正】以下を確認してください。"&amp;CHAR(10)&amp;"《看板設置料の明細シートをご確認ください》本シートで納品の日付が入力されていますが、明細シートが未入力となっています。",
IF(AND(AO6="◎",AP6="◎"),"必要情報が全て入力されました。",
IF(AND(AO6="○",AP6="×"),
"【要修正】以下を確認してください。"&amp;CHAR(10)&amp;"《看板設置料の明細シートをご確認ください》入力が不十分です。"&amp;CHAR(10)&amp;
"《このシートをご確認ください》納品の日付が未入力となっています。",
IF(AND(AO6="○",AP6="○"),"申請しない場合、入力は不要です。",
IF(AND(AO6="○",AP6="◎"),
"【要修正】以下を確認してください。"&amp;CHAR(10)&amp;"《このシートをご確認ください》看板設置料の明細シートは入力されていますが、納品の日付が未入力です。",
IF(AND(AO6="×",AP6="×"),
"【要修正】以下を確認してください。"&amp;CHAR(10)&amp;"《看板設置料の明細シートをご確認ください》入力が不十分です。"&amp;CHAR(10)&amp;
"《このシートをご確認ください》納品の日付が入力不十分です。",
IF(AND(AO6="×",AP6="○"),
"【要修正】以下を確認してください。"&amp;CHAR(10)&amp;"《看板設置料の明細シートをご確認ください》未入力の状態です。"&amp;CHAR(10)&amp;
"《このシートをご確認ください》納品の日付が入力不十分です。",
IF(AND(AO6="×",AP6="◎"),
"【要修正】以下を確認してください。"&amp;CHAR(10)&amp;"《このシートをご確認ください》納品の日付が未記入となっています。")))))))))</f>
        <v>【要修正】以下を確認してください。
《看板設置料の明細シートをご確認ください》本シートで納品の日付が入力されていますが、明細シートが未入力となっています。</v>
      </c>
      <c r="AS6" s="78" t="str">
        <f ca="1">IF(AND(AO6="◎",AP6="×"),"看板設置料：「明細」シートが入力不十分/",
IF(AND(AO6="◎",AP6="○"),"看板設置料：「明細」シートが未入力/",
IF(AND(AO6="◎",AP6="◎"),"",
IF(AND(AO6="○",AP6="×"),"看板設置料：「明細」シートが入力不十分、納品の日付が未入力/",
IF(AND(AO6="○",AP6="○"),"",
IF(AND(AO6="○",AP6="◎"),"看板設置料：納品の日付が未入力/",
IF(AND(AO6="×",AP6="×"),"看板設置料：「明細」シートの入力不十分、納品の日付が未入力/",
IF(AND(AO6="×",AP6="○"),"看板設置料：「明細」シートが未入力、納品の日付が入力不十分/",
IF(AND(AO6="×",AP6="◎"),"看板設置料：納品の日付が入力不十分/")))))))))</f>
        <v>看板設置料：「明細」シートが未入力/</v>
      </c>
      <c r="AT6" s="79">
        <f ca="1">ROUNDDOWN(看板!AO3,-3)</f>
        <v>0</v>
      </c>
      <c r="AU6" s="5"/>
      <c r="AV6" s="5"/>
    </row>
    <row r="7" spans="2:49" ht="75" customHeight="1" x14ac:dyDescent="0.65">
      <c r="B7" s="126" t="s">
        <v>289</v>
      </c>
      <c r="C7" s="133" t="str">
        <f t="shared" ref="C7:C10" si="3">IF(D7=1,"（別紙のとおり）","")</f>
        <v/>
      </c>
      <c r="D7" s="139">
        <f>IF(HP!AZ4="◎",1,0)</f>
        <v>0</v>
      </c>
      <c r="E7" s="135">
        <f>IF(D7=1,HP!AO3,0)</f>
        <v>0</v>
      </c>
      <c r="F7" s="134">
        <f>D7*E7</f>
        <v>0</v>
      </c>
      <c r="G7" s="110" t="s">
        <v>46</v>
      </c>
      <c r="H7" s="155" t="str">
        <f>IF(HP!BE36&lt;&gt;0,HP!BE36,"")</f>
        <v/>
      </c>
      <c r="I7" s="111" t="s">
        <v>48</v>
      </c>
      <c r="J7" s="155" t="str">
        <f>IF(HP!BE37&lt;&gt;0,HP!BE37,"")</f>
        <v/>
      </c>
      <c r="K7" s="111" t="s">
        <v>50</v>
      </c>
      <c r="L7" s="155" t="str">
        <f>IF(HP!BE38&lt;&gt;0,HP!BE38,"")</f>
        <v/>
      </c>
      <c r="M7" s="112" t="s">
        <v>52</v>
      </c>
      <c r="P7" s="1"/>
      <c r="V7" s="2"/>
      <c r="AA7" s="74"/>
      <c r="AB7" s="65"/>
      <c r="AC7" s="70"/>
      <c r="AD7" s="1"/>
      <c r="AE7" s="100" t="str">
        <f t="shared" si="0"/>
        <v/>
      </c>
      <c r="AF7" s="101" t="str">
        <f t="shared" si="1"/>
        <v/>
      </c>
      <c r="AG7" s="102" t="str">
        <f t="shared" ref="AG7:AG10" si="4">IF(J7="","",J7)</f>
        <v/>
      </c>
      <c r="AH7" s="103" t="str">
        <f t="shared" ref="AH7:AH10" si="5">IF(L7="","",L7)</f>
        <v/>
      </c>
      <c r="AI7" s="71"/>
      <c r="AJ7" s="65"/>
      <c r="AN7" s="2" t="s">
        <v>45</v>
      </c>
      <c r="AO7" s="132" t="str">
        <f t="shared" ref="AO7:AO10" si="6">IF(COUNTA(H7,J7,L7)=0,"○",
IF(AND(COUNTA(H7,J7,L7)&lt;3,COUNTA(H7,J7,L7)&gt;=1),"×",
IF(COUNTA(H7,J7,L7)=3,"◎")))</f>
        <v>◎</v>
      </c>
      <c r="AP7" s="132" t="str">
        <f>HP!AZ4</f>
        <v>○</v>
      </c>
      <c r="AQ7" s="132" t="str">
        <f t="shared" si="2"/>
        <v>×</v>
      </c>
      <c r="AR7" s="77" t="str">
        <f>IF(AND(AO7="◎",AP7="×"),
"【要修正】以下を確認してください。"&amp;CHAR(10)&amp;"《ホームページ改修費の明細シートをご確認ください》本シートで納品の日付が入力されていますが、明細シートが入力不十分です。",
IF(AND(AO7="◎",AP7="○"),
"【要修正】以下を確認してください。"&amp;CHAR(10)&amp;"《ホームページ改修費の明細シートをご確認ください》本シートで納品の日付が入力されていますが、明細シートが未入力です。",
IF(AND(AO7="◎",AP7="◎"),
"必要情報が全て入力されました。",
IF(AND(AO7="○",AP7="×"),
"【要修正】以下を確認してください。"&amp;CHAR(10)&amp;"《ホームページ改修費の明細シートをご確認ください》入力が不十分です。"&amp;CHAR(10)&amp;
"《このシートをご確認ください》納品の日付が未入力です。",
IF(AND(AO7="○",AP7="○"),
"申請しない場合は入力不要です。",
IF(AND(AO7="○",AP7="◎"),
"【要修正】以下を確認してください。"&amp;CHAR(10)&amp;"《このシートをご確認ください》ホームページ改修費の明細シートは入力されていますが、納品の日付が未入力です。",
IF(AND(AO7="×",AP7="×"),
"【要修正】以下を確認してください。"&amp;CHAR(10)&amp;"《ホームページ改修費の明細シートをご確認ください》入力が不十分です。"&amp;CHAR(10)&amp;
"《このシートをご確認ください》納品の日付が入力不十分です。",
IF(AND(AO7="×",AP7="○"),
"【要修正】以下を確認してください。"&amp;CHAR(10)&amp;"《ホームページ改修費の明細シートをご確認ください》未入力の状態です。"&amp;CHAR(10)&amp;
"《このシートをご確認ください》納品の日付が未入力です。",
IF(AND(AO7="×",AP7="◎"),
"【要修正】以下を確認してください。"&amp;CHAR(10)&amp;"《このシートをご確認ください》納品の日付が未入力です。")))))))))</f>
        <v>【要修正】以下を確認してください。
《ホームページ改修費の明細シートをご確認ください》本シートで納品の日付が入力されていますが、明細シートが未入力です。</v>
      </c>
      <c r="AS7" s="78" t="str">
        <f>IF(AND(AO7="◎",AP7="×"),"ホームページ改修費（１行目）：「明細」シートが入力不十分/",
IF(AND(AO7="◎",AP7="○"),"ホームページ改修費（１行目）：「明細」シートが未入力/",
IF(AND(AO7="◎",AP7="◎"),"",
IF(AND(AO7="○",AP7="×"),"ホームページ改修費（１行目）：「明細」シートが入力不十分、納品の日付が未入力/",
IF(AND(AO7="○",AP7="○"),"",
IF(AND(AO7="○",AP7="◎"),"ホームページ改修費（１行目）：納品の日付が未入力/",
IF(AND(AO7="×",AP7="×"),"ホームページ改修費（１行目）：「明細」シートの入力不十分、納品の日付が未入力/",
IF(AND(AO7="×",AP7="○"),"ホームページ改修費（１行目）：「明細」シートが未入力、納品の日付が入力不十分/",
IF(AND(AO7="×",AP7="◎"),"ホームページ改修費（１行目）：納品の日付が入力不十分/")))))))))</f>
        <v>ホームページ改修費（１行目）：「明細」シートが未入力/</v>
      </c>
      <c r="AT7" s="79">
        <f>ROUNDDOWN(HP!AO3,-3)</f>
        <v>0</v>
      </c>
      <c r="AU7" s="6"/>
      <c r="AV7" s="6"/>
    </row>
    <row r="8" spans="2:49" ht="75" customHeight="1" x14ac:dyDescent="0.65">
      <c r="B8" s="126" t="s">
        <v>285</v>
      </c>
      <c r="C8" s="133" t="str">
        <f t="shared" si="3"/>
        <v/>
      </c>
      <c r="D8" s="138">
        <f>IF(医療機器・サーモ・換気設備!AW67="◎",1,0)</f>
        <v>0</v>
      </c>
      <c r="E8" s="135">
        <f>IF(D8=1,医療機器・サーモ・換気設備!AO4,0)</f>
        <v>0</v>
      </c>
      <c r="F8" s="134">
        <f t="shared" ref="F8:F10" si="7">D8*E8</f>
        <v>0</v>
      </c>
      <c r="G8" s="110" t="s">
        <v>46</v>
      </c>
      <c r="H8" s="155" t="str">
        <f>IF(医療機器・サーモ・換気設備!BB61&lt;&gt;0,医療機器・サーモ・換気設備!BB61,"")</f>
        <v/>
      </c>
      <c r="I8" s="111" t="s">
        <v>48</v>
      </c>
      <c r="J8" s="155" t="str">
        <f>IF(医療機器・サーモ・換気設備!BB62&lt;&gt;0,医療機器・サーモ・換気設備!BB62,"")</f>
        <v/>
      </c>
      <c r="K8" s="111" t="s">
        <v>50</v>
      </c>
      <c r="L8" s="155" t="str">
        <f>IF(医療機器・サーモ・換気設備!BB63&lt;&gt;0,医療機器・サーモ・換気設備!BB63,"")</f>
        <v/>
      </c>
      <c r="M8" s="112" t="s">
        <v>52</v>
      </c>
      <c r="P8" s="1"/>
      <c r="V8" s="9"/>
      <c r="AA8" s="74"/>
      <c r="AB8" s="65"/>
      <c r="AC8" s="70"/>
      <c r="AD8" s="1"/>
      <c r="AE8" s="100" t="str">
        <f t="shared" si="0"/>
        <v/>
      </c>
      <c r="AF8" s="101" t="str">
        <f t="shared" si="1"/>
        <v/>
      </c>
      <c r="AG8" s="102" t="str">
        <f t="shared" si="4"/>
        <v/>
      </c>
      <c r="AH8" s="103" t="str">
        <f t="shared" si="5"/>
        <v/>
      </c>
      <c r="AI8" s="71"/>
      <c r="AJ8" s="65"/>
      <c r="AN8" s="2" t="s">
        <v>45</v>
      </c>
      <c r="AO8" s="132" t="str">
        <f t="shared" si="6"/>
        <v>◎</v>
      </c>
      <c r="AP8" s="132" t="e">
        <f>#REF!</f>
        <v>#REF!</v>
      </c>
      <c r="AQ8" s="132" t="e">
        <f>IF(AND(AO8="◎",AP8="×"),"×",
IF(AND(AO8="◎",AP8="○"),"×",
IF(AND(AO8="◎",AP8="◎"),"◎",
IF(AND(AO8="○",AP8="×"),"×",
IF(AND(AO8="○",AP8="○"),"○",
IF(AND(AO8="○",AP8="◎"),"×",
IF(AND(AO8="×",AP8="×"),"×",
IF(AND(AO8="×",AP8="○"),"×",
IF(AND(AO8="×",AP8="◎"),"×")))))))))</f>
        <v>#REF!</v>
      </c>
      <c r="AR8" s="77" t="e">
        <f>IF(AND(AO8="◎",AP8="×"),"【要修正】以下を確認してください。"&amp;CHAR(10)&amp;"《修繕費のシートをご確認ください》本シートで納品の日付が入力されていますが、員数、防護具情報の入力に不足が有ります。",
IF(AND(AO8="◎",AP8="○"),"【要修正】以下を確認してください。"&amp;CHAR(10)&amp;"《修繕費のシートをご確認ください》本シートで納品の日付が入力されていますが、修繕費の申請情報が未入力となっています。",
IF(AND(AO8="◎",AP8="◎"),"必要情報が全て入力されました。",
IF(AND(AO8="○",AP8="×"),"【要修正】以下を確認してください。"&amp;CHAR(10)&amp;"《修繕費のシートをご確認ください》入力に不足が有ります。"&amp;CHAR(10)&amp;"《このシートをご確認ください》事業完了予定の日付の入力が未入力となっています。",
IF(AND(AO8="○",AP8="○"),"申請しない場合は修繕費シートの入力は不要です。",
IF(AND(AO8="○",AP8="◎"),"【要修正】以下を確認してください。"&amp;CHAR(10)&amp;"《このシートをご確認ください》修繕費のシートに入力されていますが、事業完了予定の日付が未記入となっています。",
IF(AND(AO8="×",AP8="×"),"【要修正】以下を確認してください。"&amp;CHAR(10)&amp;"《修繕費のシートをご確認ください》適切に入力されていない箇所があります。"&amp;CHAR(10)&amp;"《このシートをご確認ください》事業完了予定の日付の入力が不十分です。",
IF(AND(AO8="×",AP8="○"),"【要修正】以下を確認してください。"&amp;CHAR(10)&amp;"《修繕費のシートをご確認ください》情報が入力されていません。"&amp;CHAR(10)&amp;"《このシートをご確認ください》事業完了予定の日付が未記入となっています。",
IF(AND(AO8="×",AP8="◎"),"【要修正】以下を確認してください。"&amp;CHAR(10)&amp;"《このシートをご確認ください》事業完了予定の日付が未記入となっています。")))))))))</f>
        <v>#REF!</v>
      </c>
      <c r="AS8" s="78" t="e">
        <f>IF(AND(AO8="◎",AP8="×"),"修繕費：「明細」シートが入力不十分/",
IF(AND(AO8="◎",AP8="○"),"修繕費：「明細」シートが未入力/",
IF(AND(AO8="◎",AP8="◎"),"",
IF(AND(AO8="○",AP8="×"),"修繕費：「明細」シートが入力不十分、納品の日付が未入力/",
IF(AND(AO8="○",AP8="○"),"",
IF(AND(AO8="○",AP8="◎"),"修繕費：納品の日付が未入力/",
IF(AND(AO8="×",AP8="×"),"修繕費：「明細」シートの入力不十分、納品の日付が未入力/",
IF(AND(AO8="×",AP8="○"),"修繕費：「明細」シートが未入力、納品の日付が入力不十分/",
IF(AND(AO8="×",AP8="◎"),"修繕費：納品の日付が入力不十分/")))))))))</f>
        <v>#REF!</v>
      </c>
      <c r="AT8" s="79" t="e">
        <f>ROUNDDOWN(#REF!,-3)</f>
        <v>#REF!</v>
      </c>
      <c r="AU8" s="6"/>
      <c r="AV8" s="6"/>
    </row>
    <row r="9" spans="2:49" ht="75" customHeight="1" x14ac:dyDescent="0.65">
      <c r="B9" s="126" t="s">
        <v>287</v>
      </c>
      <c r="C9" s="133" t="str">
        <f t="shared" si="3"/>
        <v/>
      </c>
      <c r="D9" s="140">
        <f>IF(医療機器・サーモ・換気設備!AW26="◎",1,0)</f>
        <v>0</v>
      </c>
      <c r="E9" s="135">
        <f>IF(D9=1,医療機器・サーモ・換気設備!AO2,0)</f>
        <v>0</v>
      </c>
      <c r="F9" s="134">
        <f t="shared" si="7"/>
        <v>0</v>
      </c>
      <c r="G9" s="110" t="s">
        <v>46</v>
      </c>
      <c r="H9" s="155" t="str">
        <f>IF(医療機器・サーモ・換気設備!BB33&lt;&gt;0,医療機器・サーモ・換気設備!BB33,"")</f>
        <v/>
      </c>
      <c r="I9" s="111" t="s">
        <v>48</v>
      </c>
      <c r="J9" s="155" t="str">
        <f>IF(医療機器・サーモ・換気設備!BB34&lt;&gt;0,医療機器・サーモ・換気設備!BB34,"")</f>
        <v/>
      </c>
      <c r="K9" s="111" t="s">
        <v>50</v>
      </c>
      <c r="L9" s="155" t="str">
        <f>IF(医療機器・サーモ・換気設備!BB35&lt;&gt;0,医療機器・サーモ・換気設備!BB35,"")</f>
        <v/>
      </c>
      <c r="M9" s="112" t="s">
        <v>52</v>
      </c>
      <c r="P9" s="1"/>
      <c r="V9" s="2"/>
      <c r="AA9" s="74"/>
      <c r="AB9" s="65"/>
      <c r="AC9" s="70"/>
      <c r="AD9" s="1"/>
      <c r="AE9" s="100" t="str">
        <f t="shared" si="0"/>
        <v/>
      </c>
      <c r="AF9" s="101" t="str">
        <f t="shared" si="1"/>
        <v/>
      </c>
      <c r="AG9" s="102" t="str">
        <f t="shared" si="4"/>
        <v/>
      </c>
      <c r="AH9" s="103" t="str">
        <f t="shared" si="5"/>
        <v/>
      </c>
      <c r="AI9" s="71"/>
      <c r="AJ9" s="65"/>
      <c r="AN9" s="2" t="s">
        <v>45</v>
      </c>
      <c r="AO9" s="132" t="str">
        <f t="shared" si="6"/>
        <v>◎</v>
      </c>
      <c r="AP9" s="132" t="str">
        <f>医療機器・サーモ・換気設備!BG16</f>
        <v>×</v>
      </c>
      <c r="AQ9" s="132" t="str">
        <f t="shared" ref="AQ9:AQ10" si="8">IF(AND(AO9="◎",AP9="×"),"×",
IF(AND(AO9="◎",AP9="○"),"×",
IF(AND(AO9="◎",AP9="◎"),"◎",
IF(AND(AO9="○",AP9="×"),"×",
IF(AND(AO9="○",AP9="○"),"○",
IF(AND(AO9="○",AP9="◎"),"×",
IF(AND(AO9="×",AP9="×"),"×",
IF(AND(AO9="×",AP9="○"),"×",
IF(AND(AO9="×",AP9="◎"),"×")))))))))</f>
        <v>×</v>
      </c>
      <c r="AR9" s="77" t="str">
        <f>IF(AND(AO9="◎",AP9="×"),
"【要修正】以下を確認してください。"&amp;CHAR(10)&amp;"《医療機器の明細シートをご確認ください》本シートで納品の日付が入力されていますが、明細シートが入力不十分です。",
IF(AND(AO9="◎",AP9="○"),
"【要修正】以下を確認してください。"&amp;CHAR(10)&amp;"《医療機器の明細シートをご確認ください》本シートで納品の日付が入力されていますが、明細シートが未入力です。",
IF(AND(AO9="◎",AP9="◎"),
"必要情報が全て入力されました。",
IF(AND(AO9="○",AP9="×"),
"【要修正】以下を確認してください。"&amp;CHAR(10)&amp;"《医療機器の明細シートをご確認ください》入力が不十分です。"&amp;CHAR(10)&amp;
"《このシートをご確認ください》納品の日付が未入力です。",
IF(AND(AO9="○",AP9="○"),
"申請しない場合は入力不要です。",
IF(AND(AO9="○",AP9="◎"),
"【要修正】以下を確認してください。"&amp;CHAR(10)&amp;"《このシートをご確認ください》医療機器の明細シートは入力されていますが、納品の日付が未入力です。",
IF(AND(AO9="×",AP9="×"),
"【要修正】以下を確認してください。"&amp;CHAR(10)&amp;"《医療機器の明細シートをご確認ください》入力が不十分です。"&amp;CHAR(10)&amp;
"《このシートをご確認ください》納品の日付が入力不十分です。",
IF(AND(AO9="×",AP9="○"),
"【要修正】以下を確認してください。"&amp;CHAR(10)&amp;"《医療機器の明細シートをご確認ください》未入力の状態です。"&amp;CHAR(10)&amp;
"《このシートをご確認ください》納品の日付が未入力です。",
IF(AND(AO9="×",AP9="◎"),
"【要修正】以下を確認してください。"&amp;CHAR(10)&amp;"《このシートをご確認ください》納品の日付が未入力です。")))))))))</f>
        <v>【要修正】以下を確認してください。
《医療機器の明細シートをご確認ください》本シートで納品の日付が入力されていますが、明細シートが入力不十分です。</v>
      </c>
      <c r="AS9" s="78" t="str">
        <f>IF(AND(AO9="◎",AP9="×"),"医療機器（１行目）：「明細」シートが入力不十分/",
IF(AND(AO9="◎",AP9="○"),"医療機器（１行目）：「明細」シートが未入力/",
IF(AND(AO9="◎",AP9="◎"),"",
IF(AND(AO9="○",AP9="×"),"医療機器（１行目）：「明細」シートが入力不十分、納品の日付が未入力/",
IF(AND(AO9="○",AP9="○"),"",
IF(AND(AO9="○",AP9="◎"),"医療機器（１行目）：納品の日付が未入力/",
IF(AND(AO9="×",AP9="×"),"医療機器（１行目）：「明細」シートの入力不十分、納品の日付が未入力/",
IF(AND(AO9="×",AP9="○"),"医療機器（１行目）：「明細」シートが未入力、納品の日付が入力不十分/",
IF(AND(AO9="×",AP9="◎"),"医療機器（１行目）：納品の日付が入力不十分/")))))))))</f>
        <v>医療機器（１行目）：「明細」シートが入力不十分/</v>
      </c>
      <c r="AT9" s="79">
        <f>ROUNDDOWN(医療機器・サーモ・換気設備!AQ16,-3)</f>
        <v>0</v>
      </c>
      <c r="AU9" s="6"/>
      <c r="AV9" s="6"/>
    </row>
    <row r="10" spans="2:49" ht="75" customHeight="1" thickBot="1" x14ac:dyDescent="0.7">
      <c r="B10" s="126" t="s">
        <v>286</v>
      </c>
      <c r="C10" s="133" t="str">
        <f t="shared" si="3"/>
        <v/>
      </c>
      <c r="D10" s="140">
        <f>IF(医療機器・サーモ・換気設備!AW41="◎",1,0)</f>
        <v>0</v>
      </c>
      <c r="E10" s="136">
        <f>IF(D10=1,医療機器・サーモ・換気設備!AO3,0)</f>
        <v>0</v>
      </c>
      <c r="F10" s="137">
        <f t="shared" si="7"/>
        <v>0</v>
      </c>
      <c r="G10" s="10" t="s">
        <v>46</v>
      </c>
      <c r="H10" s="156" t="str">
        <f>IF(医療機器・サーモ・換気設備!BC40&lt;&gt;0,医療機器・サーモ・換気設備!BC40,"")</f>
        <v/>
      </c>
      <c r="I10" s="11" t="s">
        <v>48</v>
      </c>
      <c r="J10" s="156" t="str">
        <f>IF(医療機器・サーモ・換気設備!BC41&lt;&gt;0,医療機器・サーモ・換気設備!BC41,"")</f>
        <v/>
      </c>
      <c r="K10" s="11" t="s">
        <v>50</v>
      </c>
      <c r="L10" s="156" t="str">
        <f>IF(医療機器・サーモ・換気設備!BC42&lt;&gt;0,医療機器・サーモ・換気設備!BC42,"")</f>
        <v/>
      </c>
      <c r="M10" s="12" t="s">
        <v>52</v>
      </c>
      <c r="P10" s="1"/>
      <c r="V10" s="2"/>
      <c r="AA10" s="74"/>
      <c r="AB10" s="65"/>
      <c r="AC10" s="70"/>
      <c r="AD10" s="1"/>
      <c r="AE10" s="100" t="str">
        <f t="shared" si="0"/>
        <v/>
      </c>
      <c r="AF10" s="101" t="str">
        <f t="shared" si="1"/>
        <v/>
      </c>
      <c r="AG10" s="102" t="str">
        <f t="shared" si="4"/>
        <v/>
      </c>
      <c r="AH10" s="103" t="str">
        <f t="shared" si="5"/>
        <v/>
      </c>
      <c r="AI10" s="71"/>
      <c r="AJ10" s="65"/>
      <c r="AN10" s="2" t="s">
        <v>45</v>
      </c>
      <c r="AO10" s="132" t="str">
        <f t="shared" si="6"/>
        <v>◎</v>
      </c>
      <c r="AP10" s="132" t="str">
        <f>医療機器・サーモ・換気設備!BG41</f>
        <v>×</v>
      </c>
      <c r="AQ10" s="132" t="str">
        <f t="shared" si="8"/>
        <v>×</v>
      </c>
      <c r="AR10" s="77" t="str">
        <f>IF(AND(AO10="◎",AP10="×"),
"【要修正】以下を確認してください。"&amp;CHAR(10)&amp;"《非接触サーモグラフィーカメラの明細シートをご確認ください》本シートで納品の日付が入力されていますが、明細シートが入力不十分です。",
IF(AND(AO10="◎",AP10="○"),
"【要修正】以下を確認してください。"&amp;CHAR(10)&amp;"《非接触サーモグラフィーカメラの明細シートをご確認ください》本シートで納品の日付が入力されていますが、明細シートが未入力です。",
IF(AND(AO10="◎",AP10="◎"),
"必要情報が全て入力されました。",
IF(AND(AO10="○",AP10="×"),
"【要修正】以下を確認してください。"&amp;CHAR(10)&amp;"《非接触サーモグラフィーカメラの明細シートをご確認ください》入力が不十分です。"&amp;CHAR(10)&amp;
"《このシートをご確認ください》納品の日付が未入力です。",
IF(AND(AO10="○",AP10="○"),
"申請しない場合は入力不要です。",
IF(AND(AO10="○",AP10="◎"),
"【要修正】以下を確認してください。"&amp;CHAR(10)&amp;"《このシートをご確認ください》非接触サーモグラフィーカメラの明細シートは入力されていますが、納品の日付が未入力です。",
IF(AND(AO10="×",AP10="×"),
"【要修正】以下を確認してください。"&amp;CHAR(10)&amp;"《非接触サーモグラフィーカメラの明細シートをご確認ください》入力が不十分です。"&amp;CHAR(10)&amp;
"《このシートをご確認ください》納品の日付が入力不十分です。",
IF(AND(AO10="×",AP10="○"),
"【要修正】以下を確認してください。"&amp;CHAR(10)&amp;"《非接触サーモグラフィーカメラの明細シートをご確認ください》未入力の状態です。"&amp;CHAR(10)&amp;
"《このシートをご確認ください》納品の日付が未入力です。",
IF(AND(AO10="×",AP10="◎"),
"【要修正】以下を確認してください。"&amp;CHAR(10)&amp;"《このシートをご確認ください》納品の日付が未入力です。")))))))))</f>
        <v>【要修正】以下を確認してください。
《非接触サーモグラフィーカメラの明細シートをご確認ください》本シートで納品の日付が入力されていますが、明細シートが入力不十分です。</v>
      </c>
      <c r="AS10" s="78" t="str">
        <f xml:space="preserve">
IF(AND(AO10="◎",AP10="×"),"非接触サーモグラフィーカメラ：「明細」シートが入力不十分。/",
IF(AND(AO10="◎",AP10="○"),"非接触サーモグラフィーカメラ：「明細」シートが未入力。/",
IF(AND(AO10="◎",AP10="◎"),"",
IF(AND(AO10="○",AP10="×"),"非接触サーモグラフィーカメラ：納品の日付が未入力、「明細」シートが入力不十分/",
IF(AND(AO10="○",AP10="○"),"",
IF(AND(AO10="○",AP10="◎"),"非接触サーモグラフィーカメラ：納品の日付が未入力/",
IF(AND(AO10="×",AP10="×"),"非接触サーモグラフィーカメラ：納品の日付及び「明細」シートの入力がいずれも不十分/",
IF(AND(AO10="×",AP10="○"),"非接触サーモグラフィーカメラ：納品の日付が入力不十分、「明細」シートが未入力/",
IF(AND(AO10="×",AP10="◎"),"非接触サーモグラフィーカメラ：納品の日付が入力不十分/")))))))))</f>
        <v>非接触サーモグラフィーカメラ：「明細」シートが入力不十分。/</v>
      </c>
      <c r="AT10" s="79">
        <f>ROUNDDOWN(医療機器・サーモ・換気設備!AG41,-3)</f>
        <v>0</v>
      </c>
      <c r="AU10" s="6"/>
      <c r="AV10" s="6"/>
    </row>
    <row r="11" spans="2:49" ht="75" customHeight="1" thickTop="1" x14ac:dyDescent="0.65">
      <c r="B11" s="13" t="s">
        <v>41</v>
      </c>
      <c r="C11" s="15"/>
      <c r="D11" s="14"/>
      <c r="E11" s="16"/>
      <c r="F11" s="17">
        <f ca="1">SUM(F6:F10)</f>
        <v>0</v>
      </c>
      <c r="G11" s="822"/>
      <c r="H11" s="823"/>
      <c r="I11" s="823"/>
      <c r="J11" s="823"/>
      <c r="K11" s="823"/>
      <c r="L11" s="823"/>
      <c r="M11" s="824"/>
      <c r="P11" s="1"/>
      <c r="AA11" s="18"/>
      <c r="AD11" s="1"/>
      <c r="AF11" s="65"/>
      <c r="AG11" s="72"/>
      <c r="AH11" s="65"/>
      <c r="AI11" s="65"/>
      <c r="AJ11" s="65"/>
      <c r="AN11" s="2"/>
      <c r="AO11" s="2"/>
      <c r="AR11" s="4"/>
      <c r="AS11" s="75"/>
      <c r="AT11" s="75"/>
      <c r="AU11" s="1"/>
      <c r="AV11" s="1"/>
    </row>
    <row r="12" spans="2:49" ht="30" customHeight="1" x14ac:dyDescent="0.65">
      <c r="AT12" s="1">
        <f ca="1">COUNTIF(AQ6:AQ10,"○")</f>
        <v>0</v>
      </c>
    </row>
  </sheetData>
  <sheetProtection algorithmName="SHA-512" hashValue="jNRqAds+bU4bDH1C/RTPEgmk30TIZteVvxW2hzJofYkqdAlY9nYPQtTVzsqOHZMsJaGlYgHz3oEpij/TVoc5fA==" saltValue="F4I4D9fxK8+kbONIhwJHdg==" spinCount="100000" sheet="1" formatCells="0" formatColumns="0" formatRows="0"/>
  <mergeCells count="16">
    <mergeCell ref="J1:P1"/>
    <mergeCell ref="AO4:AO5"/>
    <mergeCell ref="AP4:AP5"/>
    <mergeCell ref="G4:M4"/>
    <mergeCell ref="G5:I5"/>
    <mergeCell ref="J5:K5"/>
    <mergeCell ref="L5:M5"/>
    <mergeCell ref="AU2:AU3"/>
    <mergeCell ref="AQ4:AQ5"/>
    <mergeCell ref="C4:F4"/>
    <mergeCell ref="B4:B5"/>
    <mergeCell ref="G11:M11"/>
    <mergeCell ref="B2:P2"/>
    <mergeCell ref="AR4:AR5"/>
    <mergeCell ref="AR2:AS3"/>
    <mergeCell ref="AT2:AT3"/>
  </mergeCells>
  <phoneticPr fontId="1"/>
  <conditionalFormatting sqref="AR6:AR10">
    <cfRule type="containsText" dxfId="64" priority="3" operator="containsText" text="【要修正】">
      <formula>NOT(ISERROR(SEARCH("【要修正】",AR6)))</formula>
    </cfRule>
    <cfRule type="cellIs" dxfId="63" priority="8" operator="equal">
      <formula>"型番、数量、単価（税込）の一部欄のみ入力されています。申請する場合は黄色セルを全て入力してください。"</formula>
    </cfRule>
  </conditionalFormatting>
  <conditionalFormatting sqref="AR6:AR10">
    <cfRule type="containsText" dxfId="62" priority="4" operator="containsText" text="一部欄">
      <formula>NOT(ISERROR(SEARCH("一部欄",AR6)))</formula>
    </cfRule>
    <cfRule type="cellIs" dxfId="61" priority="5" operator="equal">
      <formula>"型番、数量、単価（税込）の一部欄のみ入力されています。申請する場合は黄色セルを全て入力してください。"</formula>
    </cfRule>
    <cfRule type="cellIs" dxfId="60" priority="6" operator="equal">
      <formula>"型番、数量、単価（税込）の一部欄のみ入力されています。申請する場合は黄色セルを全て入力してください。"</formula>
    </cfRule>
  </conditionalFormatting>
  <conditionalFormatting sqref="AT2 AO6:AQ10">
    <cfRule type="containsText" dxfId="59" priority="2" operator="containsText" text="×">
      <formula>NOT(ISERROR(SEARCH("×",AO2)))</formula>
    </cfRule>
  </conditionalFormatting>
  <conditionalFormatting sqref="AU2:AU3">
    <cfRule type="containsText" dxfId="58" priority="1" operator="containsText" text="要修正">
      <formula>NOT(ISERROR(SEARCH("要修正",AU2)))</formula>
    </cfRule>
  </conditionalFormatting>
  <dataValidations xWindow="1153" yWindow="1032" count="5">
    <dataValidation allowBlank="1" showInputMessage="1" showErrorMessage="1" promptTitle="税込金額を入力" prompt="数量１あたりの税込金額を入力してください。" sqref="E6:E10" xr:uid="{00000000-0002-0000-0600-000000000000}"/>
    <dataValidation allowBlank="1" showInputMessage="1" showErrorMessage="1" promptTitle="数量を入力" prompt="購入（またはリース）の数量を入力してください。" sqref="D6:D8 D10" xr:uid="{00000000-0002-0000-0600-000001000000}"/>
    <dataValidation allowBlank="1" showErrorMessage="1" promptTitle="型番を入力" prompt="購入する備品の型番を入力してください。" sqref="D9" xr:uid="{00000000-0002-0000-0600-000003000000}"/>
    <dataValidation allowBlank="1" showErrorMessage="1" promptTitle="自動で表示されます。" prompt="当該欄は、左の黄色の欄「型番」に入力された名称が自動で表示されます。" sqref="C6:C10" xr:uid="{00000000-0002-0000-0600-000005000000}"/>
    <dataValidation allowBlank="1" showInputMessage="1" showErrorMessage="1" promptTitle="自動で表示されます。" prompt="当該欄は、左の欄「数量」及び「単価」を入力すると自動計算で表示されます。" sqref="F6:F10" xr:uid="{00000000-0002-0000-0600-000006000000}"/>
  </dataValidations>
  <printOptions horizontalCentered="1"/>
  <pageMargins left="0.59055118110236227" right="0.39370078740157483" top="0.59055118110236227" bottom="0.3937007874015748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28</vt:i4>
      </vt:variant>
    </vt:vector>
  </HeadingPairs>
  <TitlesOfParts>
    <vt:vector size="42" baseType="lpstr">
      <vt:lpstr>テーブル</vt:lpstr>
      <vt:lpstr>台帳貼り付け用</vt:lpstr>
      <vt:lpstr>はじめに入力してください</vt:lpstr>
      <vt:lpstr>基本情報</vt:lpstr>
      <vt:lpstr>振込先情報</vt:lpstr>
      <vt:lpstr>事前協議書</vt:lpstr>
      <vt:lpstr>表紙</vt:lpstr>
      <vt:lpstr>経費書</vt:lpstr>
      <vt:lpstr>額内訳書</vt:lpstr>
      <vt:lpstr>看板</vt:lpstr>
      <vt:lpstr>HP</vt:lpstr>
      <vt:lpstr>医療機器・サーモ・換気設備</vt:lpstr>
      <vt:lpstr>歳入歳出抄本</vt:lpstr>
      <vt:lpstr>審査意見書</vt:lpstr>
      <vt:lpstr>HP!Print_Area</vt:lpstr>
      <vt:lpstr>はじめに入力してください!Print_Area</vt:lpstr>
      <vt:lpstr>医療機器・サーモ・換気設備!Print_Area</vt:lpstr>
      <vt:lpstr>額内訳書!Print_Area</vt:lpstr>
      <vt:lpstr>看板!Print_Area</vt:lpstr>
      <vt:lpstr>基本情報!Print_Area</vt:lpstr>
      <vt:lpstr>経費書!Print_Area</vt:lpstr>
      <vt:lpstr>歳入歳出抄本!Print_Area</vt:lpstr>
      <vt:lpstr>事前協議書!Print_Area</vt:lpstr>
      <vt:lpstr>審査意見書!Print_Area</vt:lpstr>
      <vt:lpstr>振込先情報!Print_Area</vt:lpstr>
      <vt:lpstr>表紙!Print_Area</vt:lpstr>
      <vt:lpstr>額内訳書!Print_Titles</vt:lpstr>
      <vt:lpstr>令和5年</vt:lpstr>
      <vt:lpstr>令和5年10月</vt:lpstr>
      <vt:lpstr>令和5年11月</vt:lpstr>
      <vt:lpstr>令和5年12月</vt:lpstr>
      <vt:lpstr>令和5年3月</vt:lpstr>
      <vt:lpstr>令和5年4月</vt:lpstr>
      <vt:lpstr>令和5年5月</vt:lpstr>
      <vt:lpstr>令和5年6月</vt:lpstr>
      <vt:lpstr>令和5年7月</vt:lpstr>
      <vt:lpstr>令和5年8月</vt:lpstr>
      <vt:lpstr>令和5年9月</vt:lpstr>
      <vt:lpstr>令和6年</vt:lpstr>
      <vt:lpstr>令和6年1月</vt:lpstr>
      <vt:lpstr>令和6年2月</vt:lpstr>
      <vt:lpstr>令和6年3月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橋口　将彦</cp:lastModifiedBy>
  <cp:lastPrinted>2024-03-12T02:17:06Z</cp:lastPrinted>
  <dcterms:created xsi:type="dcterms:W3CDTF">2021-01-14T08:33:35Z</dcterms:created>
  <dcterms:modified xsi:type="dcterms:W3CDTF">2024-03-22T01:08:43Z</dcterms:modified>
</cp:coreProperties>
</file>