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rec.inst\gyosei\project_R03\2021062_あいちMT2\22_定量評価改良・利用マニュアルの修正\"/>
    </mc:Choice>
  </mc:AlternateContent>
  <xr:revisionPtr revIDLastSave="0" documentId="13_ncr:1_{10BC0B78-D91E-4212-A856-2A57A79A475F}" xr6:coauthVersionLast="47" xr6:coauthVersionMax="47" xr10:uidLastSave="{00000000-0000-0000-0000-000000000000}"/>
  <workbookProtection workbookAlgorithmName="SHA-512" workbookHashValue="xF72TUVDL51OyzfONTaoCml2bbn/9jctP/8htNLpvt5K1XsowihksLRCsWOb6XFKtbQJ2+nFDK9PJNRa5qi1OQ==" workbookSaltValue="zydwy38i7XHWY763JjAVHg==" workbookSpinCount="100000" lockStructure="1"/>
  <bookViews>
    <workbookView xWindow="-120" yWindow="-120" windowWidth="20730" windowHeight="11160" tabRatio="834" xr2:uid="{00000000-000D-0000-FFFF-FFFF00000000}"/>
  </bookViews>
  <sheets>
    <sheet name="表紙" sheetId="26" r:id="rId1"/>
    <sheet name="はじめに" sheetId="3" r:id="rId2"/>
    <sheet name="基本情報" sheetId="16" r:id="rId3"/>
    <sheet name="リスト" sheetId="17" state="hidden" r:id="rId4"/>
    <sheet name="推奨植物" sheetId="23" r:id="rId5"/>
    <sheet name="推奨植物DB" sheetId="24" state="hidden" r:id="rId6"/>
    <sheet name="環境条件(現況)" sheetId="15" r:id="rId7"/>
    <sheet name="環境タイプⅡによる点数DB" sheetId="20" state="hidden" r:id="rId8"/>
    <sheet name="環境タイプⅠによる点数DB" sheetId="25" state="hidden" r:id="rId9"/>
    <sheet name="環境条件(竣工時)" sheetId="28" r:id="rId10"/>
    <sheet name="環境条件(将来)" sheetId="29" r:id="rId11"/>
    <sheet name="評価結果" sheetId="6" r:id="rId12"/>
    <sheet name="開発の代償に充当する場合" sheetId="27" r:id="rId13"/>
    <sheet name="市町村・植物種ごとの樹林点数DB" sheetId="9" state="hidden" r:id="rId14"/>
    <sheet name="上層の植生DB" sheetId="18" state="hidden" r:id="rId15"/>
    <sheet name="上層の種不特定の上層点数DB" sheetId="19" state="hidden" r:id="rId16"/>
    <sheet name="割合DB" sheetId="21" state="hidden" r:id="rId17"/>
    <sheet name="ver" sheetId="30" r:id="rId18"/>
  </sheets>
  <definedNames>
    <definedName name="_xlnm._FilterDatabase" localSheetId="13" hidden="1">市町村・植物種ごとの樹林点数DB!$A$1:$F$719</definedName>
    <definedName name="_xlnm._FilterDatabase" localSheetId="5" hidden="1">推奨植物DB!$A$2:$P$63</definedName>
    <definedName name="○">リスト!$O$1</definedName>
    <definedName name="_xlnm.Print_Area" localSheetId="6">'環境条件(現況)'!$A$1:$P$74</definedName>
    <definedName name="_xlnm.Print_Area" localSheetId="9">'環境条件(竣工時)'!$A$1:$P$74</definedName>
    <definedName name="_xlnm.Print_Area" localSheetId="10">'環境条件(将来)'!$A$1:$P$74</definedName>
    <definedName name="_xlnm.Print_Area" localSheetId="2">基本情報!$A$1:$C$47</definedName>
    <definedName name="_xlnm.Print_Area" localSheetId="4">推奨植物!$A$1:$C$17</definedName>
    <definedName name="_xlnm.Print_Area" localSheetId="11">評価結果!$A$1:$L$52</definedName>
    <definedName name="_xlnm.Print_Titles" localSheetId="6">'環境条件(現況)'!$1:$3</definedName>
    <definedName name="_xlnm.Print_Titles" localSheetId="9">'環境条件(竣工時)'!$1:$3</definedName>
    <definedName name="_xlnm.Print_Titles" localSheetId="10">'環境条件(将来)'!$1:$3</definedName>
    <definedName name="temp01">リスト!$P$1:$P$12</definedName>
    <definedName name="ある・ない">リスト!$X$1:$X$2</definedName>
    <definedName name="ネットワーク" localSheetId="3">リスト!$L$1:$L$3</definedName>
    <definedName name="ネットワーク">#REF!</definedName>
    <definedName name="はい・いいえ">リスト!$D$1:$D$2</definedName>
    <definedName name="まとまり" localSheetId="3">リスト!$K$1:$K$3</definedName>
    <definedName name="まとまり">#REF!</definedName>
    <definedName name="亜高木" localSheetId="3">リスト!#REF!</definedName>
    <definedName name="亜高木">#REF!</definedName>
    <definedName name="過去" localSheetId="3">リスト!$J$1:$J$8</definedName>
    <definedName name="過去">#REF!</definedName>
    <definedName name="過去の履歴">リスト!$J$1:$J$6</definedName>
    <definedName name="開発行為">リスト!$G$1:$G$7</definedName>
    <definedName name="環境タイプ" localSheetId="3">リスト!$M$1:$M$4</definedName>
    <definedName name="環境タイプ">#REF!</definedName>
    <definedName name="環境タイプⅠ">リスト!$M$1:$M$4</definedName>
    <definedName name="環境タイプⅡ">リスト!$P$1:$P$13</definedName>
    <definedName name="含まれている_いない">リスト!$H$1:$H$3</definedName>
    <definedName name="貴重な環境1">リスト!$H$1:$H$3</definedName>
    <definedName name="貴重な環境2">リスト!$I$1:$I$5</definedName>
    <definedName name="計画外来種" localSheetId="3">リスト!$S$1:$S$3</definedName>
    <definedName name="計画外来種">#REF!</definedName>
    <definedName name="五段階割合">リスト!$U$1:$U$6</definedName>
    <definedName name="行為の種類" localSheetId="3">リスト!$B$1:$B$9</definedName>
    <definedName name="行為の種類">#REF!</definedName>
    <definedName name="最上層" localSheetId="3">リスト!$R$1:$R$28</definedName>
    <definedName name="最上層">#REF!</definedName>
    <definedName name="在来種割合">リスト!$S$1:$S$6</definedName>
    <definedName name="市町村">リスト!$B$1:$B$60</definedName>
    <definedName name="事業前外来種" localSheetId="3">リスト!$T$1:$T$3</definedName>
    <definedName name="事業前外来種">#REF!</definedName>
    <definedName name="事業段階" localSheetId="3">リスト!#REF!</definedName>
    <definedName name="事業段階">#REF!</definedName>
    <definedName name="上層の植生">リスト!$R$1:$R$20</definedName>
    <definedName name="植生成立想定">リスト!$A$1:$A$4</definedName>
    <definedName name="中層有無">リスト!$T$1:$T$3</definedName>
    <definedName name="調整" localSheetId="3">リスト!$N$1:$N$3</definedName>
    <definedName name="調整">#REF!</definedName>
    <definedName name="半分以上が在来種" localSheetId="3">リスト!$T$1:$T$3</definedName>
    <definedName name="半分以上が在来種">#REF!</definedName>
    <definedName name="目標環境タイプの変更">リスト!$N$1:$N$3</definedName>
    <definedName name="有無">リスト!$V$1:$V$3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8" i="15" l="1"/>
  <c r="A43" i="16"/>
  <c r="A37" i="16" l="1"/>
  <c r="A47" i="16"/>
  <c r="A38" i="16" l="1"/>
  <c r="A42" i="16"/>
  <c r="A49" i="16"/>
  <c r="A48" i="16"/>
  <c r="I18" i="6"/>
  <c r="I19" i="6" s="1"/>
  <c r="H19" i="6"/>
  <c r="A16" i="16" l="1"/>
  <c r="A17" i="16"/>
  <c r="A18" i="16"/>
  <c r="S10" i="29" l="1"/>
  <c r="S11" i="29"/>
  <c r="S12" i="29"/>
  <c r="S13" i="29"/>
  <c r="S14" i="29"/>
  <c r="S15" i="29"/>
  <c r="S16" i="29"/>
  <c r="S17" i="29"/>
  <c r="S18" i="29"/>
  <c r="S19" i="29"/>
  <c r="S20" i="29"/>
  <c r="S21" i="29"/>
  <c r="S22" i="29"/>
  <c r="S23" i="29"/>
  <c r="S24" i="29"/>
  <c r="S25" i="29"/>
  <c r="S26" i="29"/>
  <c r="S27" i="29"/>
  <c r="S28" i="29"/>
  <c r="S29" i="29"/>
  <c r="S30" i="29"/>
  <c r="S31" i="29"/>
  <c r="S32" i="29"/>
  <c r="S33" i="29"/>
  <c r="S34" i="29"/>
  <c r="S35" i="29"/>
  <c r="S36" i="29"/>
  <c r="S37" i="29"/>
  <c r="S38" i="29"/>
  <c r="S39" i="29"/>
  <c r="S40" i="29"/>
  <c r="S41" i="29"/>
  <c r="S42" i="29"/>
  <c r="S43" i="29"/>
  <c r="S44" i="29"/>
  <c r="S45" i="29"/>
  <c r="S46" i="29"/>
  <c r="S47" i="29"/>
  <c r="S48" i="29"/>
  <c r="S49" i="29"/>
  <c r="S50" i="29"/>
  <c r="S51" i="29"/>
  <c r="S52" i="29"/>
  <c r="S53" i="29"/>
  <c r="S54" i="29"/>
  <c r="S55" i="29"/>
  <c r="S56" i="29"/>
  <c r="S57" i="29"/>
  <c r="S58" i="29"/>
  <c r="S59" i="29"/>
  <c r="S60" i="29"/>
  <c r="S61" i="29"/>
  <c r="S62" i="29"/>
  <c r="S63" i="29"/>
  <c r="S64" i="29"/>
  <c r="S65" i="29"/>
  <c r="S66" i="29"/>
  <c r="S67" i="29"/>
  <c r="S68" i="29"/>
  <c r="S69" i="29"/>
  <c r="S70" i="29"/>
  <c r="S71" i="29"/>
  <c r="S72" i="29"/>
  <c r="S73" i="29"/>
  <c r="BI4" i="29"/>
  <c r="BI73" i="29"/>
  <c r="BI72" i="29"/>
  <c r="BI71" i="29"/>
  <c r="BI70" i="29"/>
  <c r="BI69" i="29"/>
  <c r="BI68" i="29"/>
  <c r="BI67" i="29"/>
  <c r="BI66" i="29"/>
  <c r="BI65" i="29"/>
  <c r="BI64" i="29"/>
  <c r="BI63" i="29"/>
  <c r="BI62" i="29"/>
  <c r="BI61" i="29"/>
  <c r="BI60" i="29"/>
  <c r="BI59" i="29"/>
  <c r="BI58" i="29"/>
  <c r="BI57" i="29"/>
  <c r="BI56" i="29"/>
  <c r="BI55" i="29"/>
  <c r="BI54" i="29"/>
  <c r="BI53" i="29"/>
  <c r="BI52" i="29"/>
  <c r="BI51" i="29"/>
  <c r="BI50" i="29"/>
  <c r="BI49" i="29"/>
  <c r="BI48" i="29"/>
  <c r="BI47" i="29"/>
  <c r="BI46" i="29"/>
  <c r="BI45" i="29"/>
  <c r="BI44" i="29"/>
  <c r="BI43" i="29"/>
  <c r="BI42" i="29"/>
  <c r="BI41" i="29"/>
  <c r="BI40" i="29"/>
  <c r="BI39" i="29"/>
  <c r="BI38" i="29"/>
  <c r="BI37" i="29"/>
  <c r="BI36" i="29"/>
  <c r="BI35" i="29"/>
  <c r="BI34" i="29"/>
  <c r="BI33" i="29"/>
  <c r="BI32" i="29"/>
  <c r="BI31" i="29"/>
  <c r="BI30" i="29"/>
  <c r="BI29" i="29"/>
  <c r="BI28" i="29"/>
  <c r="BI27" i="29"/>
  <c r="BI26" i="29"/>
  <c r="BI25" i="29"/>
  <c r="BI24" i="29"/>
  <c r="BI23" i="29"/>
  <c r="BI22" i="29"/>
  <c r="BI21" i="29"/>
  <c r="BI20" i="29"/>
  <c r="BI19" i="29"/>
  <c r="BI18" i="29"/>
  <c r="BI17" i="29"/>
  <c r="BI16" i="29"/>
  <c r="BI15" i="29"/>
  <c r="BI14" i="29"/>
  <c r="BI13" i="29"/>
  <c r="BI12" i="29"/>
  <c r="BI11" i="29"/>
  <c r="BI10" i="29"/>
  <c r="BI9" i="29"/>
  <c r="BI8" i="29"/>
  <c r="BI7" i="29"/>
  <c r="BI6" i="29"/>
  <c r="BI5" i="29"/>
  <c r="S10" i="28"/>
  <c r="S11" i="28"/>
  <c r="S12" i="28"/>
  <c r="S13" i="28"/>
  <c r="S14" i="28"/>
  <c r="S15" i="28"/>
  <c r="S16" i="28"/>
  <c r="S17" i="28"/>
  <c r="S18" i="28"/>
  <c r="S19" i="28"/>
  <c r="S20" i="28"/>
  <c r="S21" i="28"/>
  <c r="S22" i="28"/>
  <c r="S23" i="28"/>
  <c r="S24" i="28"/>
  <c r="S25" i="28"/>
  <c r="S26" i="28"/>
  <c r="S27" i="28"/>
  <c r="S28" i="28"/>
  <c r="S29" i="28"/>
  <c r="S30" i="28"/>
  <c r="S31" i="28"/>
  <c r="S32" i="28"/>
  <c r="S33" i="28"/>
  <c r="S34" i="28"/>
  <c r="S35" i="28"/>
  <c r="S36" i="28"/>
  <c r="S37" i="28"/>
  <c r="S38" i="28"/>
  <c r="S39" i="28"/>
  <c r="S40" i="28"/>
  <c r="S41" i="28"/>
  <c r="S42" i="28"/>
  <c r="S43" i="28"/>
  <c r="S44" i="28"/>
  <c r="S45" i="28"/>
  <c r="S46" i="28"/>
  <c r="S47" i="28"/>
  <c r="S48" i="28"/>
  <c r="S49" i="28"/>
  <c r="S50" i="28"/>
  <c r="S51" i="28"/>
  <c r="S52" i="28"/>
  <c r="S53" i="28"/>
  <c r="S54" i="28"/>
  <c r="S55" i="28"/>
  <c r="S56" i="28"/>
  <c r="S57" i="28"/>
  <c r="S58" i="28"/>
  <c r="S59" i="28"/>
  <c r="S60" i="28"/>
  <c r="S61" i="28"/>
  <c r="S62" i="28"/>
  <c r="S63" i="28"/>
  <c r="S64" i="28"/>
  <c r="S65" i="28"/>
  <c r="S66" i="28"/>
  <c r="S67" i="28"/>
  <c r="S68" i="28"/>
  <c r="S69" i="28"/>
  <c r="S70" i="28"/>
  <c r="S71" i="28"/>
  <c r="S72" i="28"/>
  <c r="S73" i="28"/>
  <c r="BI5" i="28"/>
  <c r="BI6" i="28"/>
  <c r="BI7" i="28"/>
  <c r="BI8" i="28"/>
  <c r="BI9" i="28"/>
  <c r="BI10" i="28"/>
  <c r="BI11" i="28"/>
  <c r="BI12" i="28"/>
  <c r="BI13" i="28"/>
  <c r="BI14" i="28"/>
  <c r="BI15" i="28"/>
  <c r="BI16" i="28"/>
  <c r="BI17" i="28"/>
  <c r="BI18" i="28"/>
  <c r="BI19" i="28"/>
  <c r="BI20" i="28"/>
  <c r="BI21" i="28"/>
  <c r="BI22" i="28"/>
  <c r="BI23" i="28"/>
  <c r="BI24" i="28"/>
  <c r="BI25" i="28"/>
  <c r="BI26" i="28"/>
  <c r="BI27" i="28"/>
  <c r="BI28" i="28"/>
  <c r="BI29" i="28"/>
  <c r="BI30" i="28"/>
  <c r="BI31" i="28"/>
  <c r="BI32" i="28"/>
  <c r="BI33" i="28"/>
  <c r="BI34" i="28"/>
  <c r="BI35" i="28"/>
  <c r="BI36" i="28"/>
  <c r="BI37" i="28"/>
  <c r="BI38" i="28"/>
  <c r="BI39" i="28"/>
  <c r="BI40" i="28"/>
  <c r="BI41" i="28"/>
  <c r="BI42" i="28"/>
  <c r="BI43" i="28"/>
  <c r="BI44" i="28"/>
  <c r="BI45" i="28"/>
  <c r="BI46" i="28"/>
  <c r="BI47" i="28"/>
  <c r="BI48" i="28"/>
  <c r="BI49" i="28"/>
  <c r="BI50" i="28"/>
  <c r="BI51" i="28"/>
  <c r="BI52" i="28"/>
  <c r="BI53" i="28"/>
  <c r="BI54" i="28"/>
  <c r="BI55" i="28"/>
  <c r="BI56" i="28"/>
  <c r="BI57" i="28"/>
  <c r="BI58" i="28"/>
  <c r="BI59" i="28"/>
  <c r="BI60" i="28"/>
  <c r="BI61" i="28"/>
  <c r="BI62" i="28"/>
  <c r="BI63" i="28"/>
  <c r="BI64" i="28"/>
  <c r="BI65" i="28"/>
  <c r="BI66" i="28"/>
  <c r="BI67" i="28"/>
  <c r="BI68" i="28"/>
  <c r="BI69" i="28"/>
  <c r="BI70" i="28"/>
  <c r="BI71" i="28"/>
  <c r="BI72" i="28"/>
  <c r="BI73" i="28"/>
  <c r="BI4" i="28"/>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S52" i="15"/>
  <c r="S53" i="15"/>
  <c r="S54" i="15"/>
  <c r="S55" i="15"/>
  <c r="S56" i="15"/>
  <c r="S57" i="15"/>
  <c r="S58" i="15"/>
  <c r="S59" i="15"/>
  <c r="S60" i="15"/>
  <c r="S61" i="15"/>
  <c r="S62" i="15"/>
  <c r="S63" i="15"/>
  <c r="S64" i="15"/>
  <c r="S65" i="15"/>
  <c r="S66" i="15"/>
  <c r="S67" i="15"/>
  <c r="S68" i="15"/>
  <c r="S69" i="15"/>
  <c r="S70" i="15"/>
  <c r="S71" i="15"/>
  <c r="S72" i="15"/>
  <c r="S73" i="15"/>
  <c r="AN5" i="15"/>
  <c r="AN6" i="15"/>
  <c r="AN7" i="15"/>
  <c r="AN8" i="15"/>
  <c r="AN9" i="15"/>
  <c r="AN10" i="15"/>
  <c r="AN11" i="15"/>
  <c r="AN12" i="15"/>
  <c r="AN13" i="15"/>
  <c r="AN14" i="15"/>
  <c r="AN15" i="15"/>
  <c r="AN16" i="15"/>
  <c r="AN17" i="15"/>
  <c r="AN18" i="15"/>
  <c r="AN19" i="15"/>
  <c r="AN20" i="15"/>
  <c r="AN21" i="15"/>
  <c r="AN22" i="15"/>
  <c r="AN23" i="15"/>
  <c r="AN24" i="15"/>
  <c r="AN25" i="15"/>
  <c r="AN26" i="15"/>
  <c r="AN27" i="15"/>
  <c r="AN28" i="15"/>
  <c r="AN29" i="15"/>
  <c r="AN30" i="15"/>
  <c r="AN31" i="15"/>
  <c r="AN32" i="15"/>
  <c r="AN33" i="15"/>
  <c r="AN34" i="15"/>
  <c r="AN35" i="15"/>
  <c r="AN36" i="15"/>
  <c r="AN37" i="15"/>
  <c r="AN38" i="15"/>
  <c r="AN39" i="15"/>
  <c r="AN40" i="15"/>
  <c r="AN41" i="15"/>
  <c r="AN42" i="15"/>
  <c r="AN43" i="15"/>
  <c r="AN44" i="15"/>
  <c r="AN45" i="15"/>
  <c r="AN46" i="15"/>
  <c r="AN47" i="15"/>
  <c r="AN48" i="15"/>
  <c r="AN49" i="15"/>
  <c r="AN50" i="15"/>
  <c r="AN51" i="15"/>
  <c r="AN52" i="15"/>
  <c r="AN53" i="15"/>
  <c r="AN54" i="15"/>
  <c r="AN55" i="15"/>
  <c r="AN56" i="15"/>
  <c r="AN57" i="15"/>
  <c r="AN58" i="15"/>
  <c r="AN59" i="15"/>
  <c r="AN60" i="15"/>
  <c r="AN61" i="15"/>
  <c r="AN62" i="15"/>
  <c r="AN63" i="15"/>
  <c r="AN64" i="15"/>
  <c r="AN65" i="15"/>
  <c r="AN66" i="15"/>
  <c r="AN67" i="15"/>
  <c r="AN68" i="15"/>
  <c r="AN69" i="15"/>
  <c r="AN70" i="15"/>
  <c r="AN71" i="15"/>
  <c r="AN72" i="15"/>
  <c r="AN73" i="15"/>
  <c r="AN4" i="15"/>
  <c r="T4" i="15"/>
  <c r="D7" i="28" l="1"/>
  <c r="D8" i="28"/>
  <c r="D9" i="28"/>
  <c r="D10" i="28"/>
  <c r="D11" i="28"/>
  <c r="D12" i="28"/>
  <c r="D13" i="28"/>
  <c r="D14" i="28"/>
  <c r="D15" i="28"/>
  <c r="D16" i="28"/>
  <c r="D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5" i="28"/>
  <c r="D46" i="28"/>
  <c r="D47" i="28"/>
  <c r="D48" i="28"/>
  <c r="D49" i="28"/>
  <c r="D50" i="28"/>
  <c r="D51" i="28"/>
  <c r="D52" i="28"/>
  <c r="D53" i="28"/>
  <c r="D54" i="28"/>
  <c r="D55" i="28"/>
  <c r="D56" i="28"/>
  <c r="D57" i="28"/>
  <c r="D58" i="28"/>
  <c r="D59" i="28"/>
  <c r="D60" i="28"/>
  <c r="D61" i="28"/>
  <c r="D62" i="28"/>
  <c r="D63" i="28"/>
  <c r="D64" i="28"/>
  <c r="D65" i="28"/>
  <c r="D66" i="28"/>
  <c r="D67" i="28"/>
  <c r="D68" i="28"/>
  <c r="D69" i="28"/>
  <c r="D70" i="28"/>
  <c r="D71" i="28"/>
  <c r="D72" i="28"/>
  <c r="D73" i="28"/>
  <c r="D5" i="28"/>
  <c r="D6" i="28"/>
  <c r="D4" i="28"/>
  <c r="D4" i="15"/>
  <c r="U4" i="15" s="1"/>
  <c r="A689" i="9"/>
  <c r="A688" i="9"/>
  <c r="A687" i="9"/>
  <c r="A686" i="9"/>
  <c r="A685" i="9"/>
  <c r="A684" i="9"/>
  <c r="A683" i="9"/>
  <c r="A629" i="9"/>
  <c r="A628" i="9"/>
  <c r="A627" i="9"/>
  <c r="A626" i="9"/>
  <c r="A625" i="9"/>
  <c r="A624" i="9"/>
  <c r="A623" i="9"/>
  <c r="A630" i="9"/>
  <c r="A509" i="9"/>
  <c r="A508" i="9"/>
  <c r="A507" i="9"/>
  <c r="A506" i="9"/>
  <c r="A505" i="9"/>
  <c r="A504" i="9"/>
  <c r="A503" i="9"/>
  <c r="A395" i="9"/>
  <c r="A394" i="9"/>
  <c r="A393" i="9"/>
  <c r="A392" i="9"/>
  <c r="A391" i="9"/>
  <c r="A390" i="9"/>
  <c r="A389" i="9"/>
  <c r="A112" i="9"/>
  <c r="A111" i="9"/>
  <c r="A110" i="9"/>
  <c r="A109" i="9"/>
  <c r="A108" i="9"/>
  <c r="A107" i="9"/>
  <c r="A158" i="9"/>
  <c r="A172" i="9"/>
  <c r="A171" i="9"/>
  <c r="A170" i="9"/>
  <c r="A167" i="9"/>
  <c r="A166" i="9"/>
  <c r="A165" i="9"/>
  <c r="A85" i="9"/>
  <c r="A569" i="9"/>
  <c r="A568" i="9"/>
  <c r="A567" i="9"/>
  <c r="A566" i="9"/>
  <c r="A565" i="9"/>
  <c r="A564" i="9"/>
  <c r="A563" i="9"/>
  <c r="A335" i="9"/>
  <c r="A334" i="9"/>
  <c r="A333" i="9"/>
  <c r="A332" i="9"/>
  <c r="A331" i="9"/>
  <c r="A330" i="9"/>
  <c r="A329" i="9"/>
  <c r="A97" i="9"/>
  <c r="A96" i="9"/>
  <c r="A186" i="9"/>
  <c r="A185" i="9"/>
  <c r="A184" i="9"/>
  <c r="A183" i="9"/>
  <c r="A182" i="9"/>
  <c r="A181" i="9"/>
  <c r="A231" i="9"/>
  <c r="A230" i="9"/>
  <c r="A229" i="9"/>
  <c r="A228" i="9"/>
  <c r="A227" i="9"/>
  <c r="A226" i="9"/>
  <c r="A225" i="9"/>
  <c r="A125" i="9"/>
  <c r="A124" i="9"/>
  <c r="A123" i="9"/>
  <c r="A122" i="9"/>
  <c r="A121" i="9"/>
  <c r="A239" i="9"/>
  <c r="A238" i="9"/>
  <c r="A237" i="9"/>
  <c r="A287" i="9"/>
  <c r="A286" i="9"/>
  <c r="A285" i="9"/>
  <c r="A284" i="9"/>
  <c r="A283" i="9"/>
  <c r="A282" i="9"/>
  <c r="A281" i="9"/>
  <c r="A58" i="9"/>
  <c r="V4" i="15" l="1"/>
  <c r="X4" i="15" s="1"/>
  <c r="A189" i="9" l="1"/>
  <c r="D5" i="15" l="1"/>
  <c r="C4" i="29" l="1"/>
  <c r="D4" i="29"/>
  <c r="E4" i="29"/>
  <c r="D8" i="6" l="1"/>
  <c r="C17" i="23" l="1"/>
  <c r="C16" i="23"/>
  <c r="C15" i="23"/>
  <c r="C14" i="23"/>
  <c r="C13" i="23"/>
  <c r="C12" i="23"/>
  <c r="C11" i="23"/>
  <c r="C10" i="23"/>
  <c r="C9" i="23"/>
  <c r="C8" i="23"/>
  <c r="C7" i="23"/>
  <c r="C6" i="23"/>
  <c r="C5" i="23"/>
  <c r="C4" i="23"/>
  <c r="C3" i="23"/>
  <c r="C2" i="23"/>
  <c r="B4" i="16" l="1"/>
  <c r="BF73" i="29" l="1"/>
  <c r="BH73" i="29" s="1"/>
  <c r="BE73" i="29"/>
  <c r="BD73" i="29"/>
  <c r="AW73" i="29"/>
  <c r="AV73" i="29"/>
  <c r="AU73" i="29"/>
  <c r="AR73" i="29"/>
  <c r="AZ73" i="29" s="1"/>
  <c r="AQ73" i="29"/>
  <c r="AK73" i="29"/>
  <c r="AM73" i="29" s="1"/>
  <c r="AJ73" i="29"/>
  <c r="AI73" i="29"/>
  <c r="AB73" i="29"/>
  <c r="AA73" i="29"/>
  <c r="Z73" i="29"/>
  <c r="X73" i="29"/>
  <c r="W73" i="29"/>
  <c r="AE73" i="29" s="1"/>
  <c r="V73" i="29"/>
  <c r="F73" i="29"/>
  <c r="E73" i="29"/>
  <c r="D73" i="29"/>
  <c r="C73" i="29"/>
  <c r="AP73" i="29" s="1"/>
  <c r="B73" i="29"/>
  <c r="BF72" i="29"/>
  <c r="BH72" i="29" s="1"/>
  <c r="BE72" i="29"/>
  <c r="BD72" i="29"/>
  <c r="AW72" i="29"/>
  <c r="AV72" i="29"/>
  <c r="AU72" i="29"/>
  <c r="AS72" i="29"/>
  <c r="AR72" i="29"/>
  <c r="AZ72" i="29" s="1"/>
  <c r="AQ72" i="29"/>
  <c r="AK72" i="29"/>
  <c r="AM72" i="29" s="1"/>
  <c r="AJ72" i="29"/>
  <c r="AI72" i="29"/>
  <c r="AB72" i="29"/>
  <c r="AA72" i="29"/>
  <c r="Z72" i="29"/>
  <c r="X72" i="29"/>
  <c r="W72" i="29"/>
  <c r="AE72" i="29" s="1"/>
  <c r="V72" i="29"/>
  <c r="F72" i="29"/>
  <c r="E72" i="29"/>
  <c r="D72" i="29"/>
  <c r="BB72" i="29" s="1"/>
  <c r="C72" i="29"/>
  <c r="AO72" i="29" s="1"/>
  <c r="AN72" i="29" s="1"/>
  <c r="B72" i="29"/>
  <c r="P72" i="29" s="1"/>
  <c r="BF71" i="29"/>
  <c r="BH71" i="29" s="1"/>
  <c r="BE71" i="29"/>
  <c r="BD71" i="29"/>
  <c r="AW71" i="29"/>
  <c r="AV71" i="29"/>
  <c r="AU71" i="29"/>
  <c r="AR71" i="29"/>
  <c r="AZ71" i="29" s="1"/>
  <c r="AQ71" i="29"/>
  <c r="AK71" i="29"/>
  <c r="AM71" i="29" s="1"/>
  <c r="AJ71" i="29"/>
  <c r="AI71" i="29"/>
  <c r="AB71" i="29"/>
  <c r="AA71" i="29"/>
  <c r="Z71" i="29"/>
  <c r="W71" i="29"/>
  <c r="AE71" i="29" s="1"/>
  <c r="V71" i="29"/>
  <c r="F71" i="29"/>
  <c r="E71" i="29"/>
  <c r="D71" i="29"/>
  <c r="BB71" i="29" s="1"/>
  <c r="C71" i="29"/>
  <c r="AP71" i="29" s="1"/>
  <c r="B71" i="29"/>
  <c r="P71" i="29" s="1"/>
  <c r="BF70" i="29"/>
  <c r="BH70" i="29" s="1"/>
  <c r="BE70" i="29"/>
  <c r="BD70" i="29"/>
  <c r="AW70" i="29"/>
  <c r="AV70" i="29"/>
  <c r="AU70" i="29"/>
  <c r="AR70" i="29"/>
  <c r="AZ70" i="29" s="1"/>
  <c r="AQ70" i="29"/>
  <c r="AK70" i="29"/>
  <c r="AM70" i="29" s="1"/>
  <c r="AJ70" i="29"/>
  <c r="AI70" i="29"/>
  <c r="AB70" i="29"/>
  <c r="AA70" i="29"/>
  <c r="Z70" i="29"/>
  <c r="W70" i="29"/>
  <c r="AE70" i="29" s="1"/>
  <c r="V70" i="29"/>
  <c r="F70" i="29"/>
  <c r="E70" i="29"/>
  <c r="D70" i="29"/>
  <c r="BC70" i="29" s="1"/>
  <c r="C70" i="29"/>
  <c r="AO70" i="29" s="1"/>
  <c r="AN70" i="29" s="1"/>
  <c r="B70" i="29"/>
  <c r="P70" i="29" s="1"/>
  <c r="BF69" i="29"/>
  <c r="BH69" i="29" s="1"/>
  <c r="BE69" i="29"/>
  <c r="BD69" i="29"/>
  <c r="AW69" i="29"/>
  <c r="AV69" i="29"/>
  <c r="AU69" i="29"/>
  <c r="AR69" i="29"/>
  <c r="AZ69" i="29" s="1"/>
  <c r="AQ69" i="29"/>
  <c r="AK69" i="29"/>
  <c r="AM69" i="29" s="1"/>
  <c r="AJ69" i="29"/>
  <c r="AI69" i="29"/>
  <c r="AB69" i="29"/>
  <c r="AA69" i="29"/>
  <c r="Z69" i="29"/>
  <c r="X69" i="29"/>
  <c r="W69" i="29"/>
  <c r="AE69" i="29" s="1"/>
  <c r="V69" i="29"/>
  <c r="F69" i="29"/>
  <c r="E69" i="29"/>
  <c r="D69" i="29"/>
  <c r="BB69" i="29" s="1"/>
  <c r="C69" i="29"/>
  <c r="AO69" i="29" s="1"/>
  <c r="AN69" i="29" s="1"/>
  <c r="B69" i="29"/>
  <c r="P69" i="29" s="1"/>
  <c r="BF68" i="29"/>
  <c r="BH68" i="29" s="1"/>
  <c r="BE68" i="29"/>
  <c r="BD68" i="29"/>
  <c r="AW68" i="29"/>
  <c r="AV68" i="29"/>
  <c r="AU68" i="29"/>
  <c r="AS68" i="29"/>
  <c r="AR68" i="29"/>
  <c r="AZ68" i="29" s="1"/>
  <c r="AQ68" i="29"/>
  <c r="AK68" i="29"/>
  <c r="AM68" i="29" s="1"/>
  <c r="AJ68" i="29"/>
  <c r="AI68" i="29"/>
  <c r="AB68" i="29"/>
  <c r="AA68" i="29"/>
  <c r="Z68" i="29"/>
  <c r="X68" i="29"/>
  <c r="W68" i="29"/>
  <c r="AE68" i="29" s="1"/>
  <c r="V68" i="29"/>
  <c r="F68" i="29"/>
  <c r="E68" i="29"/>
  <c r="D68" i="29"/>
  <c r="BB68" i="29" s="1"/>
  <c r="C68" i="29"/>
  <c r="AO68" i="29" s="1"/>
  <c r="AN68" i="29" s="1"/>
  <c r="B68" i="29"/>
  <c r="P68" i="29" s="1"/>
  <c r="BF67" i="29"/>
  <c r="BH67" i="29" s="1"/>
  <c r="BE67" i="29"/>
  <c r="BD67" i="29"/>
  <c r="AW67" i="29"/>
  <c r="AV67" i="29"/>
  <c r="AU67" i="29"/>
  <c r="AR67" i="29"/>
  <c r="AZ67" i="29" s="1"/>
  <c r="AQ67" i="29"/>
  <c r="AK67" i="29"/>
  <c r="AM67" i="29" s="1"/>
  <c r="AJ67" i="29"/>
  <c r="AI67" i="29"/>
  <c r="AB67" i="29"/>
  <c r="AA67" i="29"/>
  <c r="Z67" i="29"/>
  <c r="W67" i="29"/>
  <c r="AE67" i="29" s="1"/>
  <c r="V67" i="29"/>
  <c r="F67" i="29"/>
  <c r="E67" i="29"/>
  <c r="D67" i="29"/>
  <c r="BB67" i="29" s="1"/>
  <c r="C67" i="29"/>
  <c r="AP67" i="29" s="1"/>
  <c r="B67" i="29"/>
  <c r="P67" i="29" s="1"/>
  <c r="BF66" i="29"/>
  <c r="BH66" i="29" s="1"/>
  <c r="BE66" i="29"/>
  <c r="BD66" i="29"/>
  <c r="AW66" i="29"/>
  <c r="AV66" i="29"/>
  <c r="AU66" i="29"/>
  <c r="AR66" i="29"/>
  <c r="AZ66" i="29" s="1"/>
  <c r="AQ66" i="29"/>
  <c r="AK66" i="29"/>
  <c r="AM66" i="29" s="1"/>
  <c r="AJ66" i="29"/>
  <c r="AI66" i="29"/>
  <c r="AB66" i="29"/>
  <c r="AA66" i="29"/>
  <c r="Z66" i="29"/>
  <c r="W66" i="29"/>
  <c r="AE66" i="29" s="1"/>
  <c r="V66" i="29"/>
  <c r="F66" i="29"/>
  <c r="E66" i="29"/>
  <c r="D66" i="29"/>
  <c r="BC66" i="29" s="1"/>
  <c r="C66" i="29"/>
  <c r="AO66" i="29" s="1"/>
  <c r="AN66" i="29" s="1"/>
  <c r="B66" i="29"/>
  <c r="P66" i="29" s="1"/>
  <c r="BF65" i="29"/>
  <c r="BH65" i="29" s="1"/>
  <c r="BE65" i="29"/>
  <c r="BD65" i="29"/>
  <c r="AW65" i="29"/>
  <c r="AV65" i="29"/>
  <c r="AU65" i="29"/>
  <c r="AR65" i="29"/>
  <c r="AZ65" i="29" s="1"/>
  <c r="AQ65" i="29"/>
  <c r="AK65" i="29"/>
  <c r="AM65" i="29" s="1"/>
  <c r="AJ65" i="29"/>
  <c r="AI65" i="29"/>
  <c r="AB65" i="29"/>
  <c r="AA65" i="29"/>
  <c r="Z65" i="29"/>
  <c r="X65" i="29"/>
  <c r="W65" i="29"/>
  <c r="AE65" i="29" s="1"/>
  <c r="V65" i="29"/>
  <c r="F65" i="29"/>
  <c r="E65" i="29"/>
  <c r="D65" i="29"/>
  <c r="BB65" i="29" s="1"/>
  <c r="C65" i="29"/>
  <c r="AO65" i="29" s="1"/>
  <c r="AN65" i="29" s="1"/>
  <c r="B65" i="29"/>
  <c r="P65" i="29" s="1"/>
  <c r="BF64" i="29"/>
  <c r="BH64" i="29" s="1"/>
  <c r="BE64" i="29"/>
  <c r="BD64" i="29"/>
  <c r="AW64" i="29"/>
  <c r="AV64" i="29"/>
  <c r="AU64" i="29"/>
  <c r="AS64" i="29"/>
  <c r="AR64" i="29"/>
  <c r="AZ64" i="29" s="1"/>
  <c r="AQ64" i="29"/>
  <c r="AK64" i="29"/>
  <c r="AM64" i="29" s="1"/>
  <c r="AJ64" i="29"/>
  <c r="AI64" i="29"/>
  <c r="AB64" i="29"/>
  <c r="AA64" i="29"/>
  <c r="Z64" i="29"/>
  <c r="X64" i="29"/>
  <c r="W64" i="29"/>
  <c r="AE64" i="29" s="1"/>
  <c r="V64" i="29"/>
  <c r="F64" i="29"/>
  <c r="E64" i="29"/>
  <c r="D64" i="29"/>
  <c r="BB64" i="29" s="1"/>
  <c r="C64" i="29"/>
  <c r="AP64" i="29" s="1"/>
  <c r="B64" i="29"/>
  <c r="P64" i="29" s="1"/>
  <c r="BF63" i="29"/>
  <c r="BH63" i="29" s="1"/>
  <c r="BE63" i="29"/>
  <c r="BD63" i="29"/>
  <c r="AW63" i="29"/>
  <c r="AV63" i="29"/>
  <c r="AU63" i="29"/>
  <c r="AR63" i="29"/>
  <c r="AZ63" i="29" s="1"/>
  <c r="AQ63" i="29"/>
  <c r="AK63" i="29"/>
  <c r="AM63" i="29" s="1"/>
  <c r="AJ63" i="29"/>
  <c r="AI63" i="29"/>
  <c r="AB63" i="29"/>
  <c r="AA63" i="29"/>
  <c r="Z63" i="29"/>
  <c r="X63" i="29"/>
  <c r="W63" i="29"/>
  <c r="V63" i="29"/>
  <c r="F63" i="29"/>
  <c r="E63" i="29"/>
  <c r="D63" i="29"/>
  <c r="BC63" i="29" s="1"/>
  <c r="C63" i="29"/>
  <c r="U63" i="29" s="1"/>
  <c r="B63" i="29"/>
  <c r="P63" i="29" s="1"/>
  <c r="BF62" i="29"/>
  <c r="BH62" i="29" s="1"/>
  <c r="BE62" i="29"/>
  <c r="BD62" i="29"/>
  <c r="AW62" i="29"/>
  <c r="AV62" i="29"/>
  <c r="AU62" i="29"/>
  <c r="AR62" i="29"/>
  <c r="AQ62" i="29"/>
  <c r="AK62" i="29"/>
  <c r="AM62" i="29" s="1"/>
  <c r="AJ62" i="29"/>
  <c r="AI62" i="29"/>
  <c r="AB62" i="29"/>
  <c r="AA62" i="29"/>
  <c r="Z62" i="29"/>
  <c r="W62" i="29"/>
  <c r="AE62" i="29" s="1"/>
  <c r="V62" i="29"/>
  <c r="F62" i="29"/>
  <c r="E62" i="29"/>
  <c r="D62" i="29"/>
  <c r="BB62" i="29" s="1"/>
  <c r="C62" i="29"/>
  <c r="T62" i="29" s="1"/>
  <c r="B62" i="29"/>
  <c r="P62" i="29" s="1"/>
  <c r="BF61" i="29"/>
  <c r="BH61" i="29" s="1"/>
  <c r="BE61" i="29"/>
  <c r="BD61" i="29"/>
  <c r="AW61" i="29"/>
  <c r="AV61" i="29"/>
  <c r="AU61" i="29"/>
  <c r="AR61" i="29"/>
  <c r="AZ61" i="29" s="1"/>
  <c r="AQ61" i="29"/>
  <c r="AK61" i="29"/>
  <c r="AM61" i="29" s="1"/>
  <c r="AJ61" i="29"/>
  <c r="AI61" i="29"/>
  <c r="AB61" i="29"/>
  <c r="AA61" i="29"/>
  <c r="Z61" i="29"/>
  <c r="W61" i="29"/>
  <c r="AE61" i="29" s="1"/>
  <c r="V61" i="29"/>
  <c r="F61" i="29"/>
  <c r="E61" i="29"/>
  <c r="D61" i="29"/>
  <c r="BA61" i="29" s="1"/>
  <c r="C61" i="29"/>
  <c r="AP61" i="29" s="1"/>
  <c r="B61" i="29"/>
  <c r="P61" i="29" s="1"/>
  <c r="BF60" i="29"/>
  <c r="BH60" i="29" s="1"/>
  <c r="BE60" i="29"/>
  <c r="BD60" i="29"/>
  <c r="BG60" i="29" s="1"/>
  <c r="AW60" i="29"/>
  <c r="AV60" i="29"/>
  <c r="AU60" i="29"/>
  <c r="AR60" i="29"/>
  <c r="AZ60" i="29" s="1"/>
  <c r="AQ60" i="29"/>
  <c r="AK60" i="29"/>
  <c r="AM60" i="29" s="1"/>
  <c r="AJ60" i="29"/>
  <c r="AI60" i="29"/>
  <c r="AL60" i="29" s="1"/>
  <c r="AB60" i="29"/>
  <c r="AA60" i="29"/>
  <c r="Z60" i="29"/>
  <c r="W60" i="29"/>
  <c r="AE60" i="29" s="1"/>
  <c r="V60" i="29"/>
  <c r="F60" i="29"/>
  <c r="E60" i="29"/>
  <c r="D60" i="29"/>
  <c r="BC60" i="29" s="1"/>
  <c r="C60" i="29"/>
  <c r="AO60" i="29" s="1"/>
  <c r="AN60" i="29" s="1"/>
  <c r="B60" i="29"/>
  <c r="P60" i="29" s="1"/>
  <c r="BF59" i="29"/>
  <c r="BH59" i="29" s="1"/>
  <c r="BE59" i="29"/>
  <c r="BD59" i="29"/>
  <c r="AW59" i="29"/>
  <c r="AV59" i="29"/>
  <c r="AU59" i="29"/>
  <c r="AR59" i="29"/>
  <c r="AZ59" i="29" s="1"/>
  <c r="AQ59" i="29"/>
  <c r="AK59" i="29"/>
  <c r="AM59" i="29" s="1"/>
  <c r="AJ59" i="29"/>
  <c r="AI59" i="29"/>
  <c r="AB59" i="29"/>
  <c r="AA59" i="29"/>
  <c r="Z59" i="29"/>
  <c r="X59" i="29"/>
  <c r="W59" i="29"/>
  <c r="AE59" i="29" s="1"/>
  <c r="V59" i="29"/>
  <c r="F59" i="29"/>
  <c r="E59" i="29"/>
  <c r="D59" i="29"/>
  <c r="BB59" i="29" s="1"/>
  <c r="C59" i="29"/>
  <c r="AO59" i="29" s="1"/>
  <c r="AN59" i="29" s="1"/>
  <c r="B59" i="29"/>
  <c r="P59" i="29" s="1"/>
  <c r="BF58" i="29"/>
  <c r="BH58" i="29" s="1"/>
  <c r="BE58" i="29"/>
  <c r="BD58" i="29"/>
  <c r="AW58" i="29"/>
  <c r="AV58" i="29"/>
  <c r="AU58" i="29"/>
  <c r="AS58" i="29"/>
  <c r="AR58" i="29"/>
  <c r="AZ58" i="29" s="1"/>
  <c r="AQ58" i="29"/>
  <c r="AK58" i="29"/>
  <c r="AM58" i="29" s="1"/>
  <c r="AJ58" i="29"/>
  <c r="AI58" i="29"/>
  <c r="AB58" i="29"/>
  <c r="AA58" i="29"/>
  <c r="Z58" i="29"/>
  <c r="X58" i="29"/>
  <c r="W58" i="29"/>
  <c r="AE58" i="29" s="1"/>
  <c r="V58" i="29"/>
  <c r="F58" i="29"/>
  <c r="E58" i="29"/>
  <c r="D58" i="29"/>
  <c r="BB58" i="29" s="1"/>
  <c r="C58" i="29"/>
  <c r="AO58" i="29" s="1"/>
  <c r="AN58" i="29" s="1"/>
  <c r="B58" i="29"/>
  <c r="P58" i="29" s="1"/>
  <c r="BF57" i="29"/>
  <c r="BH57" i="29" s="1"/>
  <c r="BE57" i="29"/>
  <c r="BD57" i="29"/>
  <c r="AW57" i="29"/>
  <c r="AV57" i="29"/>
  <c r="AU57" i="29"/>
  <c r="AR57" i="29"/>
  <c r="AZ57" i="29" s="1"/>
  <c r="AQ57" i="29"/>
  <c r="AK57" i="29"/>
  <c r="AM57" i="29" s="1"/>
  <c r="AJ57" i="29"/>
  <c r="AI57" i="29"/>
  <c r="AB57" i="29"/>
  <c r="AA57" i="29"/>
  <c r="Z57" i="29"/>
  <c r="W57" i="29"/>
  <c r="AE57" i="29" s="1"/>
  <c r="V57" i="29"/>
  <c r="F57" i="29"/>
  <c r="E57" i="29"/>
  <c r="D57" i="29"/>
  <c r="BB57" i="29" s="1"/>
  <c r="C57" i="29"/>
  <c r="AP57" i="29" s="1"/>
  <c r="B57" i="29"/>
  <c r="P57" i="29" s="1"/>
  <c r="BF56" i="29"/>
  <c r="BH56" i="29" s="1"/>
  <c r="BE56" i="29"/>
  <c r="BD56" i="29"/>
  <c r="AW56" i="29"/>
  <c r="AV56" i="29"/>
  <c r="AU56" i="29"/>
  <c r="AR56" i="29"/>
  <c r="AZ56" i="29" s="1"/>
  <c r="AQ56" i="29"/>
  <c r="AK56" i="29"/>
  <c r="AM56" i="29" s="1"/>
  <c r="AJ56" i="29"/>
  <c r="AI56" i="29"/>
  <c r="AB56" i="29"/>
  <c r="AA56" i="29"/>
  <c r="Z56" i="29"/>
  <c r="W56" i="29"/>
  <c r="AE56" i="29" s="1"/>
  <c r="V56" i="29"/>
  <c r="F56" i="29"/>
  <c r="E56" i="29"/>
  <c r="D56" i="29"/>
  <c r="C56" i="29"/>
  <c r="AO56" i="29" s="1"/>
  <c r="AN56" i="29" s="1"/>
  <c r="B56" i="29"/>
  <c r="P56" i="29" s="1"/>
  <c r="BF55" i="29"/>
  <c r="BH55" i="29" s="1"/>
  <c r="BE55" i="29"/>
  <c r="BD55" i="29"/>
  <c r="AW55" i="29"/>
  <c r="AV55" i="29"/>
  <c r="AU55" i="29"/>
  <c r="AR55" i="29"/>
  <c r="AQ55" i="29"/>
  <c r="AK55" i="29"/>
  <c r="AM55" i="29" s="1"/>
  <c r="AJ55" i="29"/>
  <c r="AI55" i="29"/>
  <c r="AB55" i="29"/>
  <c r="AA55" i="29"/>
  <c r="Z55" i="29"/>
  <c r="X55" i="29"/>
  <c r="W55" i="29"/>
  <c r="AE55" i="29" s="1"/>
  <c r="V55" i="29"/>
  <c r="F55" i="29"/>
  <c r="E55" i="29"/>
  <c r="D55" i="29"/>
  <c r="BB55" i="29" s="1"/>
  <c r="C55" i="29"/>
  <c r="AO55" i="29" s="1"/>
  <c r="AN55" i="29" s="1"/>
  <c r="B55" i="29"/>
  <c r="P55" i="29" s="1"/>
  <c r="BF54" i="29"/>
  <c r="BH54" i="29" s="1"/>
  <c r="BE54" i="29"/>
  <c r="BD54" i="29"/>
  <c r="AW54" i="29"/>
  <c r="AV54" i="29"/>
  <c r="AU54" i="29"/>
  <c r="AS54" i="29"/>
  <c r="AR54" i="29"/>
  <c r="AZ54" i="29" s="1"/>
  <c r="AQ54" i="29"/>
  <c r="AK54" i="29"/>
  <c r="AM54" i="29" s="1"/>
  <c r="AJ54" i="29"/>
  <c r="AI54" i="29"/>
  <c r="AB54" i="29"/>
  <c r="AA54" i="29"/>
  <c r="Z54" i="29"/>
  <c r="X54" i="29"/>
  <c r="W54" i="29"/>
  <c r="V54" i="29"/>
  <c r="F54" i="29"/>
  <c r="E54" i="29"/>
  <c r="D54" i="29"/>
  <c r="BB54" i="29" s="1"/>
  <c r="C54" i="29"/>
  <c r="AP54" i="29" s="1"/>
  <c r="B54" i="29"/>
  <c r="P54" i="29" s="1"/>
  <c r="BF53" i="29"/>
  <c r="BH53" i="29" s="1"/>
  <c r="BE53" i="29"/>
  <c r="BD53" i="29"/>
  <c r="AW53" i="29"/>
  <c r="AV53" i="29"/>
  <c r="AU53" i="29"/>
  <c r="AR53" i="29"/>
  <c r="AQ53" i="29"/>
  <c r="AK53" i="29"/>
  <c r="AM53" i="29" s="1"/>
  <c r="AJ53" i="29"/>
  <c r="AI53" i="29"/>
  <c r="AB53" i="29"/>
  <c r="AA53" i="29"/>
  <c r="Z53" i="29"/>
  <c r="W53" i="29"/>
  <c r="V53" i="29"/>
  <c r="F53" i="29"/>
  <c r="E53" i="29"/>
  <c r="D53" i="29"/>
  <c r="BB53" i="29" s="1"/>
  <c r="C53" i="29"/>
  <c r="T53" i="29" s="1"/>
  <c r="B53" i="29"/>
  <c r="P53" i="29" s="1"/>
  <c r="BF52" i="29"/>
  <c r="BH52" i="29" s="1"/>
  <c r="BE52" i="29"/>
  <c r="BD52" i="29"/>
  <c r="AW52" i="29"/>
  <c r="AV52" i="29"/>
  <c r="AU52" i="29"/>
  <c r="AR52" i="29"/>
  <c r="AZ52" i="29" s="1"/>
  <c r="AQ52" i="29"/>
  <c r="AK52" i="29"/>
  <c r="AM52" i="29" s="1"/>
  <c r="AJ52" i="29"/>
  <c r="AI52" i="29"/>
  <c r="AB52" i="29"/>
  <c r="AA52" i="29"/>
  <c r="Z52" i="29"/>
  <c r="W52" i="29"/>
  <c r="V52" i="29"/>
  <c r="F52" i="29"/>
  <c r="E52" i="29"/>
  <c r="D52" i="29"/>
  <c r="BB52" i="29" s="1"/>
  <c r="C52" i="29"/>
  <c r="AO52" i="29" s="1"/>
  <c r="AN52" i="29" s="1"/>
  <c r="B52" i="29"/>
  <c r="P52" i="29" s="1"/>
  <c r="BF51" i="29"/>
  <c r="BH51" i="29" s="1"/>
  <c r="BE51" i="29"/>
  <c r="BD51" i="29"/>
  <c r="AW51" i="29"/>
  <c r="AV51" i="29"/>
  <c r="AU51" i="29"/>
  <c r="AR51" i="29"/>
  <c r="AQ51" i="29"/>
  <c r="AK51" i="29"/>
  <c r="AM51" i="29" s="1"/>
  <c r="AJ51" i="29"/>
  <c r="AI51" i="29"/>
  <c r="AB51" i="29"/>
  <c r="AA51" i="29"/>
  <c r="Z51" i="29"/>
  <c r="W51" i="29"/>
  <c r="V51" i="29"/>
  <c r="F51" i="29"/>
  <c r="E51" i="29"/>
  <c r="D51" i="29"/>
  <c r="AH51" i="29" s="1"/>
  <c r="C51" i="29"/>
  <c r="AO51" i="29" s="1"/>
  <c r="AN51" i="29" s="1"/>
  <c r="B51" i="29"/>
  <c r="P51" i="29" s="1"/>
  <c r="BF50" i="29"/>
  <c r="BH50" i="29" s="1"/>
  <c r="BE50" i="29"/>
  <c r="BD50" i="29"/>
  <c r="AW50" i="29"/>
  <c r="AV50" i="29"/>
  <c r="AU50" i="29"/>
  <c r="AS50" i="29"/>
  <c r="AR50" i="29"/>
  <c r="AQ50" i="29"/>
  <c r="AK50" i="29"/>
  <c r="AM50" i="29" s="1"/>
  <c r="AJ50" i="29"/>
  <c r="AI50" i="29"/>
  <c r="AB50" i="29"/>
  <c r="AA50" i="29"/>
  <c r="Z50" i="29"/>
  <c r="X50" i="29"/>
  <c r="W50" i="29"/>
  <c r="AE50" i="29" s="1"/>
  <c r="V50" i="29"/>
  <c r="F50" i="29"/>
  <c r="E50" i="29"/>
  <c r="D50" i="29"/>
  <c r="BB50" i="29" s="1"/>
  <c r="C50" i="29"/>
  <c r="AP50" i="29" s="1"/>
  <c r="B50" i="29"/>
  <c r="P50" i="29" s="1"/>
  <c r="BF49" i="29"/>
  <c r="BH49" i="29" s="1"/>
  <c r="BE49" i="29"/>
  <c r="BD49" i="29"/>
  <c r="AW49" i="29"/>
  <c r="AV49" i="29"/>
  <c r="AU49" i="29"/>
  <c r="AR49" i="29"/>
  <c r="AZ49" i="29" s="1"/>
  <c r="AQ49" i="29"/>
  <c r="AK49" i="29"/>
  <c r="AM49" i="29" s="1"/>
  <c r="AJ49" i="29"/>
  <c r="AI49" i="29"/>
  <c r="AB49" i="29"/>
  <c r="AA49" i="29"/>
  <c r="Z49" i="29"/>
  <c r="X49" i="29"/>
  <c r="W49" i="29"/>
  <c r="V49" i="29"/>
  <c r="F49" i="29"/>
  <c r="E49" i="29"/>
  <c r="D49" i="29"/>
  <c r="BC49" i="29" s="1"/>
  <c r="C49" i="29"/>
  <c r="AP49" i="29" s="1"/>
  <c r="B49" i="29"/>
  <c r="P49" i="29" s="1"/>
  <c r="BF48" i="29"/>
  <c r="BH48" i="29" s="1"/>
  <c r="BE48" i="29"/>
  <c r="BD48" i="29"/>
  <c r="AW48" i="29"/>
  <c r="AV48" i="29"/>
  <c r="AU48" i="29"/>
  <c r="AR48" i="29"/>
  <c r="AQ48" i="29"/>
  <c r="AK48" i="29"/>
  <c r="AM48" i="29" s="1"/>
  <c r="AJ48" i="29"/>
  <c r="AI48" i="29"/>
  <c r="AB48" i="29"/>
  <c r="AA48" i="29"/>
  <c r="Z48" i="29"/>
  <c r="W48" i="29"/>
  <c r="AE48" i="29" s="1"/>
  <c r="V48" i="29"/>
  <c r="F48" i="29"/>
  <c r="E48" i="29"/>
  <c r="D48" i="29"/>
  <c r="BB48" i="29" s="1"/>
  <c r="C48" i="29"/>
  <c r="T48" i="29" s="1"/>
  <c r="B48" i="29"/>
  <c r="P48" i="29" s="1"/>
  <c r="BF47" i="29"/>
  <c r="BH47" i="29" s="1"/>
  <c r="BE47" i="29"/>
  <c r="BD47" i="29"/>
  <c r="AW47" i="29"/>
  <c r="AV47" i="29"/>
  <c r="AU47" i="29"/>
  <c r="AR47" i="29"/>
  <c r="AZ47" i="29" s="1"/>
  <c r="AQ47" i="29"/>
  <c r="AK47" i="29"/>
  <c r="AM47" i="29" s="1"/>
  <c r="AJ47" i="29"/>
  <c r="AI47" i="29"/>
  <c r="AB47" i="29"/>
  <c r="AA47" i="29"/>
  <c r="Z47" i="29"/>
  <c r="W47" i="29"/>
  <c r="V47" i="29"/>
  <c r="F47" i="29"/>
  <c r="E47" i="29"/>
  <c r="D47" i="29"/>
  <c r="AH47" i="29" s="1"/>
  <c r="C47" i="29"/>
  <c r="AO47" i="29" s="1"/>
  <c r="AN47" i="29" s="1"/>
  <c r="B47" i="29"/>
  <c r="P47" i="29" s="1"/>
  <c r="BF46" i="29"/>
  <c r="BH46" i="29" s="1"/>
  <c r="BE46" i="29"/>
  <c r="BD46" i="29"/>
  <c r="AW46" i="29"/>
  <c r="AV46" i="29"/>
  <c r="AU46" i="29"/>
  <c r="AS46" i="29"/>
  <c r="AR46" i="29"/>
  <c r="AQ46" i="29"/>
  <c r="AK46" i="29"/>
  <c r="AM46" i="29" s="1"/>
  <c r="AJ46" i="29"/>
  <c r="AI46" i="29"/>
  <c r="AB46" i="29"/>
  <c r="AA46" i="29"/>
  <c r="Z46" i="29"/>
  <c r="X46" i="29"/>
  <c r="W46" i="29"/>
  <c r="AE46" i="29" s="1"/>
  <c r="V46" i="29"/>
  <c r="F46" i="29"/>
  <c r="E46" i="29"/>
  <c r="D46" i="29"/>
  <c r="BB46" i="29" s="1"/>
  <c r="C46" i="29"/>
  <c r="AP46" i="29" s="1"/>
  <c r="B46" i="29"/>
  <c r="P46" i="29" s="1"/>
  <c r="BF45" i="29"/>
  <c r="BH45" i="29" s="1"/>
  <c r="BE45" i="29"/>
  <c r="BD45" i="29"/>
  <c r="AW45" i="29"/>
  <c r="AV45" i="29"/>
  <c r="AU45" i="29"/>
  <c r="AS45" i="29"/>
  <c r="AR45" i="29"/>
  <c r="AZ45" i="29" s="1"/>
  <c r="AQ45" i="29"/>
  <c r="AK45" i="29"/>
  <c r="AM45" i="29" s="1"/>
  <c r="AJ45" i="29"/>
  <c r="AI45" i="29"/>
  <c r="AB45" i="29"/>
  <c r="AA45" i="29"/>
  <c r="Z45" i="29"/>
  <c r="X45" i="29"/>
  <c r="W45" i="29"/>
  <c r="V45" i="29"/>
  <c r="F45" i="29"/>
  <c r="E45" i="29"/>
  <c r="D45" i="29"/>
  <c r="BC45" i="29" s="1"/>
  <c r="C45" i="29"/>
  <c r="U45" i="29" s="1"/>
  <c r="B45" i="29"/>
  <c r="P45" i="29" s="1"/>
  <c r="BF44" i="29"/>
  <c r="BH44" i="29" s="1"/>
  <c r="BE44" i="29"/>
  <c r="BD44" i="29"/>
  <c r="AW44" i="29"/>
  <c r="AV44" i="29"/>
  <c r="AU44" i="29"/>
  <c r="AR44" i="29"/>
  <c r="AZ44" i="29" s="1"/>
  <c r="AQ44" i="29"/>
  <c r="AK44" i="29"/>
  <c r="AM44" i="29" s="1"/>
  <c r="AJ44" i="29"/>
  <c r="AI44" i="29"/>
  <c r="AB44" i="29"/>
  <c r="AA44" i="29"/>
  <c r="Z44" i="29"/>
  <c r="W44" i="29"/>
  <c r="AE44" i="29" s="1"/>
  <c r="V44" i="29"/>
  <c r="F44" i="29"/>
  <c r="E44" i="29"/>
  <c r="D44" i="29"/>
  <c r="BB44" i="29" s="1"/>
  <c r="C44" i="29"/>
  <c r="AO44" i="29" s="1"/>
  <c r="AN44" i="29" s="1"/>
  <c r="B44" i="29"/>
  <c r="P44" i="29" s="1"/>
  <c r="BF43" i="29"/>
  <c r="BH43" i="29" s="1"/>
  <c r="BE43" i="29"/>
  <c r="BD43" i="29"/>
  <c r="AW43" i="29"/>
  <c r="AV43" i="29"/>
  <c r="AU43" i="29"/>
  <c r="AR43" i="29"/>
  <c r="AZ43" i="29" s="1"/>
  <c r="AQ43" i="29"/>
  <c r="AK43" i="29"/>
  <c r="AM43" i="29" s="1"/>
  <c r="AJ43" i="29"/>
  <c r="AI43" i="29"/>
  <c r="AB43" i="29"/>
  <c r="AA43" i="29"/>
  <c r="Z43" i="29"/>
  <c r="W43" i="29"/>
  <c r="AE43" i="29" s="1"/>
  <c r="V43" i="29"/>
  <c r="F43" i="29"/>
  <c r="E43" i="29"/>
  <c r="D43" i="29"/>
  <c r="BB43" i="29" s="1"/>
  <c r="C43" i="29"/>
  <c r="AO43" i="29" s="1"/>
  <c r="AN43" i="29" s="1"/>
  <c r="B43" i="29"/>
  <c r="P43" i="29" s="1"/>
  <c r="BF42" i="29"/>
  <c r="BH42" i="29" s="1"/>
  <c r="BE42" i="29"/>
  <c r="BD42" i="29"/>
  <c r="AW42" i="29"/>
  <c r="AV42" i="29"/>
  <c r="AU42" i="29"/>
  <c r="AR42" i="29"/>
  <c r="AZ42" i="29" s="1"/>
  <c r="AQ42" i="29"/>
  <c r="AK42" i="29"/>
  <c r="AM42" i="29" s="1"/>
  <c r="AJ42" i="29"/>
  <c r="AI42" i="29"/>
  <c r="AB42" i="29"/>
  <c r="AA42" i="29"/>
  <c r="Z42" i="29"/>
  <c r="X42" i="29"/>
  <c r="W42" i="29"/>
  <c r="AE42" i="29" s="1"/>
  <c r="V42" i="29"/>
  <c r="F42" i="29"/>
  <c r="E42" i="29"/>
  <c r="D42" i="29"/>
  <c r="BB42" i="29" s="1"/>
  <c r="C42" i="29"/>
  <c r="AO42" i="29" s="1"/>
  <c r="AN42" i="29" s="1"/>
  <c r="B42" i="29"/>
  <c r="P42" i="29" s="1"/>
  <c r="BF41" i="29"/>
  <c r="BH41" i="29" s="1"/>
  <c r="BE41" i="29"/>
  <c r="BD41" i="29"/>
  <c r="AW41" i="29"/>
  <c r="AV41" i="29"/>
  <c r="AU41" i="29"/>
  <c r="AS41" i="29"/>
  <c r="AR41" i="29"/>
  <c r="AZ41" i="29" s="1"/>
  <c r="AQ41" i="29"/>
  <c r="AK41" i="29"/>
  <c r="AM41" i="29" s="1"/>
  <c r="AJ41" i="29"/>
  <c r="AI41" i="29"/>
  <c r="AB41" i="29"/>
  <c r="AA41" i="29"/>
  <c r="Z41" i="29"/>
  <c r="X41" i="29"/>
  <c r="W41" i="29"/>
  <c r="AE41" i="29" s="1"/>
  <c r="V41" i="29"/>
  <c r="F41" i="29"/>
  <c r="E41" i="29"/>
  <c r="D41" i="29"/>
  <c r="BB41" i="29" s="1"/>
  <c r="C41" i="29"/>
  <c r="AO41" i="29" s="1"/>
  <c r="AN41" i="29" s="1"/>
  <c r="B41" i="29"/>
  <c r="P41" i="29" s="1"/>
  <c r="BF40" i="29"/>
  <c r="BH40" i="29" s="1"/>
  <c r="BE40" i="29"/>
  <c r="BD40" i="29"/>
  <c r="AW40" i="29"/>
  <c r="AV40" i="29"/>
  <c r="AU40" i="29"/>
  <c r="AR40" i="29"/>
  <c r="AZ40" i="29" s="1"/>
  <c r="AQ40" i="29"/>
  <c r="AK40" i="29"/>
  <c r="AM40" i="29" s="1"/>
  <c r="AJ40" i="29"/>
  <c r="AI40" i="29"/>
  <c r="AB40" i="29"/>
  <c r="AA40" i="29"/>
  <c r="Z40" i="29"/>
  <c r="W40" i="29"/>
  <c r="AE40" i="29" s="1"/>
  <c r="V40" i="29"/>
  <c r="F40" i="29"/>
  <c r="E40" i="29"/>
  <c r="D40" i="29"/>
  <c r="BB40" i="29" s="1"/>
  <c r="C40" i="29"/>
  <c r="AO40" i="29" s="1"/>
  <c r="AN40" i="29" s="1"/>
  <c r="B40" i="29"/>
  <c r="P40" i="29" s="1"/>
  <c r="BF39" i="29"/>
  <c r="BH39" i="29" s="1"/>
  <c r="BE39" i="29"/>
  <c r="BD39" i="29"/>
  <c r="AW39" i="29"/>
  <c r="AV39" i="29"/>
  <c r="AU39" i="29"/>
  <c r="AR39" i="29"/>
  <c r="AZ39" i="29" s="1"/>
  <c r="AQ39" i="29"/>
  <c r="AK39" i="29"/>
  <c r="AM39" i="29" s="1"/>
  <c r="AJ39" i="29"/>
  <c r="AI39" i="29"/>
  <c r="AB39" i="29"/>
  <c r="AA39" i="29"/>
  <c r="Z39" i="29"/>
  <c r="W39" i="29"/>
  <c r="AE39" i="29" s="1"/>
  <c r="V39" i="29"/>
  <c r="F39" i="29"/>
  <c r="E39" i="29"/>
  <c r="D39" i="29"/>
  <c r="BB39" i="29" s="1"/>
  <c r="C39" i="29"/>
  <c r="AO39" i="29" s="1"/>
  <c r="AN39" i="29" s="1"/>
  <c r="B39" i="29"/>
  <c r="P39" i="29" s="1"/>
  <c r="BF38" i="29"/>
  <c r="BH38" i="29" s="1"/>
  <c r="BE38" i="29"/>
  <c r="BD38" i="29"/>
  <c r="AW38" i="29"/>
  <c r="AV38" i="29"/>
  <c r="AU38" i="29"/>
  <c r="AR38" i="29"/>
  <c r="AZ38" i="29" s="1"/>
  <c r="AQ38" i="29"/>
  <c r="AK38" i="29"/>
  <c r="AM38" i="29" s="1"/>
  <c r="AJ38" i="29"/>
  <c r="AI38" i="29"/>
  <c r="AB38" i="29"/>
  <c r="AA38" i="29"/>
  <c r="Z38" i="29"/>
  <c r="X38" i="29"/>
  <c r="W38" i="29"/>
  <c r="AE38" i="29" s="1"/>
  <c r="V38" i="29"/>
  <c r="F38" i="29"/>
  <c r="E38" i="29"/>
  <c r="D38" i="29"/>
  <c r="BB38" i="29" s="1"/>
  <c r="C38" i="29"/>
  <c r="AO38" i="29" s="1"/>
  <c r="AN38" i="29" s="1"/>
  <c r="B38" i="29"/>
  <c r="P38" i="29" s="1"/>
  <c r="BF37" i="29"/>
  <c r="BH37" i="29" s="1"/>
  <c r="BE37" i="29"/>
  <c r="BD37" i="29"/>
  <c r="AW37" i="29"/>
  <c r="AV37" i="29"/>
  <c r="AU37" i="29"/>
  <c r="AS37" i="29"/>
  <c r="AR37" i="29"/>
  <c r="AZ37" i="29" s="1"/>
  <c r="AQ37" i="29"/>
  <c r="AK37" i="29"/>
  <c r="AM37" i="29" s="1"/>
  <c r="AJ37" i="29"/>
  <c r="AI37" i="29"/>
  <c r="AB37" i="29"/>
  <c r="AA37" i="29"/>
  <c r="Z37" i="29"/>
  <c r="X37" i="29"/>
  <c r="W37" i="29"/>
  <c r="AE37" i="29" s="1"/>
  <c r="V37" i="29"/>
  <c r="F37" i="29"/>
  <c r="E37" i="29"/>
  <c r="D37" i="29"/>
  <c r="BB37" i="29" s="1"/>
  <c r="C37" i="29"/>
  <c r="AO37" i="29" s="1"/>
  <c r="AN37" i="29" s="1"/>
  <c r="B37" i="29"/>
  <c r="P37" i="29" s="1"/>
  <c r="BF36" i="29"/>
  <c r="BH36" i="29" s="1"/>
  <c r="BE36" i="29"/>
  <c r="BD36" i="29"/>
  <c r="AW36" i="29"/>
  <c r="AV36" i="29"/>
  <c r="AU36" i="29"/>
  <c r="AR36" i="29"/>
  <c r="AZ36" i="29" s="1"/>
  <c r="AQ36" i="29"/>
  <c r="AK36" i="29"/>
  <c r="AM36" i="29" s="1"/>
  <c r="AJ36" i="29"/>
  <c r="AI36" i="29"/>
  <c r="AB36" i="29"/>
  <c r="AA36" i="29"/>
  <c r="Z36" i="29"/>
  <c r="W36" i="29"/>
  <c r="AE36" i="29" s="1"/>
  <c r="V36" i="29"/>
  <c r="F36" i="29"/>
  <c r="E36" i="29"/>
  <c r="D36" i="29"/>
  <c r="AG36" i="29" s="1"/>
  <c r="C36" i="29"/>
  <c r="T36" i="29" s="1"/>
  <c r="B36" i="29"/>
  <c r="P36" i="29" s="1"/>
  <c r="BF35" i="29"/>
  <c r="BH35" i="29" s="1"/>
  <c r="BE35" i="29"/>
  <c r="BD35" i="29"/>
  <c r="AW35" i="29"/>
  <c r="AV35" i="29"/>
  <c r="AU35" i="29"/>
  <c r="AR35" i="29"/>
  <c r="AQ35" i="29"/>
  <c r="AK35" i="29"/>
  <c r="AM35" i="29" s="1"/>
  <c r="AJ35" i="29"/>
  <c r="AI35" i="29"/>
  <c r="AB35" i="29"/>
  <c r="AA35" i="29"/>
  <c r="Z35" i="29"/>
  <c r="W35" i="29"/>
  <c r="AE35" i="29" s="1"/>
  <c r="V35" i="29"/>
  <c r="F35" i="29"/>
  <c r="E35" i="29"/>
  <c r="D35" i="29"/>
  <c r="BB35" i="29" s="1"/>
  <c r="C35" i="29"/>
  <c r="AO35" i="29" s="1"/>
  <c r="AN35" i="29" s="1"/>
  <c r="B35" i="29"/>
  <c r="P35" i="29" s="1"/>
  <c r="BF34" i="29"/>
  <c r="BH34" i="29" s="1"/>
  <c r="BE34" i="29"/>
  <c r="BD34" i="29"/>
  <c r="AW34" i="29"/>
  <c r="AV34" i="29"/>
  <c r="AU34" i="29"/>
  <c r="AR34" i="29"/>
  <c r="AZ34" i="29" s="1"/>
  <c r="AQ34" i="29"/>
  <c r="AK34" i="29"/>
  <c r="AM34" i="29" s="1"/>
  <c r="AJ34" i="29"/>
  <c r="AI34" i="29"/>
  <c r="AB34" i="29"/>
  <c r="AA34" i="29"/>
  <c r="Z34" i="29"/>
  <c r="X34" i="29"/>
  <c r="W34" i="29"/>
  <c r="AE34" i="29" s="1"/>
  <c r="V34" i="29"/>
  <c r="F34" i="29"/>
  <c r="E34" i="29"/>
  <c r="D34" i="29"/>
  <c r="BB34" i="29" s="1"/>
  <c r="C34" i="29"/>
  <c r="AO34" i="29" s="1"/>
  <c r="AN34" i="29" s="1"/>
  <c r="B34" i="29"/>
  <c r="P34" i="29" s="1"/>
  <c r="BF33" i="29"/>
  <c r="BH33" i="29" s="1"/>
  <c r="BE33" i="29"/>
  <c r="BD33" i="29"/>
  <c r="AW33" i="29"/>
  <c r="AV33" i="29"/>
  <c r="AU33" i="29"/>
  <c r="AS33" i="29"/>
  <c r="AR33" i="29"/>
  <c r="AZ33" i="29" s="1"/>
  <c r="AQ33" i="29"/>
  <c r="AK33" i="29"/>
  <c r="AM33" i="29" s="1"/>
  <c r="AJ33" i="29"/>
  <c r="AI33" i="29"/>
  <c r="AB33" i="29"/>
  <c r="AA33" i="29"/>
  <c r="Z33" i="29"/>
  <c r="X33" i="29"/>
  <c r="W33" i="29"/>
  <c r="AE33" i="29" s="1"/>
  <c r="V33" i="29"/>
  <c r="F33" i="29"/>
  <c r="E33" i="29"/>
  <c r="D33" i="29"/>
  <c r="BB33" i="29" s="1"/>
  <c r="C33" i="29"/>
  <c r="AP33" i="29" s="1"/>
  <c r="B33" i="29"/>
  <c r="P33" i="29" s="1"/>
  <c r="BF32" i="29"/>
  <c r="BH32" i="29" s="1"/>
  <c r="BE32" i="29"/>
  <c r="BD32" i="29"/>
  <c r="AW32" i="29"/>
  <c r="AV32" i="29"/>
  <c r="AU32" i="29"/>
  <c r="AR32" i="29"/>
  <c r="AQ32" i="29"/>
  <c r="AK32" i="29"/>
  <c r="AM32" i="29" s="1"/>
  <c r="AJ32" i="29"/>
  <c r="AI32" i="29"/>
  <c r="AB32" i="29"/>
  <c r="AA32" i="29"/>
  <c r="Z32" i="29"/>
  <c r="W32" i="29"/>
  <c r="AE32" i="29" s="1"/>
  <c r="V32" i="29"/>
  <c r="F32" i="29"/>
  <c r="E32" i="29"/>
  <c r="D32" i="29"/>
  <c r="BC32" i="29" s="1"/>
  <c r="C32" i="29"/>
  <c r="U32" i="29" s="1"/>
  <c r="B32" i="29"/>
  <c r="P32" i="29" s="1"/>
  <c r="BF31" i="29"/>
  <c r="BH31" i="29" s="1"/>
  <c r="BE31" i="29"/>
  <c r="BD31" i="29"/>
  <c r="AW31" i="29"/>
  <c r="AV31" i="29"/>
  <c r="AU31" i="29"/>
  <c r="AS31" i="29"/>
  <c r="AR31" i="29"/>
  <c r="AQ31" i="29"/>
  <c r="AK31" i="29"/>
  <c r="AM31" i="29" s="1"/>
  <c r="AJ31" i="29"/>
  <c r="AI31" i="29"/>
  <c r="AB31" i="29"/>
  <c r="AA31" i="29"/>
  <c r="Z31" i="29"/>
  <c r="W31" i="29"/>
  <c r="AE31" i="29" s="1"/>
  <c r="V31" i="29"/>
  <c r="F31" i="29"/>
  <c r="E31" i="29"/>
  <c r="D31" i="29"/>
  <c r="BA31" i="29" s="1"/>
  <c r="C31" i="29"/>
  <c r="T31" i="29" s="1"/>
  <c r="B31" i="29"/>
  <c r="P31" i="29" s="1"/>
  <c r="BF30" i="29"/>
  <c r="BH30" i="29" s="1"/>
  <c r="BE30" i="29"/>
  <c r="BD30" i="29"/>
  <c r="AW30" i="29"/>
  <c r="AV30" i="29"/>
  <c r="AU30" i="29"/>
  <c r="AR30" i="29"/>
  <c r="AZ30" i="29" s="1"/>
  <c r="AQ30" i="29"/>
  <c r="AK30" i="29"/>
  <c r="AM30" i="29" s="1"/>
  <c r="AJ30" i="29"/>
  <c r="AI30" i="29"/>
  <c r="AB30" i="29"/>
  <c r="AA30" i="29"/>
  <c r="Z30" i="29"/>
  <c r="W30" i="29"/>
  <c r="V30" i="29"/>
  <c r="F30" i="29"/>
  <c r="E30" i="29"/>
  <c r="D30" i="29"/>
  <c r="AH30" i="29" s="1"/>
  <c r="C30" i="29"/>
  <c r="AO30" i="29" s="1"/>
  <c r="AN30" i="29" s="1"/>
  <c r="B30" i="29"/>
  <c r="P30" i="29" s="1"/>
  <c r="BF29" i="29"/>
  <c r="BH29" i="29" s="1"/>
  <c r="BE29" i="29"/>
  <c r="BD29" i="29"/>
  <c r="AW29" i="29"/>
  <c r="AV29" i="29"/>
  <c r="AU29" i="29"/>
  <c r="AS29" i="29"/>
  <c r="AR29" i="29"/>
  <c r="AZ29" i="29" s="1"/>
  <c r="AQ29" i="29"/>
  <c r="AK29" i="29"/>
  <c r="AM29" i="29" s="1"/>
  <c r="AJ29" i="29"/>
  <c r="AI29" i="29"/>
  <c r="AL29" i="29" s="1"/>
  <c r="AB29" i="29"/>
  <c r="AA29" i="29"/>
  <c r="Z29" i="29"/>
  <c r="X29" i="29"/>
  <c r="W29" i="29"/>
  <c r="AE29" i="29" s="1"/>
  <c r="V29" i="29"/>
  <c r="F29" i="29"/>
  <c r="E29" i="29"/>
  <c r="D29" i="29"/>
  <c r="BB29" i="29" s="1"/>
  <c r="C29" i="29"/>
  <c r="AP29" i="29" s="1"/>
  <c r="B29" i="29"/>
  <c r="P29" i="29" s="1"/>
  <c r="BF28" i="29"/>
  <c r="BH28" i="29" s="1"/>
  <c r="BE28" i="29"/>
  <c r="BD28" i="29"/>
  <c r="AW28" i="29"/>
  <c r="AV28" i="29"/>
  <c r="AU28" i="29"/>
  <c r="AR28" i="29"/>
  <c r="AZ28" i="29" s="1"/>
  <c r="AQ28" i="29"/>
  <c r="AK28" i="29"/>
  <c r="AM28" i="29" s="1"/>
  <c r="AJ28" i="29"/>
  <c r="AI28" i="29"/>
  <c r="AB28" i="29"/>
  <c r="AA28" i="29"/>
  <c r="Z28" i="29"/>
  <c r="W28" i="29"/>
  <c r="AE28" i="29" s="1"/>
  <c r="V28" i="29"/>
  <c r="F28" i="29"/>
  <c r="E28" i="29"/>
  <c r="D28" i="29"/>
  <c r="BC28" i="29" s="1"/>
  <c r="C28" i="29"/>
  <c r="U28" i="29" s="1"/>
  <c r="B28" i="29"/>
  <c r="P28" i="29" s="1"/>
  <c r="BF27" i="29"/>
  <c r="BH27" i="29" s="1"/>
  <c r="BE27" i="29"/>
  <c r="BD27" i="29"/>
  <c r="AW27" i="29"/>
  <c r="AV27" i="29"/>
  <c r="AU27" i="29"/>
  <c r="AS27" i="29"/>
  <c r="AR27" i="29"/>
  <c r="AQ27" i="29"/>
  <c r="AK27" i="29"/>
  <c r="AM27" i="29" s="1"/>
  <c r="AJ27" i="29"/>
  <c r="AI27" i="29"/>
  <c r="AB27" i="29"/>
  <c r="AA27" i="29"/>
  <c r="Z27" i="29"/>
  <c r="W27" i="29"/>
  <c r="AE27" i="29" s="1"/>
  <c r="V27" i="29"/>
  <c r="F27" i="29"/>
  <c r="E27" i="29"/>
  <c r="D27" i="29"/>
  <c r="BA27" i="29" s="1"/>
  <c r="C27" i="29"/>
  <c r="T27" i="29" s="1"/>
  <c r="B27" i="29"/>
  <c r="P27" i="29" s="1"/>
  <c r="BF26" i="29"/>
  <c r="BH26" i="29" s="1"/>
  <c r="BE26" i="29"/>
  <c r="BD26" i="29"/>
  <c r="AW26" i="29"/>
  <c r="AV26" i="29"/>
  <c r="AU26" i="29"/>
  <c r="AR26" i="29"/>
  <c r="AZ26" i="29" s="1"/>
  <c r="AQ26" i="29"/>
  <c r="AK26" i="29"/>
  <c r="AM26" i="29" s="1"/>
  <c r="AJ26" i="29"/>
  <c r="AI26" i="29"/>
  <c r="AB26" i="29"/>
  <c r="AA26" i="29"/>
  <c r="Z26" i="29"/>
  <c r="W26" i="29"/>
  <c r="AE26" i="29" s="1"/>
  <c r="V26" i="29"/>
  <c r="F26" i="29"/>
  <c r="E26" i="29"/>
  <c r="D26" i="29"/>
  <c r="BC26" i="29" s="1"/>
  <c r="C26" i="29"/>
  <c r="AO26" i="29" s="1"/>
  <c r="AN26" i="29" s="1"/>
  <c r="B26" i="29"/>
  <c r="P26" i="29" s="1"/>
  <c r="BF25" i="29"/>
  <c r="BH25" i="29" s="1"/>
  <c r="BE25" i="29"/>
  <c r="BD25" i="29"/>
  <c r="AW25" i="29"/>
  <c r="AV25" i="29"/>
  <c r="AU25" i="29"/>
  <c r="AR25" i="29"/>
  <c r="AZ25" i="29" s="1"/>
  <c r="AQ25" i="29"/>
  <c r="AK25" i="29"/>
  <c r="AM25" i="29" s="1"/>
  <c r="AJ25" i="29"/>
  <c r="AI25" i="29"/>
  <c r="AB25" i="29"/>
  <c r="AA25" i="29"/>
  <c r="Z25" i="29"/>
  <c r="X25" i="29"/>
  <c r="W25" i="29"/>
  <c r="AE25" i="29" s="1"/>
  <c r="V25" i="29"/>
  <c r="F25" i="29"/>
  <c r="E25" i="29"/>
  <c r="D25" i="29"/>
  <c r="BB25" i="29" s="1"/>
  <c r="C25" i="29"/>
  <c r="AO25" i="29" s="1"/>
  <c r="AN25" i="29" s="1"/>
  <c r="B25" i="29"/>
  <c r="P25" i="29" s="1"/>
  <c r="BF24" i="29"/>
  <c r="BH24" i="29" s="1"/>
  <c r="BE24" i="29"/>
  <c r="BD24" i="29"/>
  <c r="AW24" i="29"/>
  <c r="AV24" i="29"/>
  <c r="AU24" i="29"/>
  <c r="AS24" i="29"/>
  <c r="AR24" i="29"/>
  <c r="AZ24" i="29" s="1"/>
  <c r="AQ24" i="29"/>
  <c r="AK24" i="29"/>
  <c r="AM24" i="29" s="1"/>
  <c r="AJ24" i="29"/>
  <c r="AI24" i="29"/>
  <c r="AB24" i="29"/>
  <c r="AA24" i="29"/>
  <c r="Z24" i="29"/>
  <c r="X24" i="29"/>
  <c r="W24" i="29"/>
  <c r="V24" i="29"/>
  <c r="F24" i="29"/>
  <c r="E24" i="29"/>
  <c r="D24" i="29"/>
  <c r="BB24" i="29" s="1"/>
  <c r="C24" i="29"/>
  <c r="AP24" i="29" s="1"/>
  <c r="B24" i="29"/>
  <c r="P24" i="29" s="1"/>
  <c r="BF23" i="29"/>
  <c r="BH23" i="29" s="1"/>
  <c r="BE23" i="29"/>
  <c r="BD23" i="29"/>
  <c r="AW23" i="29"/>
  <c r="AV23" i="29"/>
  <c r="AU23" i="29"/>
  <c r="AR23" i="29"/>
  <c r="AQ23" i="29"/>
  <c r="AK23" i="29"/>
  <c r="AM23" i="29" s="1"/>
  <c r="AJ23" i="29"/>
  <c r="AI23" i="29"/>
  <c r="AB23" i="29"/>
  <c r="AA23" i="29"/>
  <c r="Z23" i="29"/>
  <c r="W23" i="29"/>
  <c r="V23" i="29"/>
  <c r="F23" i="29"/>
  <c r="E23" i="29"/>
  <c r="D23" i="29"/>
  <c r="BB23" i="29" s="1"/>
  <c r="C23" i="29"/>
  <c r="T23" i="29" s="1"/>
  <c r="B23" i="29"/>
  <c r="P23" i="29" s="1"/>
  <c r="BF22" i="29"/>
  <c r="BH22" i="29" s="1"/>
  <c r="BE22" i="29"/>
  <c r="BD22" i="29"/>
  <c r="AW22" i="29"/>
  <c r="AV22" i="29"/>
  <c r="AU22" i="29"/>
  <c r="AR22" i="29"/>
  <c r="AZ22" i="29" s="1"/>
  <c r="AQ22" i="29"/>
  <c r="AK22" i="29"/>
  <c r="AM22" i="29" s="1"/>
  <c r="AJ22" i="29"/>
  <c r="AI22" i="29"/>
  <c r="AB22" i="29"/>
  <c r="AA22" i="29"/>
  <c r="Z22" i="29"/>
  <c r="W22" i="29"/>
  <c r="V22" i="29"/>
  <c r="F22" i="29"/>
  <c r="E22" i="29"/>
  <c r="D22" i="29"/>
  <c r="BB22" i="29" s="1"/>
  <c r="C22" i="29"/>
  <c r="AO22" i="29" s="1"/>
  <c r="AN22" i="29" s="1"/>
  <c r="B22" i="29"/>
  <c r="P22" i="29" s="1"/>
  <c r="BF21" i="29"/>
  <c r="BH21" i="29" s="1"/>
  <c r="BE21" i="29"/>
  <c r="BD21" i="29"/>
  <c r="AW21" i="29"/>
  <c r="AV21" i="29"/>
  <c r="AU21" i="29"/>
  <c r="AR21" i="29"/>
  <c r="AZ21" i="29" s="1"/>
  <c r="AQ21" i="29"/>
  <c r="AK21" i="29"/>
  <c r="AM21" i="29" s="1"/>
  <c r="AJ21" i="29"/>
  <c r="AI21" i="29"/>
  <c r="AB21" i="29"/>
  <c r="AA21" i="29"/>
  <c r="Z21" i="29"/>
  <c r="W21" i="29"/>
  <c r="V21" i="29"/>
  <c r="F21" i="29"/>
  <c r="E21" i="29"/>
  <c r="D21" i="29"/>
  <c r="AH21" i="29" s="1"/>
  <c r="C21" i="29"/>
  <c r="AO21" i="29" s="1"/>
  <c r="AN21" i="29" s="1"/>
  <c r="B21" i="29"/>
  <c r="P21" i="29" s="1"/>
  <c r="BF20" i="29"/>
  <c r="BH20" i="29" s="1"/>
  <c r="BE20" i="29"/>
  <c r="BD20" i="29"/>
  <c r="AW20" i="29"/>
  <c r="AV20" i="29"/>
  <c r="AU20" i="29"/>
  <c r="AS20" i="29"/>
  <c r="AR20" i="29"/>
  <c r="AZ20" i="29" s="1"/>
  <c r="AQ20" i="29"/>
  <c r="AK20" i="29"/>
  <c r="AM20" i="29" s="1"/>
  <c r="AJ20" i="29"/>
  <c r="AI20" i="29"/>
  <c r="AB20" i="29"/>
  <c r="AA20" i="29"/>
  <c r="Z20" i="29"/>
  <c r="X20" i="29"/>
  <c r="W20" i="29"/>
  <c r="AE20" i="29" s="1"/>
  <c r="V20" i="29"/>
  <c r="F20" i="29"/>
  <c r="E20" i="29"/>
  <c r="D20" i="29"/>
  <c r="BB20" i="29" s="1"/>
  <c r="C20" i="29"/>
  <c r="AP20" i="29" s="1"/>
  <c r="B20" i="29"/>
  <c r="P20" i="29" s="1"/>
  <c r="BF19" i="29"/>
  <c r="BH19" i="29" s="1"/>
  <c r="BE19" i="29"/>
  <c r="BD19" i="29"/>
  <c r="AW19" i="29"/>
  <c r="AV19" i="29"/>
  <c r="AU19" i="29"/>
  <c r="AR19" i="29"/>
  <c r="AZ19" i="29" s="1"/>
  <c r="AQ19" i="29"/>
  <c r="AK19" i="29"/>
  <c r="AM19" i="29" s="1"/>
  <c r="AJ19" i="29"/>
  <c r="AI19" i="29"/>
  <c r="AB19" i="29"/>
  <c r="AA19" i="29"/>
  <c r="Z19" i="29"/>
  <c r="X19" i="29"/>
  <c r="W19" i="29"/>
  <c r="V19" i="29"/>
  <c r="F19" i="29"/>
  <c r="E19" i="29"/>
  <c r="D19" i="29"/>
  <c r="BC19" i="29" s="1"/>
  <c r="C19" i="29"/>
  <c r="U19" i="29" s="1"/>
  <c r="B19" i="29"/>
  <c r="P19" i="29" s="1"/>
  <c r="BF18" i="29"/>
  <c r="BH18" i="29" s="1"/>
  <c r="BE18" i="29"/>
  <c r="BD18" i="29"/>
  <c r="AW18" i="29"/>
  <c r="AV18" i="29"/>
  <c r="AU18" i="29"/>
  <c r="AR18" i="29"/>
  <c r="AQ18" i="29"/>
  <c r="AK18" i="29"/>
  <c r="AM18" i="29" s="1"/>
  <c r="AJ18" i="29"/>
  <c r="AI18" i="29"/>
  <c r="AB18" i="29"/>
  <c r="AA18" i="29"/>
  <c r="Z18" i="29"/>
  <c r="W18" i="29"/>
  <c r="AE18" i="29" s="1"/>
  <c r="V18" i="29"/>
  <c r="F18" i="29"/>
  <c r="E18" i="29"/>
  <c r="D18" i="29"/>
  <c r="BB18" i="29" s="1"/>
  <c r="C18" i="29"/>
  <c r="T18" i="29" s="1"/>
  <c r="B18" i="29"/>
  <c r="P18" i="29" s="1"/>
  <c r="BF17" i="29"/>
  <c r="BH17" i="29" s="1"/>
  <c r="BE17" i="29"/>
  <c r="BD17" i="29"/>
  <c r="AW17" i="29"/>
  <c r="AV17" i="29"/>
  <c r="AU17" i="29"/>
  <c r="AR17" i="29"/>
  <c r="AZ17" i="29" s="1"/>
  <c r="AQ17" i="29"/>
  <c r="AK17" i="29"/>
  <c r="AM17" i="29" s="1"/>
  <c r="AJ17" i="29"/>
  <c r="AI17" i="29"/>
  <c r="AB17" i="29"/>
  <c r="AA17" i="29"/>
  <c r="Z17" i="29"/>
  <c r="W17" i="29"/>
  <c r="V17" i="29"/>
  <c r="F17" i="29"/>
  <c r="E17" i="29"/>
  <c r="D17" i="29"/>
  <c r="AH17" i="29" s="1"/>
  <c r="C17" i="29"/>
  <c r="AO17" i="29" s="1"/>
  <c r="AN17" i="29" s="1"/>
  <c r="B17" i="29"/>
  <c r="P17" i="29" s="1"/>
  <c r="BF16" i="29"/>
  <c r="BH16" i="29" s="1"/>
  <c r="BE16" i="29"/>
  <c r="BD16" i="29"/>
  <c r="AW16" i="29"/>
  <c r="AV16" i="29"/>
  <c r="AU16" i="29"/>
  <c r="AR16" i="29"/>
  <c r="AQ16" i="29"/>
  <c r="AK16" i="29"/>
  <c r="AM16" i="29" s="1"/>
  <c r="AJ16" i="29"/>
  <c r="AI16" i="29"/>
  <c r="AB16" i="29"/>
  <c r="AA16" i="29"/>
  <c r="Z16" i="29"/>
  <c r="W16" i="29"/>
  <c r="V16" i="29"/>
  <c r="F16" i="29"/>
  <c r="E16" i="29"/>
  <c r="D16" i="29"/>
  <c r="C16" i="29"/>
  <c r="B16" i="29"/>
  <c r="BF15" i="29"/>
  <c r="BH15" i="29" s="1"/>
  <c r="BE15" i="29"/>
  <c r="BD15" i="29"/>
  <c r="AW15" i="29"/>
  <c r="AV15" i="29"/>
  <c r="AU15" i="29"/>
  <c r="AR15" i="29"/>
  <c r="AZ15" i="29" s="1"/>
  <c r="AQ15" i="29"/>
  <c r="AK15" i="29"/>
  <c r="AM15" i="29" s="1"/>
  <c r="AJ15" i="29"/>
  <c r="AI15" i="29"/>
  <c r="AB15" i="29"/>
  <c r="AA15" i="29"/>
  <c r="Z15" i="29"/>
  <c r="X15" i="29"/>
  <c r="W15" i="29"/>
  <c r="V15" i="29"/>
  <c r="F15" i="29"/>
  <c r="E15" i="29"/>
  <c r="D15" i="29"/>
  <c r="BC15" i="29" s="1"/>
  <c r="C15" i="29"/>
  <c r="U15" i="29" s="1"/>
  <c r="B15" i="29"/>
  <c r="P15" i="29" s="1"/>
  <c r="BF14" i="29"/>
  <c r="BH14" i="29" s="1"/>
  <c r="BE14" i="29"/>
  <c r="BD14" i="29"/>
  <c r="AW14" i="29"/>
  <c r="AV14" i="29"/>
  <c r="AU14" i="29"/>
  <c r="AR14" i="29"/>
  <c r="AQ14" i="29"/>
  <c r="AK14" i="29"/>
  <c r="AM14" i="29" s="1"/>
  <c r="AJ14" i="29"/>
  <c r="AI14" i="29"/>
  <c r="AB14" i="29"/>
  <c r="AA14" i="29"/>
  <c r="Z14" i="29"/>
  <c r="W14" i="29"/>
  <c r="AE14" i="29" s="1"/>
  <c r="V14" i="29"/>
  <c r="F14" i="29"/>
  <c r="E14" i="29"/>
  <c r="D14" i="29"/>
  <c r="BB14" i="29" s="1"/>
  <c r="C14" i="29"/>
  <c r="T14" i="29" s="1"/>
  <c r="B14" i="29"/>
  <c r="P14" i="29" s="1"/>
  <c r="BF13" i="29"/>
  <c r="BH13" i="29" s="1"/>
  <c r="BE13" i="29"/>
  <c r="BD13" i="29"/>
  <c r="AW13" i="29"/>
  <c r="AV13" i="29"/>
  <c r="AU13" i="29"/>
  <c r="AR13" i="29"/>
  <c r="AZ13" i="29" s="1"/>
  <c r="AQ13" i="29"/>
  <c r="AK13" i="29"/>
  <c r="AM13" i="29" s="1"/>
  <c r="AJ13" i="29"/>
  <c r="AI13" i="29"/>
  <c r="AB13" i="29"/>
  <c r="AA13" i="29"/>
  <c r="Z13" i="29"/>
  <c r="W13" i="29"/>
  <c r="V13" i="29"/>
  <c r="F13" i="29"/>
  <c r="E13" i="29"/>
  <c r="D13" i="29"/>
  <c r="AH13" i="29" s="1"/>
  <c r="C13" i="29"/>
  <c r="AO13" i="29" s="1"/>
  <c r="AN13" i="29" s="1"/>
  <c r="B13" i="29"/>
  <c r="P13" i="29" s="1"/>
  <c r="BF12" i="29"/>
  <c r="BH12" i="29" s="1"/>
  <c r="BE12" i="29"/>
  <c r="BD12" i="29"/>
  <c r="AW12" i="29"/>
  <c r="AV12" i="29"/>
  <c r="AU12" i="29"/>
  <c r="AS12" i="29"/>
  <c r="AR12" i="29"/>
  <c r="AZ12" i="29" s="1"/>
  <c r="AQ12" i="29"/>
  <c r="AK12" i="29"/>
  <c r="AM12" i="29" s="1"/>
  <c r="AJ12" i="29"/>
  <c r="AI12" i="29"/>
  <c r="AB12" i="29"/>
  <c r="AA12" i="29"/>
  <c r="Z12" i="29"/>
  <c r="X12" i="29"/>
  <c r="W12" i="29"/>
  <c r="AE12" i="29" s="1"/>
  <c r="V12" i="29"/>
  <c r="F12" i="29"/>
  <c r="E12" i="29"/>
  <c r="D12" i="29"/>
  <c r="BB12" i="29" s="1"/>
  <c r="C12" i="29"/>
  <c r="AP12" i="29" s="1"/>
  <c r="B12" i="29"/>
  <c r="P12" i="29" s="1"/>
  <c r="BF11" i="29"/>
  <c r="BH11" i="29" s="1"/>
  <c r="BE11" i="29"/>
  <c r="BD11" i="29"/>
  <c r="AW11" i="29"/>
  <c r="AV11" i="29"/>
  <c r="AU11" i="29"/>
  <c r="AR11" i="29"/>
  <c r="AZ11" i="29" s="1"/>
  <c r="AQ11" i="29"/>
  <c r="AK11" i="29"/>
  <c r="AM11" i="29" s="1"/>
  <c r="AJ11" i="29"/>
  <c r="AI11" i="29"/>
  <c r="AB11" i="29"/>
  <c r="AA11" i="29"/>
  <c r="Z11" i="29"/>
  <c r="X11" i="29"/>
  <c r="W11" i="29"/>
  <c r="V11" i="29"/>
  <c r="F11" i="29"/>
  <c r="E11" i="29"/>
  <c r="D11" i="29"/>
  <c r="BC11" i="29" s="1"/>
  <c r="C11" i="29"/>
  <c r="U11" i="29" s="1"/>
  <c r="B11" i="29"/>
  <c r="P11" i="29" s="1"/>
  <c r="BF10" i="29"/>
  <c r="BH10" i="29" s="1"/>
  <c r="BE10" i="29"/>
  <c r="BD10" i="29"/>
  <c r="AW10" i="29"/>
  <c r="AV10" i="29"/>
  <c r="AU10" i="29"/>
  <c r="AR10" i="29"/>
  <c r="AQ10" i="29"/>
  <c r="AK10" i="29"/>
  <c r="AM10" i="29" s="1"/>
  <c r="AJ10" i="29"/>
  <c r="AI10" i="29"/>
  <c r="AB10" i="29"/>
  <c r="AA10" i="29"/>
  <c r="Z10" i="29"/>
  <c r="W10" i="29"/>
  <c r="AE10" i="29" s="1"/>
  <c r="V10" i="29"/>
  <c r="F10" i="29"/>
  <c r="E10" i="29"/>
  <c r="D10" i="29"/>
  <c r="BB10" i="29" s="1"/>
  <c r="C10" i="29"/>
  <c r="T10" i="29" s="1"/>
  <c r="B10" i="29"/>
  <c r="P10" i="29" s="1"/>
  <c r="BF9" i="29"/>
  <c r="BH9" i="29" s="1"/>
  <c r="BE9" i="29"/>
  <c r="BD9" i="29"/>
  <c r="AW9" i="29"/>
  <c r="AV9" i="29"/>
  <c r="AU9" i="29"/>
  <c r="AR9" i="29"/>
  <c r="AZ9" i="29" s="1"/>
  <c r="AQ9" i="29"/>
  <c r="AK9" i="29"/>
  <c r="AM9" i="29" s="1"/>
  <c r="AJ9" i="29"/>
  <c r="AI9" i="29"/>
  <c r="AB9" i="29"/>
  <c r="AA9" i="29"/>
  <c r="Z9" i="29"/>
  <c r="W9" i="29"/>
  <c r="AE9" i="29" s="1"/>
  <c r="V9" i="29"/>
  <c r="F9" i="29"/>
  <c r="E9" i="29"/>
  <c r="D9" i="29"/>
  <c r="AH9" i="29" s="1"/>
  <c r="C9" i="29"/>
  <c r="AO9" i="29" s="1"/>
  <c r="B9" i="29"/>
  <c r="BF73" i="28"/>
  <c r="BH73" i="28" s="1"/>
  <c r="BE73" i="28"/>
  <c r="BD73" i="28"/>
  <c r="BB73" i="28"/>
  <c r="BA73" i="28"/>
  <c r="AW73" i="28"/>
  <c r="AV73" i="28"/>
  <c r="AU73" i="28"/>
  <c r="AT73" i="28"/>
  <c r="AS73" i="28"/>
  <c r="AR73" i="28"/>
  <c r="AZ73" i="28" s="1"/>
  <c r="AQ73" i="28"/>
  <c r="AP73" i="28"/>
  <c r="AO73" i="28"/>
  <c r="AK73" i="28"/>
  <c r="AM73" i="28" s="1"/>
  <c r="AJ73" i="28"/>
  <c r="AI73" i="28"/>
  <c r="AG73" i="28"/>
  <c r="AF73" i="28"/>
  <c r="AB73" i="28"/>
  <c r="AA73" i="28"/>
  <c r="Z73" i="28"/>
  <c r="Y73" i="28"/>
  <c r="X73" i="28"/>
  <c r="W73" i="28"/>
  <c r="AE73" i="28" s="1"/>
  <c r="V73" i="28"/>
  <c r="U73" i="28"/>
  <c r="T73" i="28"/>
  <c r="BF72" i="28"/>
  <c r="BH72" i="28" s="1"/>
  <c r="BE72" i="28"/>
  <c r="BD72" i="28"/>
  <c r="BC72" i="28"/>
  <c r="BB72" i="28"/>
  <c r="BA72" i="28"/>
  <c r="AW72" i="28"/>
  <c r="AV72" i="28"/>
  <c r="AU72" i="28"/>
  <c r="AT72" i="28"/>
  <c r="AS72" i="28"/>
  <c r="AR72" i="28"/>
  <c r="AZ72" i="28" s="1"/>
  <c r="AQ72" i="28"/>
  <c r="AP72" i="28"/>
  <c r="AO72" i="28"/>
  <c r="AN72" i="28" s="1"/>
  <c r="AK72" i="28"/>
  <c r="AM72" i="28" s="1"/>
  <c r="AJ72" i="28"/>
  <c r="AI72" i="28"/>
  <c r="AH72" i="28"/>
  <c r="AG72" i="28"/>
  <c r="AF72" i="28"/>
  <c r="AB72" i="28"/>
  <c r="AA72" i="28"/>
  <c r="Z72" i="28"/>
  <c r="Y72" i="28"/>
  <c r="X72" i="28"/>
  <c r="W72" i="28"/>
  <c r="AE72" i="28" s="1"/>
  <c r="V72" i="28"/>
  <c r="U72" i="28"/>
  <c r="T72" i="28"/>
  <c r="O72" i="28" s="1"/>
  <c r="P72" i="28"/>
  <c r="BF71" i="28"/>
  <c r="BH71" i="28" s="1"/>
  <c r="BE71" i="28"/>
  <c r="BD71" i="28"/>
  <c r="BC71" i="28"/>
  <c r="BB71" i="28"/>
  <c r="BA71" i="28"/>
  <c r="AW71" i="28"/>
  <c r="AV71" i="28"/>
  <c r="AU71" i="28"/>
  <c r="AT71" i="28"/>
  <c r="AS71" i="28"/>
  <c r="AR71" i="28"/>
  <c r="AZ71" i="28" s="1"/>
  <c r="AQ71" i="28"/>
  <c r="AP71" i="28"/>
  <c r="AO71" i="28"/>
  <c r="AN71" i="28" s="1"/>
  <c r="AK71" i="28"/>
  <c r="AM71" i="28" s="1"/>
  <c r="AJ71" i="28"/>
  <c r="AI71" i="28"/>
  <c r="AH71" i="28"/>
  <c r="AG71" i="28"/>
  <c r="AF71" i="28"/>
  <c r="AB71" i="28"/>
  <c r="AA71" i="28"/>
  <c r="Z71" i="28"/>
  <c r="Y71" i="28"/>
  <c r="X71" i="28"/>
  <c r="W71" i="28"/>
  <c r="AE71" i="28" s="1"/>
  <c r="V71" i="28"/>
  <c r="U71" i="28"/>
  <c r="T71" i="28"/>
  <c r="O71" i="28" s="1"/>
  <c r="P71" i="28"/>
  <c r="BF70" i="28"/>
  <c r="BH70" i="28" s="1"/>
  <c r="BE70" i="28"/>
  <c r="BD70" i="28"/>
  <c r="BC70" i="28"/>
  <c r="BB70" i="28"/>
  <c r="BA70" i="28"/>
  <c r="AW70" i="28"/>
  <c r="AV70" i="28"/>
  <c r="AU70" i="28"/>
  <c r="AT70" i="28"/>
  <c r="AS70" i="28"/>
  <c r="AR70" i="28"/>
  <c r="AZ70" i="28" s="1"/>
  <c r="AQ70" i="28"/>
  <c r="AP70" i="28"/>
  <c r="AO70" i="28"/>
  <c r="AN70" i="28" s="1"/>
  <c r="AK70" i="28"/>
  <c r="AM70" i="28" s="1"/>
  <c r="AJ70" i="28"/>
  <c r="AI70" i="28"/>
  <c r="AH70" i="28"/>
  <c r="AG70" i="28"/>
  <c r="AF70" i="28"/>
  <c r="AB70" i="28"/>
  <c r="AA70" i="28"/>
  <c r="Z70" i="28"/>
  <c r="Y70" i="28"/>
  <c r="X70" i="28"/>
  <c r="W70" i="28"/>
  <c r="AE70" i="28" s="1"/>
  <c r="V70" i="28"/>
  <c r="U70" i="28"/>
  <c r="T70" i="28"/>
  <c r="O70" i="28" s="1"/>
  <c r="P70" i="28"/>
  <c r="BF69" i="28"/>
  <c r="BH69" i="28" s="1"/>
  <c r="BE69" i="28"/>
  <c r="BD69" i="28"/>
  <c r="BC69" i="28"/>
  <c r="BB69" i="28"/>
  <c r="BA69" i="28"/>
  <c r="AW69" i="28"/>
  <c r="AV69" i="28"/>
  <c r="AU69" i="28"/>
  <c r="AT69" i="28"/>
  <c r="AS69" i="28"/>
  <c r="AR69" i="28"/>
  <c r="AZ69" i="28" s="1"/>
  <c r="AQ69" i="28"/>
  <c r="AP69" i="28"/>
  <c r="AO69" i="28"/>
  <c r="AN69" i="28" s="1"/>
  <c r="AK69" i="28"/>
  <c r="AM69" i="28" s="1"/>
  <c r="AJ69" i="28"/>
  <c r="AI69" i="28"/>
  <c r="AH69" i="28"/>
  <c r="AG69" i="28"/>
  <c r="AF69" i="28"/>
  <c r="AB69" i="28"/>
  <c r="AA69" i="28"/>
  <c r="Z69" i="28"/>
  <c r="Y69" i="28"/>
  <c r="X69" i="28"/>
  <c r="W69" i="28"/>
  <c r="AE69" i="28" s="1"/>
  <c r="V69" i="28"/>
  <c r="U69" i="28"/>
  <c r="T69" i="28"/>
  <c r="O69" i="28" s="1"/>
  <c r="P69" i="28"/>
  <c r="BF68" i="28"/>
  <c r="BH68" i="28" s="1"/>
  <c r="BE68" i="28"/>
  <c r="BD68" i="28"/>
  <c r="BC68" i="28"/>
  <c r="BB68" i="28"/>
  <c r="BA68" i="28"/>
  <c r="AW68" i="28"/>
  <c r="AV68" i="28"/>
  <c r="AU68" i="28"/>
  <c r="AT68" i="28"/>
  <c r="AS68" i="28"/>
  <c r="AR68" i="28"/>
  <c r="AZ68" i="28" s="1"/>
  <c r="AQ68" i="28"/>
  <c r="AP68" i="28"/>
  <c r="AO68" i="28"/>
  <c r="AN68" i="28" s="1"/>
  <c r="AK68" i="28"/>
  <c r="AM68" i="28" s="1"/>
  <c r="AJ68" i="28"/>
  <c r="AI68" i="28"/>
  <c r="AH68" i="28"/>
  <c r="AG68" i="28"/>
  <c r="AF68" i="28"/>
  <c r="AB68" i="28"/>
  <c r="AA68" i="28"/>
  <c r="Z68" i="28"/>
  <c r="Y68" i="28"/>
  <c r="X68" i="28"/>
  <c r="W68" i="28"/>
  <c r="AE68" i="28" s="1"/>
  <c r="V68" i="28"/>
  <c r="U68" i="28"/>
  <c r="T68" i="28"/>
  <c r="O68" i="28" s="1"/>
  <c r="P68" i="28"/>
  <c r="BF67" i="28"/>
  <c r="BH67" i="28" s="1"/>
  <c r="BE67" i="28"/>
  <c r="BD67" i="28"/>
  <c r="BC67" i="28"/>
  <c r="BB67" i="28"/>
  <c r="BA67" i="28"/>
  <c r="AW67" i="28"/>
  <c r="AV67" i="28"/>
  <c r="AU67" i="28"/>
  <c r="AT67" i="28"/>
  <c r="AS67" i="28"/>
  <c r="AR67" i="28"/>
  <c r="AZ67" i="28" s="1"/>
  <c r="AQ67" i="28"/>
  <c r="AP67" i="28"/>
  <c r="AO67" i="28"/>
  <c r="AN67" i="28" s="1"/>
  <c r="AK67" i="28"/>
  <c r="AM67" i="28" s="1"/>
  <c r="AJ67" i="28"/>
  <c r="AI67" i="28"/>
  <c r="AH67" i="28"/>
  <c r="AG67" i="28"/>
  <c r="AF67" i="28"/>
  <c r="AB67" i="28"/>
  <c r="AA67" i="28"/>
  <c r="Z67" i="28"/>
  <c r="Y67" i="28"/>
  <c r="X67" i="28"/>
  <c r="W67" i="28"/>
  <c r="AE67" i="28" s="1"/>
  <c r="V67" i="28"/>
  <c r="U67" i="28"/>
  <c r="T67" i="28"/>
  <c r="O67" i="28" s="1"/>
  <c r="P67" i="28"/>
  <c r="BF66" i="28"/>
  <c r="BH66" i="28" s="1"/>
  <c r="BE66" i="28"/>
  <c r="BD66" i="28"/>
  <c r="BC66" i="28"/>
  <c r="BB66" i="28"/>
  <c r="BA66" i="28"/>
  <c r="AW66" i="28"/>
  <c r="AV66" i="28"/>
  <c r="AU66" i="28"/>
  <c r="AT66" i="28"/>
  <c r="AS66" i="28"/>
  <c r="AR66" i="28"/>
  <c r="AZ66" i="28" s="1"/>
  <c r="AQ66" i="28"/>
  <c r="AP66" i="28"/>
  <c r="AO66" i="28"/>
  <c r="AN66" i="28" s="1"/>
  <c r="AK66" i="28"/>
  <c r="AM66" i="28" s="1"/>
  <c r="AJ66" i="28"/>
  <c r="AI66" i="28"/>
  <c r="AH66" i="28"/>
  <c r="AG66" i="28"/>
  <c r="AF66" i="28"/>
  <c r="AB66" i="28"/>
  <c r="AA66" i="28"/>
  <c r="Z66" i="28"/>
  <c r="Y66" i="28"/>
  <c r="X66" i="28"/>
  <c r="W66" i="28"/>
  <c r="AE66" i="28" s="1"/>
  <c r="V66" i="28"/>
  <c r="U66" i="28"/>
  <c r="T66" i="28"/>
  <c r="O66" i="28" s="1"/>
  <c r="P66" i="28"/>
  <c r="BF65" i="28"/>
  <c r="BH65" i="28" s="1"/>
  <c r="BE65" i="28"/>
  <c r="BD65" i="28"/>
  <c r="BC65" i="28"/>
  <c r="BB65" i="28"/>
  <c r="BA65" i="28"/>
  <c r="AW65" i="28"/>
  <c r="AV65" i="28"/>
  <c r="AU65" i="28"/>
  <c r="AT65" i="28"/>
  <c r="AS65" i="28"/>
  <c r="AR65" i="28"/>
  <c r="AZ65" i="28" s="1"/>
  <c r="AQ65" i="28"/>
  <c r="AP65" i="28"/>
  <c r="AO65" i="28"/>
  <c r="AN65" i="28" s="1"/>
  <c r="AK65" i="28"/>
  <c r="AM65" i="28" s="1"/>
  <c r="AJ65" i="28"/>
  <c r="AI65" i="28"/>
  <c r="AH65" i="28"/>
  <c r="AG65" i="28"/>
  <c r="AF65" i="28"/>
  <c r="AB65" i="28"/>
  <c r="AA65" i="28"/>
  <c r="Z65" i="28"/>
  <c r="Y65" i="28"/>
  <c r="X65" i="28"/>
  <c r="W65" i="28"/>
  <c r="AE65" i="28" s="1"/>
  <c r="V65" i="28"/>
  <c r="U65" i="28"/>
  <c r="T65" i="28"/>
  <c r="O65" i="28" s="1"/>
  <c r="P65" i="28"/>
  <c r="BF64" i="28"/>
  <c r="BH64" i="28" s="1"/>
  <c r="BE64" i="28"/>
  <c r="BD64" i="28"/>
  <c r="BC64" i="28"/>
  <c r="BB64" i="28"/>
  <c r="BA64" i="28"/>
  <c r="AW64" i="28"/>
  <c r="AV64" i="28"/>
  <c r="AU64" i="28"/>
  <c r="AT64" i="28"/>
  <c r="AS64" i="28"/>
  <c r="AR64" i="28"/>
  <c r="AZ64" i="28" s="1"/>
  <c r="AQ64" i="28"/>
  <c r="AP64" i="28"/>
  <c r="AO64" i="28"/>
  <c r="AN64" i="28" s="1"/>
  <c r="AK64" i="28"/>
  <c r="AM64" i="28" s="1"/>
  <c r="AJ64" i="28"/>
  <c r="AI64" i="28"/>
  <c r="AH64" i="28"/>
  <c r="AG64" i="28"/>
  <c r="AF64" i="28"/>
  <c r="AB64" i="28"/>
  <c r="AA64" i="28"/>
  <c r="Z64" i="28"/>
  <c r="Y64" i="28"/>
  <c r="X64" i="28"/>
  <c r="W64" i="28"/>
  <c r="AE64" i="28" s="1"/>
  <c r="V64" i="28"/>
  <c r="U64" i="28"/>
  <c r="T64" i="28"/>
  <c r="O64" i="28" s="1"/>
  <c r="P64" i="28"/>
  <c r="BF63" i="28"/>
  <c r="BH63" i="28" s="1"/>
  <c r="BE63" i="28"/>
  <c r="BD63" i="28"/>
  <c r="BC63" i="28"/>
  <c r="BB63" i="28"/>
  <c r="BA63" i="28"/>
  <c r="AW63" i="28"/>
  <c r="AV63" i="28"/>
  <c r="AU63" i="28"/>
  <c r="AT63" i="28"/>
  <c r="AS63" i="28"/>
  <c r="AR63" i="28"/>
  <c r="AZ63" i="28" s="1"/>
  <c r="AQ63" i="28"/>
  <c r="AP63" i="28"/>
  <c r="AO63" i="28"/>
  <c r="AN63" i="28" s="1"/>
  <c r="AK63" i="28"/>
  <c r="AM63" i="28" s="1"/>
  <c r="AJ63" i="28"/>
  <c r="AI63" i="28"/>
  <c r="AH63" i="28"/>
  <c r="AG63" i="28"/>
  <c r="AF63" i="28"/>
  <c r="AB63" i="28"/>
  <c r="AA63" i="28"/>
  <c r="Z63" i="28"/>
  <c r="Y63" i="28"/>
  <c r="X63" i="28"/>
  <c r="W63" i="28"/>
  <c r="AE63" i="28" s="1"/>
  <c r="V63" i="28"/>
  <c r="U63" i="28"/>
  <c r="T63" i="28"/>
  <c r="O63" i="28" s="1"/>
  <c r="P63" i="28"/>
  <c r="BF62" i="28"/>
  <c r="BH62" i="28" s="1"/>
  <c r="BE62" i="28"/>
  <c r="BD62" i="28"/>
  <c r="BC62" i="28"/>
  <c r="BB62" i="28"/>
  <c r="BA62" i="28"/>
  <c r="AW62" i="28"/>
  <c r="AV62" i="28"/>
  <c r="AU62" i="28"/>
  <c r="AT62" i="28"/>
  <c r="AS62" i="28"/>
  <c r="AR62" i="28"/>
  <c r="AZ62" i="28" s="1"/>
  <c r="AQ62" i="28"/>
  <c r="AP62" i="28"/>
  <c r="AO62" i="28"/>
  <c r="AN62" i="28" s="1"/>
  <c r="AK62" i="28"/>
  <c r="AM62" i="28" s="1"/>
  <c r="AJ62" i="28"/>
  <c r="AI62" i="28"/>
  <c r="AH62" i="28"/>
  <c r="AG62" i="28"/>
  <c r="AF62" i="28"/>
  <c r="AB62" i="28"/>
  <c r="AA62" i="28"/>
  <c r="Z62" i="28"/>
  <c r="Y62" i="28"/>
  <c r="X62" i="28"/>
  <c r="W62" i="28"/>
  <c r="AE62" i="28" s="1"/>
  <c r="V62" i="28"/>
  <c r="U62" i="28"/>
  <c r="T62" i="28"/>
  <c r="O62" i="28" s="1"/>
  <c r="P62" i="28"/>
  <c r="BF61" i="28"/>
  <c r="BH61" i="28" s="1"/>
  <c r="BE61" i="28"/>
  <c r="BD61" i="28"/>
  <c r="BC61" i="28"/>
  <c r="BB61" i="28"/>
  <c r="BA61" i="28"/>
  <c r="AW61" i="28"/>
  <c r="AV61" i="28"/>
  <c r="AU61" i="28"/>
  <c r="AT61" i="28"/>
  <c r="AS61" i="28"/>
  <c r="AR61" i="28"/>
  <c r="AZ61" i="28" s="1"/>
  <c r="AQ61" i="28"/>
  <c r="AP61" i="28"/>
  <c r="AO61" i="28"/>
  <c r="AN61" i="28" s="1"/>
  <c r="AK61" i="28"/>
  <c r="AM61" i="28" s="1"/>
  <c r="AJ61" i="28"/>
  <c r="AI61" i="28"/>
  <c r="AH61" i="28"/>
  <c r="AG61" i="28"/>
  <c r="AF61" i="28"/>
  <c r="AB61" i="28"/>
  <c r="AA61" i="28"/>
  <c r="Z61" i="28"/>
  <c r="Y61" i="28"/>
  <c r="X61" i="28"/>
  <c r="W61" i="28"/>
  <c r="AE61" i="28" s="1"/>
  <c r="V61" i="28"/>
  <c r="U61" i="28"/>
  <c r="T61" i="28"/>
  <c r="O61" i="28" s="1"/>
  <c r="P61" i="28"/>
  <c r="BF60" i="28"/>
  <c r="BH60" i="28" s="1"/>
  <c r="BE60" i="28"/>
  <c r="BD60" i="28"/>
  <c r="BC60" i="28"/>
  <c r="BB60" i="28"/>
  <c r="BA60" i="28"/>
  <c r="AW60" i="28"/>
  <c r="AV60" i="28"/>
  <c r="AU60" i="28"/>
  <c r="AT60" i="28"/>
  <c r="AS60" i="28"/>
  <c r="AR60" i="28"/>
  <c r="AZ60" i="28" s="1"/>
  <c r="AQ60" i="28"/>
  <c r="AP60" i="28"/>
  <c r="AO60" i="28"/>
  <c r="AN60" i="28" s="1"/>
  <c r="AK60" i="28"/>
  <c r="AM60" i="28" s="1"/>
  <c r="AJ60" i="28"/>
  <c r="AI60" i="28"/>
  <c r="AH60" i="28"/>
  <c r="AG60" i="28"/>
  <c r="AF60" i="28"/>
  <c r="AB60" i="28"/>
  <c r="AA60" i="28"/>
  <c r="Z60" i="28"/>
  <c r="Y60" i="28"/>
  <c r="X60" i="28"/>
  <c r="W60" i="28"/>
  <c r="AE60" i="28" s="1"/>
  <c r="V60" i="28"/>
  <c r="U60" i="28"/>
  <c r="T60" i="28"/>
  <c r="O60" i="28" s="1"/>
  <c r="P60" i="28"/>
  <c r="BF59" i="28"/>
  <c r="BH59" i="28" s="1"/>
  <c r="BE59" i="28"/>
  <c r="BD59" i="28"/>
  <c r="BC59" i="28"/>
  <c r="BB59" i="28"/>
  <c r="BA59" i="28"/>
  <c r="AW59" i="28"/>
  <c r="AV59" i="28"/>
  <c r="AU59" i="28"/>
  <c r="AT59" i="28"/>
  <c r="AS59" i="28"/>
  <c r="AR59" i="28"/>
  <c r="AZ59" i="28" s="1"/>
  <c r="AQ59" i="28"/>
  <c r="AP59" i="28"/>
  <c r="AO59" i="28"/>
  <c r="AN59" i="28" s="1"/>
  <c r="AK59" i="28"/>
  <c r="AM59" i="28" s="1"/>
  <c r="AJ59" i="28"/>
  <c r="AI59" i="28"/>
  <c r="AH59" i="28"/>
  <c r="AG59" i="28"/>
  <c r="AF59" i="28"/>
  <c r="AB59" i="28"/>
  <c r="AA59" i="28"/>
  <c r="Z59" i="28"/>
  <c r="Y59" i="28"/>
  <c r="X59" i="28"/>
  <c r="W59" i="28"/>
  <c r="AE59" i="28" s="1"/>
  <c r="V59" i="28"/>
  <c r="U59" i="28"/>
  <c r="T59" i="28"/>
  <c r="O59" i="28" s="1"/>
  <c r="P59" i="28"/>
  <c r="BF58" i="28"/>
  <c r="BH58" i="28" s="1"/>
  <c r="BE58" i="28"/>
  <c r="BD58" i="28"/>
  <c r="BC58" i="28"/>
  <c r="BB58" i="28"/>
  <c r="BA58" i="28"/>
  <c r="AW58" i="28"/>
  <c r="AV58" i="28"/>
  <c r="AU58" i="28"/>
  <c r="AT58" i="28"/>
  <c r="AS58" i="28"/>
  <c r="AR58" i="28"/>
  <c r="AZ58" i="28" s="1"/>
  <c r="AQ58" i="28"/>
  <c r="AP58" i="28"/>
  <c r="AO58" i="28"/>
  <c r="AN58" i="28" s="1"/>
  <c r="AK58" i="28"/>
  <c r="AM58" i="28" s="1"/>
  <c r="AJ58" i="28"/>
  <c r="AI58" i="28"/>
  <c r="AH58" i="28"/>
  <c r="AG58" i="28"/>
  <c r="AF58" i="28"/>
  <c r="AB58" i="28"/>
  <c r="AA58" i="28"/>
  <c r="Z58" i="28"/>
  <c r="Y58" i="28"/>
  <c r="X58" i="28"/>
  <c r="W58" i="28"/>
  <c r="AE58" i="28" s="1"/>
  <c r="V58" i="28"/>
  <c r="U58" i="28"/>
  <c r="T58" i="28"/>
  <c r="O58" i="28" s="1"/>
  <c r="P58" i="28"/>
  <c r="BF57" i="28"/>
  <c r="BH57" i="28" s="1"/>
  <c r="BE57" i="28"/>
  <c r="BD57" i="28"/>
  <c r="BC57" i="28"/>
  <c r="BB57" i="28"/>
  <c r="BA57" i="28"/>
  <c r="AW57" i="28"/>
  <c r="AV57" i="28"/>
  <c r="AU57" i="28"/>
  <c r="AT57" i="28"/>
  <c r="AS57" i="28"/>
  <c r="AR57" i="28"/>
  <c r="AZ57" i="28" s="1"/>
  <c r="AQ57" i="28"/>
  <c r="AP57" i="28"/>
  <c r="AO57" i="28"/>
  <c r="AN57" i="28" s="1"/>
  <c r="AK57" i="28"/>
  <c r="AM57" i="28" s="1"/>
  <c r="AJ57" i="28"/>
  <c r="AI57" i="28"/>
  <c r="AH57" i="28"/>
  <c r="AG57" i="28"/>
  <c r="AF57" i="28"/>
  <c r="AB57" i="28"/>
  <c r="AA57" i="28"/>
  <c r="Z57" i="28"/>
  <c r="Y57" i="28"/>
  <c r="X57" i="28"/>
  <c r="W57" i="28"/>
  <c r="AE57" i="28" s="1"/>
  <c r="V57" i="28"/>
  <c r="U57" i="28"/>
  <c r="T57" i="28"/>
  <c r="O57" i="28" s="1"/>
  <c r="P57" i="28"/>
  <c r="BF56" i="28"/>
  <c r="BH56" i="28" s="1"/>
  <c r="BE56" i="28"/>
  <c r="BD56" i="28"/>
  <c r="BC56" i="28"/>
  <c r="BB56" i="28"/>
  <c r="BA56" i="28"/>
  <c r="AW56" i="28"/>
  <c r="AV56" i="28"/>
  <c r="AU56" i="28"/>
  <c r="AT56" i="28"/>
  <c r="AS56" i="28"/>
  <c r="AR56" i="28"/>
  <c r="AZ56" i="28" s="1"/>
  <c r="AQ56" i="28"/>
  <c r="AP56" i="28"/>
  <c r="AO56" i="28"/>
  <c r="AN56" i="28" s="1"/>
  <c r="AK56" i="28"/>
  <c r="AM56" i="28" s="1"/>
  <c r="AJ56" i="28"/>
  <c r="AI56" i="28"/>
  <c r="AH56" i="28"/>
  <c r="AG56" i="28"/>
  <c r="AF56" i="28"/>
  <c r="AB56" i="28"/>
  <c r="AA56" i="28"/>
  <c r="Z56" i="28"/>
  <c r="Y56" i="28"/>
  <c r="X56" i="28"/>
  <c r="W56" i="28"/>
  <c r="AE56" i="28" s="1"/>
  <c r="V56" i="28"/>
  <c r="U56" i="28"/>
  <c r="T56" i="28"/>
  <c r="O56" i="28" s="1"/>
  <c r="P56" i="28"/>
  <c r="BF55" i="28"/>
  <c r="BH55" i="28" s="1"/>
  <c r="BE55" i="28"/>
  <c r="BD55" i="28"/>
  <c r="BC55" i="28"/>
  <c r="BB55" i="28"/>
  <c r="BA55" i="28"/>
  <c r="AW55" i="28"/>
  <c r="AV55" i="28"/>
  <c r="AU55" i="28"/>
  <c r="AT55" i="28"/>
  <c r="AS55" i="28"/>
  <c r="AR55" i="28"/>
  <c r="AZ55" i="28" s="1"/>
  <c r="AQ55" i="28"/>
  <c r="AP55" i="28"/>
  <c r="AO55" i="28"/>
  <c r="AN55" i="28" s="1"/>
  <c r="AK55" i="28"/>
  <c r="AM55" i="28" s="1"/>
  <c r="AJ55" i="28"/>
  <c r="AI55" i="28"/>
  <c r="AH55" i="28"/>
  <c r="AG55" i="28"/>
  <c r="AF55" i="28"/>
  <c r="AB55" i="28"/>
  <c r="AA55" i="28"/>
  <c r="Z55" i="28"/>
  <c r="Y55" i="28"/>
  <c r="X55" i="28"/>
  <c r="W55" i="28"/>
  <c r="AE55" i="28" s="1"/>
  <c r="V55" i="28"/>
  <c r="U55" i="28"/>
  <c r="T55" i="28"/>
  <c r="O55" i="28" s="1"/>
  <c r="P55" i="28"/>
  <c r="BF54" i="28"/>
  <c r="BH54" i="28" s="1"/>
  <c r="BE54" i="28"/>
  <c r="BD54" i="28"/>
  <c r="BC54" i="28"/>
  <c r="BB54" i="28"/>
  <c r="BA54" i="28"/>
  <c r="AW54" i="28"/>
  <c r="AV54" i="28"/>
  <c r="AU54" i="28"/>
  <c r="AT54" i="28"/>
  <c r="AS54" i="28"/>
  <c r="AR54" i="28"/>
  <c r="AZ54" i="28" s="1"/>
  <c r="AQ54" i="28"/>
  <c r="AP54" i="28"/>
  <c r="AO54" i="28"/>
  <c r="AN54" i="28" s="1"/>
  <c r="AK54" i="28"/>
  <c r="AM54" i="28" s="1"/>
  <c r="AJ54" i="28"/>
  <c r="AI54" i="28"/>
  <c r="AH54" i="28"/>
  <c r="AG54" i="28"/>
  <c r="AF54" i="28"/>
  <c r="AB54" i="28"/>
  <c r="AA54" i="28"/>
  <c r="Z54" i="28"/>
  <c r="Y54" i="28"/>
  <c r="X54" i="28"/>
  <c r="W54" i="28"/>
  <c r="AE54" i="28" s="1"/>
  <c r="V54" i="28"/>
  <c r="U54" i="28"/>
  <c r="T54" i="28"/>
  <c r="O54" i="28" s="1"/>
  <c r="P54" i="28"/>
  <c r="BF53" i="28"/>
  <c r="BH53" i="28" s="1"/>
  <c r="BE53" i="28"/>
  <c r="BD53" i="28"/>
  <c r="BC53" i="28"/>
  <c r="BB53" i="28"/>
  <c r="BA53" i="28"/>
  <c r="AW53" i="28"/>
  <c r="AV53" i="28"/>
  <c r="AU53" i="28"/>
  <c r="AT53" i="28"/>
  <c r="AS53" i="28"/>
  <c r="AR53" i="28"/>
  <c r="AZ53" i="28" s="1"/>
  <c r="AQ53" i="28"/>
  <c r="AP53" i="28"/>
  <c r="AO53" i="28"/>
  <c r="AN53" i="28" s="1"/>
  <c r="AK53" i="28"/>
  <c r="AM53" i="28" s="1"/>
  <c r="AJ53" i="28"/>
  <c r="AI53" i="28"/>
  <c r="AH53" i="28"/>
  <c r="AG53" i="28"/>
  <c r="AF53" i="28"/>
  <c r="AB53" i="28"/>
  <c r="AA53" i="28"/>
  <c r="Z53" i="28"/>
  <c r="Y53" i="28"/>
  <c r="X53" i="28"/>
  <c r="W53" i="28"/>
  <c r="AE53" i="28" s="1"/>
  <c r="V53" i="28"/>
  <c r="U53" i="28"/>
  <c r="T53" i="28"/>
  <c r="O53" i="28" s="1"/>
  <c r="P53" i="28"/>
  <c r="BF52" i="28"/>
  <c r="BH52" i="28" s="1"/>
  <c r="BE52" i="28"/>
  <c r="BD52" i="28"/>
  <c r="BC52" i="28"/>
  <c r="BB52" i="28"/>
  <c r="BA52" i="28"/>
  <c r="AW52" i="28"/>
  <c r="AV52" i="28"/>
  <c r="AU52" i="28"/>
  <c r="AT52" i="28"/>
  <c r="AS52" i="28"/>
  <c r="AR52" i="28"/>
  <c r="AZ52" i="28" s="1"/>
  <c r="AQ52" i="28"/>
  <c r="AP52" i="28"/>
  <c r="AO52" i="28"/>
  <c r="AN52" i="28" s="1"/>
  <c r="AK52" i="28"/>
  <c r="AM52" i="28" s="1"/>
  <c r="AJ52" i="28"/>
  <c r="AI52" i="28"/>
  <c r="AH52" i="28"/>
  <c r="AG52" i="28"/>
  <c r="AF52" i="28"/>
  <c r="AB52" i="28"/>
  <c r="AA52" i="28"/>
  <c r="Z52" i="28"/>
  <c r="Y52" i="28"/>
  <c r="X52" i="28"/>
  <c r="W52" i="28"/>
  <c r="AE52" i="28" s="1"/>
  <c r="V52" i="28"/>
  <c r="U52" i="28"/>
  <c r="T52" i="28"/>
  <c r="O52" i="28" s="1"/>
  <c r="P52" i="28"/>
  <c r="BF51" i="28"/>
  <c r="BH51" i="28" s="1"/>
  <c r="BE51" i="28"/>
  <c r="BD51" i="28"/>
  <c r="BC51" i="28"/>
  <c r="BB51" i="28"/>
  <c r="BA51" i="28"/>
  <c r="AW51" i="28"/>
  <c r="AV51" i="28"/>
  <c r="AU51" i="28"/>
  <c r="AT51" i="28"/>
  <c r="AS51" i="28"/>
  <c r="AR51" i="28"/>
  <c r="AZ51" i="28" s="1"/>
  <c r="AQ51" i="28"/>
  <c r="AP51" i="28"/>
  <c r="AO51" i="28"/>
  <c r="AN51" i="28" s="1"/>
  <c r="AK51" i="28"/>
  <c r="AM51" i="28" s="1"/>
  <c r="AJ51" i="28"/>
  <c r="AI51" i="28"/>
  <c r="AH51" i="28"/>
  <c r="AG51" i="28"/>
  <c r="AF51" i="28"/>
  <c r="AB51" i="28"/>
  <c r="AA51" i="28"/>
  <c r="Z51" i="28"/>
  <c r="Y51" i="28"/>
  <c r="X51" i="28"/>
  <c r="W51" i="28"/>
  <c r="AE51" i="28" s="1"/>
  <c r="V51" i="28"/>
  <c r="U51" i="28"/>
  <c r="T51" i="28"/>
  <c r="O51" i="28" s="1"/>
  <c r="P51" i="28"/>
  <c r="BF50" i="28"/>
  <c r="BH50" i="28" s="1"/>
  <c r="BE50" i="28"/>
  <c r="BD50" i="28"/>
  <c r="BG50" i="28" s="1"/>
  <c r="BC50" i="28"/>
  <c r="BB50" i="28"/>
  <c r="BA50" i="28"/>
  <c r="AW50" i="28"/>
  <c r="AV50" i="28"/>
  <c r="AU50" i="28"/>
  <c r="AT50" i="28"/>
  <c r="AS50" i="28"/>
  <c r="AR50" i="28"/>
  <c r="AZ50" i="28" s="1"/>
  <c r="AQ50" i="28"/>
  <c r="AP50" i="28"/>
  <c r="AO50" i="28"/>
  <c r="AN50" i="28" s="1"/>
  <c r="AK50" i="28"/>
  <c r="AM50" i="28" s="1"/>
  <c r="AJ50" i="28"/>
  <c r="AI50" i="28"/>
  <c r="AH50" i="28"/>
  <c r="AG50" i="28"/>
  <c r="AF50" i="28"/>
  <c r="AB50" i="28"/>
  <c r="AA50" i="28"/>
  <c r="Z50" i="28"/>
  <c r="Y50" i="28"/>
  <c r="X50" i="28"/>
  <c r="W50" i="28"/>
  <c r="AE50" i="28" s="1"/>
  <c r="V50" i="28"/>
  <c r="U50" i="28"/>
  <c r="T50" i="28"/>
  <c r="O50" i="28" s="1"/>
  <c r="P50" i="28"/>
  <c r="BF49" i="28"/>
  <c r="BH49" i="28" s="1"/>
  <c r="BE49" i="28"/>
  <c r="BD49" i="28"/>
  <c r="BC49" i="28"/>
  <c r="BB49" i="28"/>
  <c r="BA49" i="28"/>
  <c r="AW49" i="28"/>
  <c r="AV49" i="28"/>
  <c r="AU49" i="28"/>
  <c r="AT49" i="28"/>
  <c r="AS49" i="28"/>
  <c r="AR49" i="28"/>
  <c r="AZ49" i="28" s="1"/>
  <c r="AQ49" i="28"/>
  <c r="AP49" i="28"/>
  <c r="AO49" i="28"/>
  <c r="AN49" i="28" s="1"/>
  <c r="AK49" i="28"/>
  <c r="AM49" i="28" s="1"/>
  <c r="AJ49" i="28"/>
  <c r="AI49" i="28"/>
  <c r="AH49" i="28"/>
  <c r="AG49" i="28"/>
  <c r="AF49" i="28"/>
  <c r="AB49" i="28"/>
  <c r="AA49" i="28"/>
  <c r="Z49" i="28"/>
  <c r="Y49" i="28"/>
  <c r="X49" i="28"/>
  <c r="W49" i="28"/>
  <c r="AE49" i="28" s="1"/>
  <c r="V49" i="28"/>
  <c r="U49" i="28"/>
  <c r="T49" i="28"/>
  <c r="O49" i="28" s="1"/>
  <c r="P49" i="28"/>
  <c r="BF48" i="28"/>
  <c r="BH48" i="28" s="1"/>
  <c r="BE48" i="28"/>
  <c r="BD48" i="28"/>
  <c r="BC48" i="28"/>
  <c r="BB48" i="28"/>
  <c r="BA48" i="28"/>
  <c r="AW48" i="28"/>
  <c r="AV48" i="28"/>
  <c r="AU48" i="28"/>
  <c r="AT48" i="28"/>
  <c r="AS48" i="28"/>
  <c r="AR48" i="28"/>
  <c r="AZ48" i="28" s="1"/>
  <c r="AQ48" i="28"/>
  <c r="AP48" i="28"/>
  <c r="AO48" i="28"/>
  <c r="AN48" i="28" s="1"/>
  <c r="AK48" i="28"/>
  <c r="AM48" i="28" s="1"/>
  <c r="AJ48" i="28"/>
  <c r="AI48" i="28"/>
  <c r="AH48" i="28"/>
  <c r="AG48" i="28"/>
  <c r="AF48" i="28"/>
  <c r="AB48" i="28"/>
  <c r="AA48" i="28"/>
  <c r="Z48" i="28"/>
  <c r="Y48" i="28"/>
  <c r="X48" i="28"/>
  <c r="W48" i="28"/>
  <c r="AE48" i="28" s="1"/>
  <c r="V48" i="28"/>
  <c r="U48" i="28"/>
  <c r="T48" i="28"/>
  <c r="O48" i="28" s="1"/>
  <c r="P48" i="28"/>
  <c r="BF47" i="28"/>
  <c r="BH47" i="28" s="1"/>
  <c r="BE47" i="28"/>
  <c r="BD47" i="28"/>
  <c r="BC47" i="28"/>
  <c r="BB47" i="28"/>
  <c r="BA47" i="28"/>
  <c r="AW47" i="28"/>
  <c r="AV47" i="28"/>
  <c r="AU47" i="28"/>
  <c r="AT47" i="28"/>
  <c r="AS47" i="28"/>
  <c r="AR47" i="28"/>
  <c r="AZ47" i="28" s="1"/>
  <c r="AQ47" i="28"/>
  <c r="AP47" i="28"/>
  <c r="AO47" i="28"/>
  <c r="AN47" i="28" s="1"/>
  <c r="AK47" i="28"/>
  <c r="AM47" i="28" s="1"/>
  <c r="AJ47" i="28"/>
  <c r="AI47" i="28"/>
  <c r="AH47" i="28"/>
  <c r="AG47" i="28"/>
  <c r="AF47" i="28"/>
  <c r="AB47" i="28"/>
  <c r="AA47" i="28"/>
  <c r="Z47" i="28"/>
  <c r="Y47" i="28"/>
  <c r="X47" i="28"/>
  <c r="W47" i="28"/>
  <c r="AE47" i="28" s="1"/>
  <c r="V47" i="28"/>
  <c r="U47" i="28"/>
  <c r="T47" i="28"/>
  <c r="O47" i="28" s="1"/>
  <c r="P47" i="28"/>
  <c r="BF46" i="28"/>
  <c r="BH46" i="28" s="1"/>
  <c r="BE46" i="28"/>
  <c r="BD46" i="28"/>
  <c r="BC46" i="28"/>
  <c r="BB46" i="28"/>
  <c r="BA46" i="28"/>
  <c r="AW46" i="28"/>
  <c r="AV46" i="28"/>
  <c r="AU46" i="28"/>
  <c r="AT46" i="28"/>
  <c r="AS46" i="28"/>
  <c r="AR46" i="28"/>
  <c r="AZ46" i="28" s="1"/>
  <c r="AQ46" i="28"/>
  <c r="AP46" i="28"/>
  <c r="AO46" i="28"/>
  <c r="AN46" i="28" s="1"/>
  <c r="AK46" i="28"/>
  <c r="AM46" i="28" s="1"/>
  <c r="AJ46" i="28"/>
  <c r="AI46" i="28"/>
  <c r="AH46" i="28"/>
  <c r="AG46" i="28"/>
  <c r="AF46" i="28"/>
  <c r="AB46" i="28"/>
  <c r="AA46" i="28"/>
  <c r="Z46" i="28"/>
  <c r="Y46" i="28"/>
  <c r="X46" i="28"/>
  <c r="W46" i="28"/>
  <c r="AE46" i="28" s="1"/>
  <c r="V46" i="28"/>
  <c r="U46" i="28"/>
  <c r="T46" i="28"/>
  <c r="O46" i="28" s="1"/>
  <c r="P46" i="28"/>
  <c r="BF45" i="28"/>
  <c r="BH45" i="28" s="1"/>
  <c r="BE45" i="28"/>
  <c r="BD45" i="28"/>
  <c r="BC45" i="28"/>
  <c r="BB45" i="28"/>
  <c r="BA45" i="28"/>
  <c r="AW45" i="28"/>
  <c r="AV45" i="28"/>
  <c r="AU45" i="28"/>
  <c r="AT45" i="28"/>
  <c r="AS45" i="28"/>
  <c r="AR45" i="28"/>
  <c r="AZ45" i="28" s="1"/>
  <c r="AQ45" i="28"/>
  <c r="AP45" i="28"/>
  <c r="AO45" i="28"/>
  <c r="AN45" i="28" s="1"/>
  <c r="AK45" i="28"/>
  <c r="AM45" i="28" s="1"/>
  <c r="AJ45" i="28"/>
  <c r="AI45" i="28"/>
  <c r="AH45" i="28"/>
  <c r="AG45" i="28"/>
  <c r="AF45" i="28"/>
  <c r="AB45" i="28"/>
  <c r="AA45" i="28"/>
  <c r="Z45" i="28"/>
  <c r="Y45" i="28"/>
  <c r="X45" i="28"/>
  <c r="W45" i="28"/>
  <c r="AE45" i="28" s="1"/>
  <c r="V45" i="28"/>
  <c r="U45" i="28"/>
  <c r="T45" i="28"/>
  <c r="O45" i="28" s="1"/>
  <c r="P45" i="28"/>
  <c r="BF44" i="28"/>
  <c r="BH44" i="28" s="1"/>
  <c r="BE44" i="28"/>
  <c r="BD44" i="28"/>
  <c r="BC44" i="28"/>
  <c r="BB44" i="28"/>
  <c r="BA44" i="28"/>
  <c r="AW44" i="28"/>
  <c r="AV44" i="28"/>
  <c r="AU44" i="28"/>
  <c r="AT44" i="28"/>
  <c r="AS44" i="28"/>
  <c r="AR44" i="28"/>
  <c r="AZ44" i="28" s="1"/>
  <c r="AQ44" i="28"/>
  <c r="AP44" i="28"/>
  <c r="AO44" i="28"/>
  <c r="AN44" i="28" s="1"/>
  <c r="AK44" i="28"/>
  <c r="AM44" i="28" s="1"/>
  <c r="AJ44" i="28"/>
  <c r="AI44" i="28"/>
  <c r="AH44" i="28"/>
  <c r="AG44" i="28"/>
  <c r="AF44" i="28"/>
  <c r="AB44" i="28"/>
  <c r="AA44" i="28"/>
  <c r="Z44" i="28"/>
  <c r="Y44" i="28"/>
  <c r="X44" i="28"/>
  <c r="W44" i="28"/>
  <c r="AE44" i="28" s="1"/>
  <c r="V44" i="28"/>
  <c r="U44" i="28"/>
  <c r="T44" i="28"/>
  <c r="O44" i="28" s="1"/>
  <c r="P44" i="28"/>
  <c r="BF43" i="28"/>
  <c r="BH43" i="28" s="1"/>
  <c r="BE43" i="28"/>
  <c r="BD43" i="28"/>
  <c r="BC43" i="28"/>
  <c r="BB43" i="28"/>
  <c r="BA43" i="28"/>
  <c r="AW43" i="28"/>
  <c r="AV43" i="28"/>
  <c r="AU43" i="28"/>
  <c r="AT43" i="28"/>
  <c r="AS43" i="28"/>
  <c r="AR43" i="28"/>
  <c r="AZ43" i="28" s="1"/>
  <c r="AQ43" i="28"/>
  <c r="AP43" i="28"/>
  <c r="AO43" i="28"/>
  <c r="AN43" i="28" s="1"/>
  <c r="AK43" i="28"/>
  <c r="AM43" i="28" s="1"/>
  <c r="AJ43" i="28"/>
  <c r="AI43" i="28"/>
  <c r="AH43" i="28"/>
  <c r="AG43" i="28"/>
  <c r="AF43" i="28"/>
  <c r="AB43" i="28"/>
  <c r="AA43" i="28"/>
  <c r="Z43" i="28"/>
  <c r="Y43" i="28"/>
  <c r="X43" i="28"/>
  <c r="W43" i="28"/>
  <c r="AE43" i="28" s="1"/>
  <c r="V43" i="28"/>
  <c r="U43" i="28"/>
  <c r="T43" i="28"/>
  <c r="O43" i="28" s="1"/>
  <c r="P43" i="28"/>
  <c r="BF42" i="28"/>
  <c r="BH42" i="28" s="1"/>
  <c r="BE42" i="28"/>
  <c r="BD42" i="28"/>
  <c r="BC42" i="28"/>
  <c r="BB42" i="28"/>
  <c r="BA42" i="28"/>
  <c r="AW42" i="28"/>
  <c r="AV42" i="28"/>
  <c r="AU42" i="28"/>
  <c r="AT42" i="28"/>
  <c r="AS42" i="28"/>
  <c r="AR42" i="28"/>
  <c r="AZ42" i="28" s="1"/>
  <c r="AQ42" i="28"/>
  <c r="AP42" i="28"/>
  <c r="AO42" i="28"/>
  <c r="AN42" i="28" s="1"/>
  <c r="AK42" i="28"/>
  <c r="AM42" i="28" s="1"/>
  <c r="AJ42" i="28"/>
  <c r="AI42" i="28"/>
  <c r="AH42" i="28"/>
  <c r="AG42" i="28"/>
  <c r="AF42" i="28"/>
  <c r="AB42" i="28"/>
  <c r="AA42" i="28"/>
  <c r="Z42" i="28"/>
  <c r="Y42" i="28"/>
  <c r="X42" i="28"/>
  <c r="W42" i="28"/>
  <c r="AE42" i="28" s="1"/>
  <c r="V42" i="28"/>
  <c r="U42" i="28"/>
  <c r="T42" i="28"/>
  <c r="O42" i="28" s="1"/>
  <c r="P42" i="28"/>
  <c r="BF41" i="28"/>
  <c r="BH41" i="28" s="1"/>
  <c r="BE41" i="28"/>
  <c r="BD41" i="28"/>
  <c r="BC41" i="28"/>
  <c r="BB41" i="28"/>
  <c r="BA41" i="28"/>
  <c r="AW41" i="28"/>
  <c r="AV41" i="28"/>
  <c r="AU41" i="28"/>
  <c r="AT41" i="28"/>
  <c r="AS41" i="28"/>
  <c r="AR41" i="28"/>
  <c r="AZ41" i="28" s="1"/>
  <c r="AQ41" i="28"/>
  <c r="AP41" i="28"/>
  <c r="AO41" i="28"/>
  <c r="AN41" i="28" s="1"/>
  <c r="AK41" i="28"/>
  <c r="AM41" i="28" s="1"/>
  <c r="AJ41" i="28"/>
  <c r="AI41" i="28"/>
  <c r="AH41" i="28"/>
  <c r="AG41" i="28"/>
  <c r="AF41" i="28"/>
  <c r="AB41" i="28"/>
  <c r="AA41" i="28"/>
  <c r="Z41" i="28"/>
  <c r="Y41" i="28"/>
  <c r="X41" i="28"/>
  <c r="W41" i="28"/>
  <c r="AE41" i="28" s="1"/>
  <c r="V41" i="28"/>
  <c r="U41" i="28"/>
  <c r="T41" i="28"/>
  <c r="O41" i="28" s="1"/>
  <c r="P41" i="28"/>
  <c r="BF40" i="28"/>
  <c r="BH40" i="28" s="1"/>
  <c r="BE40" i="28"/>
  <c r="BD40" i="28"/>
  <c r="BC40" i="28"/>
  <c r="BB40" i="28"/>
  <c r="BA40" i="28"/>
  <c r="AW40" i="28"/>
  <c r="AV40" i="28"/>
  <c r="AU40" i="28"/>
  <c r="AT40" i="28"/>
  <c r="AS40" i="28"/>
  <c r="AR40" i="28"/>
  <c r="AZ40" i="28" s="1"/>
  <c r="AQ40" i="28"/>
  <c r="AP40" i="28"/>
  <c r="AO40" i="28"/>
  <c r="AN40" i="28" s="1"/>
  <c r="AK40" i="28"/>
  <c r="AM40" i="28" s="1"/>
  <c r="AJ40" i="28"/>
  <c r="AI40" i="28"/>
  <c r="AH40" i="28"/>
  <c r="AG40" i="28"/>
  <c r="AF40" i="28"/>
  <c r="AB40" i="28"/>
  <c r="AA40" i="28"/>
  <c r="Z40" i="28"/>
  <c r="Y40" i="28"/>
  <c r="X40" i="28"/>
  <c r="W40" i="28"/>
  <c r="AE40" i="28" s="1"/>
  <c r="V40" i="28"/>
  <c r="U40" i="28"/>
  <c r="T40" i="28"/>
  <c r="O40" i="28" s="1"/>
  <c r="P40" i="28"/>
  <c r="BF39" i="28"/>
  <c r="BH39" i="28" s="1"/>
  <c r="BE39" i="28"/>
  <c r="BD39" i="28"/>
  <c r="BC39" i="28"/>
  <c r="BB39" i="28"/>
  <c r="BA39" i="28"/>
  <c r="AW39" i="28"/>
  <c r="AV39" i="28"/>
  <c r="AU39" i="28"/>
  <c r="AT39" i="28"/>
  <c r="AS39" i="28"/>
  <c r="AR39" i="28"/>
  <c r="AZ39" i="28" s="1"/>
  <c r="AQ39" i="28"/>
  <c r="AP39" i="28"/>
  <c r="AO39" i="28"/>
  <c r="AN39" i="28" s="1"/>
  <c r="AK39" i="28"/>
  <c r="AM39" i="28" s="1"/>
  <c r="AJ39" i="28"/>
  <c r="AI39" i="28"/>
  <c r="AH39" i="28"/>
  <c r="AG39" i="28"/>
  <c r="AF39" i="28"/>
  <c r="AB39" i="28"/>
  <c r="AA39" i="28"/>
  <c r="Z39" i="28"/>
  <c r="Y39" i="28"/>
  <c r="X39" i="28"/>
  <c r="W39" i="28"/>
  <c r="AE39" i="28" s="1"/>
  <c r="V39" i="28"/>
  <c r="U39" i="28"/>
  <c r="T39" i="28"/>
  <c r="O39" i="28" s="1"/>
  <c r="P39" i="28"/>
  <c r="BF38" i="28"/>
  <c r="BH38" i="28" s="1"/>
  <c r="BE38" i="28"/>
  <c r="BD38" i="28"/>
  <c r="BC38" i="28"/>
  <c r="BB38" i="28"/>
  <c r="BA38" i="28"/>
  <c r="AW38" i="28"/>
  <c r="AV38" i="28"/>
  <c r="AU38" i="28"/>
  <c r="AT38" i="28"/>
  <c r="AS38" i="28"/>
  <c r="AR38" i="28"/>
  <c r="AZ38" i="28" s="1"/>
  <c r="AQ38" i="28"/>
  <c r="AP38" i="28"/>
  <c r="AO38" i="28"/>
  <c r="AN38" i="28" s="1"/>
  <c r="AK38" i="28"/>
  <c r="AM38" i="28" s="1"/>
  <c r="AJ38" i="28"/>
  <c r="AI38" i="28"/>
  <c r="AH38" i="28"/>
  <c r="AG38" i="28"/>
  <c r="AF38" i="28"/>
  <c r="AB38" i="28"/>
  <c r="AA38" i="28"/>
  <c r="Z38" i="28"/>
  <c r="Y38" i="28"/>
  <c r="X38" i="28"/>
  <c r="W38" i="28"/>
  <c r="AE38" i="28" s="1"/>
  <c r="V38" i="28"/>
  <c r="U38" i="28"/>
  <c r="T38" i="28"/>
  <c r="O38" i="28" s="1"/>
  <c r="P38" i="28"/>
  <c r="BF37" i="28"/>
  <c r="BH37" i="28" s="1"/>
  <c r="BE37" i="28"/>
  <c r="BD37" i="28"/>
  <c r="BC37" i="28"/>
  <c r="BB37" i="28"/>
  <c r="BA37" i="28"/>
  <c r="AW37" i="28"/>
  <c r="AV37" i="28"/>
  <c r="AU37" i="28"/>
  <c r="AT37" i="28"/>
  <c r="AS37" i="28"/>
  <c r="AR37" i="28"/>
  <c r="AZ37" i="28" s="1"/>
  <c r="AQ37" i="28"/>
  <c r="AP37" i="28"/>
  <c r="AO37" i="28"/>
  <c r="AN37" i="28" s="1"/>
  <c r="AK37" i="28"/>
  <c r="AM37" i="28" s="1"/>
  <c r="AJ37" i="28"/>
  <c r="AI37" i="28"/>
  <c r="AH37" i="28"/>
  <c r="AG37" i="28"/>
  <c r="AF37" i="28"/>
  <c r="AB37" i="28"/>
  <c r="AA37" i="28"/>
  <c r="Z37" i="28"/>
  <c r="Y37" i="28"/>
  <c r="X37" i="28"/>
  <c r="W37" i="28"/>
  <c r="AE37" i="28" s="1"/>
  <c r="V37" i="28"/>
  <c r="U37" i="28"/>
  <c r="T37" i="28"/>
  <c r="O37" i="28" s="1"/>
  <c r="P37" i="28"/>
  <c r="BF36" i="28"/>
  <c r="BH36" i="28" s="1"/>
  <c r="BE36" i="28"/>
  <c r="BD36" i="28"/>
  <c r="BC36" i="28"/>
  <c r="BB36" i="28"/>
  <c r="BA36" i="28"/>
  <c r="AW36" i="28"/>
  <c r="AV36" i="28"/>
  <c r="AU36" i="28"/>
  <c r="AT36" i="28"/>
  <c r="AS36" i="28"/>
  <c r="AR36" i="28"/>
  <c r="AZ36" i="28" s="1"/>
  <c r="AQ36" i="28"/>
  <c r="AP36" i="28"/>
  <c r="AO36" i="28"/>
  <c r="AN36" i="28" s="1"/>
  <c r="AK36" i="28"/>
  <c r="AM36" i="28" s="1"/>
  <c r="AJ36" i="28"/>
  <c r="AI36" i="28"/>
  <c r="AH36" i="28"/>
  <c r="AG36" i="28"/>
  <c r="AF36" i="28"/>
  <c r="AB36" i="28"/>
  <c r="AA36" i="28"/>
  <c r="Z36" i="28"/>
  <c r="Y36" i="28"/>
  <c r="X36" i="28"/>
  <c r="W36" i="28"/>
  <c r="AE36" i="28" s="1"/>
  <c r="V36" i="28"/>
  <c r="U36" i="28"/>
  <c r="T36" i="28"/>
  <c r="O36" i="28" s="1"/>
  <c r="P36" i="28"/>
  <c r="BF35" i="28"/>
  <c r="BH35" i="28" s="1"/>
  <c r="BE35" i="28"/>
  <c r="BD35" i="28"/>
  <c r="BC35" i="28"/>
  <c r="BB35" i="28"/>
  <c r="BA35" i="28"/>
  <c r="AW35" i="28"/>
  <c r="AV35" i="28"/>
  <c r="AU35" i="28"/>
  <c r="AT35" i="28"/>
  <c r="AS35" i="28"/>
  <c r="AR35" i="28"/>
  <c r="AZ35" i="28" s="1"/>
  <c r="AQ35" i="28"/>
  <c r="AP35" i="28"/>
  <c r="AO35" i="28"/>
  <c r="AN35" i="28" s="1"/>
  <c r="AK35" i="28"/>
  <c r="AM35" i="28" s="1"/>
  <c r="AJ35" i="28"/>
  <c r="AI35" i="28"/>
  <c r="AH35" i="28"/>
  <c r="AG35" i="28"/>
  <c r="AF35" i="28"/>
  <c r="AB35" i="28"/>
  <c r="AA35" i="28"/>
  <c r="Z35" i="28"/>
  <c r="Y35" i="28"/>
  <c r="X35" i="28"/>
  <c r="W35" i="28"/>
  <c r="AE35" i="28" s="1"/>
  <c r="V35" i="28"/>
  <c r="U35" i="28"/>
  <c r="T35" i="28"/>
  <c r="O35" i="28" s="1"/>
  <c r="P35" i="28"/>
  <c r="BF34" i="28"/>
  <c r="BH34" i="28" s="1"/>
  <c r="BE34" i="28"/>
  <c r="BD34" i="28"/>
  <c r="BC34" i="28"/>
  <c r="BB34" i="28"/>
  <c r="BA34" i="28"/>
  <c r="AW34" i="28"/>
  <c r="AV34" i="28"/>
  <c r="AU34" i="28"/>
  <c r="AT34" i="28"/>
  <c r="AS34" i="28"/>
  <c r="AR34" i="28"/>
  <c r="AZ34" i="28" s="1"/>
  <c r="AQ34" i="28"/>
  <c r="AP34" i="28"/>
  <c r="AO34" i="28"/>
  <c r="AN34" i="28" s="1"/>
  <c r="AK34" i="28"/>
  <c r="AM34" i="28" s="1"/>
  <c r="AJ34" i="28"/>
  <c r="AI34" i="28"/>
  <c r="AH34" i="28"/>
  <c r="AG34" i="28"/>
  <c r="AF34" i="28"/>
  <c r="AB34" i="28"/>
  <c r="AA34" i="28"/>
  <c r="Z34" i="28"/>
  <c r="Y34" i="28"/>
  <c r="X34" i="28"/>
  <c r="W34" i="28"/>
  <c r="AE34" i="28" s="1"/>
  <c r="V34" i="28"/>
  <c r="U34" i="28"/>
  <c r="T34" i="28"/>
  <c r="O34" i="28" s="1"/>
  <c r="P34" i="28"/>
  <c r="BF33" i="28"/>
  <c r="BH33" i="28" s="1"/>
  <c r="BE33" i="28"/>
  <c r="BD33" i="28"/>
  <c r="BC33" i="28"/>
  <c r="BB33" i="28"/>
  <c r="BA33" i="28"/>
  <c r="AW33" i="28"/>
  <c r="AV33" i="28"/>
  <c r="AU33" i="28"/>
  <c r="AT33" i="28"/>
  <c r="AS33" i="28"/>
  <c r="AR33" i="28"/>
  <c r="AZ33" i="28" s="1"/>
  <c r="AQ33" i="28"/>
  <c r="AP33" i="28"/>
  <c r="AO33" i="28"/>
  <c r="AN33" i="28" s="1"/>
  <c r="AK33" i="28"/>
  <c r="AM33" i="28" s="1"/>
  <c r="AJ33" i="28"/>
  <c r="AI33" i="28"/>
  <c r="AH33" i="28"/>
  <c r="AG33" i="28"/>
  <c r="AF33" i="28"/>
  <c r="AB33" i="28"/>
  <c r="AA33" i="28"/>
  <c r="Z33" i="28"/>
  <c r="Y33" i="28"/>
  <c r="X33" i="28"/>
  <c r="W33" i="28"/>
  <c r="AE33" i="28" s="1"/>
  <c r="V33" i="28"/>
  <c r="U33" i="28"/>
  <c r="T33" i="28"/>
  <c r="O33" i="28" s="1"/>
  <c r="P33" i="28"/>
  <c r="BF32" i="28"/>
  <c r="BH32" i="28" s="1"/>
  <c r="BE32" i="28"/>
  <c r="BD32" i="28"/>
  <c r="BC32" i="28"/>
  <c r="BB32" i="28"/>
  <c r="BA32" i="28"/>
  <c r="AW32" i="28"/>
  <c r="AV32" i="28"/>
  <c r="AU32" i="28"/>
  <c r="AT32" i="28"/>
  <c r="AS32" i="28"/>
  <c r="AR32" i="28"/>
  <c r="AZ32" i="28" s="1"/>
  <c r="AQ32" i="28"/>
  <c r="AP32" i="28"/>
  <c r="AO32" i="28"/>
  <c r="AN32" i="28" s="1"/>
  <c r="AK32" i="28"/>
  <c r="AM32" i="28" s="1"/>
  <c r="AJ32" i="28"/>
  <c r="AI32" i="28"/>
  <c r="AH32" i="28"/>
  <c r="AG32" i="28"/>
  <c r="AF32" i="28"/>
  <c r="AB32" i="28"/>
  <c r="AA32" i="28"/>
  <c r="Z32" i="28"/>
  <c r="Y32" i="28"/>
  <c r="X32" i="28"/>
  <c r="W32" i="28"/>
  <c r="AE32" i="28" s="1"/>
  <c r="V32" i="28"/>
  <c r="U32" i="28"/>
  <c r="T32" i="28"/>
  <c r="O32" i="28" s="1"/>
  <c r="P32" i="28"/>
  <c r="BF31" i="28"/>
  <c r="BH31" i="28" s="1"/>
  <c r="BE31" i="28"/>
  <c r="BD31" i="28"/>
  <c r="BC31" i="28"/>
  <c r="BB31" i="28"/>
  <c r="BA31" i="28"/>
  <c r="AW31" i="28"/>
  <c r="AV31" i="28"/>
  <c r="AU31" i="28"/>
  <c r="AT31" i="28"/>
  <c r="AS31" i="28"/>
  <c r="AR31" i="28"/>
  <c r="AZ31" i="28" s="1"/>
  <c r="AQ31" i="28"/>
  <c r="AP31" i="28"/>
  <c r="AO31" i="28"/>
  <c r="AN31" i="28" s="1"/>
  <c r="AK31" i="28"/>
  <c r="AM31" i="28" s="1"/>
  <c r="AJ31" i="28"/>
  <c r="AI31" i="28"/>
  <c r="AH31" i="28"/>
  <c r="AG31" i="28"/>
  <c r="AF31" i="28"/>
  <c r="AB31" i="28"/>
  <c r="AA31" i="28"/>
  <c r="Z31" i="28"/>
  <c r="Y31" i="28"/>
  <c r="X31" i="28"/>
  <c r="W31" i="28"/>
  <c r="AE31" i="28" s="1"/>
  <c r="V31" i="28"/>
  <c r="U31" i="28"/>
  <c r="T31" i="28"/>
  <c r="O31" i="28" s="1"/>
  <c r="P31" i="28"/>
  <c r="BF30" i="28"/>
  <c r="BH30" i="28" s="1"/>
  <c r="BE30" i="28"/>
  <c r="BD30" i="28"/>
  <c r="BC30" i="28"/>
  <c r="BB30" i="28"/>
  <c r="BA30" i="28"/>
  <c r="AW30" i="28"/>
  <c r="AV30" i="28"/>
  <c r="AU30" i="28"/>
  <c r="AT30" i="28"/>
  <c r="AS30" i="28"/>
  <c r="AR30" i="28"/>
  <c r="AZ30" i="28" s="1"/>
  <c r="AQ30" i="28"/>
  <c r="AP30" i="28"/>
  <c r="AO30" i="28"/>
  <c r="AN30" i="28" s="1"/>
  <c r="AK30" i="28"/>
  <c r="AM30" i="28" s="1"/>
  <c r="AJ30" i="28"/>
  <c r="AI30" i="28"/>
  <c r="AH30" i="28"/>
  <c r="AG30" i="28"/>
  <c r="AF30" i="28"/>
  <c r="AB30" i="28"/>
  <c r="AA30" i="28"/>
  <c r="Z30" i="28"/>
  <c r="Y30" i="28"/>
  <c r="X30" i="28"/>
  <c r="W30" i="28"/>
  <c r="AE30" i="28" s="1"/>
  <c r="V30" i="28"/>
  <c r="U30" i="28"/>
  <c r="T30" i="28"/>
  <c r="O30" i="28" s="1"/>
  <c r="P30" i="28"/>
  <c r="BF29" i="28"/>
  <c r="BH29" i="28" s="1"/>
  <c r="BE29" i="28"/>
  <c r="BD29" i="28"/>
  <c r="BC29" i="28"/>
  <c r="BB29" i="28"/>
  <c r="BA29" i="28"/>
  <c r="AW29" i="28"/>
  <c r="AV29" i="28"/>
  <c r="AU29" i="28"/>
  <c r="AT29" i="28"/>
  <c r="AS29" i="28"/>
  <c r="AR29" i="28"/>
  <c r="AZ29" i="28" s="1"/>
  <c r="AQ29" i="28"/>
  <c r="AP29" i="28"/>
  <c r="AO29" i="28"/>
  <c r="AN29" i="28" s="1"/>
  <c r="AK29" i="28"/>
  <c r="AM29" i="28" s="1"/>
  <c r="AJ29" i="28"/>
  <c r="AI29" i="28"/>
  <c r="AH29" i="28"/>
  <c r="AG29" i="28"/>
  <c r="AF29" i="28"/>
  <c r="AB29" i="28"/>
  <c r="AA29" i="28"/>
  <c r="Z29" i="28"/>
  <c r="Y29" i="28"/>
  <c r="X29" i="28"/>
  <c r="W29" i="28"/>
  <c r="AE29" i="28" s="1"/>
  <c r="V29" i="28"/>
  <c r="U29" i="28"/>
  <c r="T29" i="28"/>
  <c r="O29" i="28" s="1"/>
  <c r="P29" i="28"/>
  <c r="BF28" i="28"/>
  <c r="BH28" i="28" s="1"/>
  <c r="BE28" i="28"/>
  <c r="BD28" i="28"/>
  <c r="BC28" i="28"/>
  <c r="BB28" i="28"/>
  <c r="BA28" i="28"/>
  <c r="AW28" i="28"/>
  <c r="AV28" i="28"/>
  <c r="AU28" i="28"/>
  <c r="AT28" i="28"/>
  <c r="AS28" i="28"/>
  <c r="AR28" i="28"/>
  <c r="AZ28" i="28" s="1"/>
  <c r="AQ28" i="28"/>
  <c r="AP28" i="28"/>
  <c r="AO28" i="28"/>
  <c r="AN28" i="28" s="1"/>
  <c r="AK28" i="28"/>
  <c r="AM28" i="28" s="1"/>
  <c r="AJ28" i="28"/>
  <c r="AI28" i="28"/>
  <c r="AH28" i="28"/>
  <c r="AG28" i="28"/>
  <c r="AF28" i="28"/>
  <c r="AB28" i="28"/>
  <c r="AA28" i="28"/>
  <c r="Z28" i="28"/>
  <c r="Y28" i="28"/>
  <c r="X28" i="28"/>
  <c r="W28" i="28"/>
  <c r="AE28" i="28" s="1"/>
  <c r="V28" i="28"/>
  <c r="U28" i="28"/>
  <c r="T28" i="28"/>
  <c r="O28" i="28" s="1"/>
  <c r="P28" i="28"/>
  <c r="BF27" i="28"/>
  <c r="BH27" i="28" s="1"/>
  <c r="BE27" i="28"/>
  <c r="BD27" i="28"/>
  <c r="BC27" i="28"/>
  <c r="BB27" i="28"/>
  <c r="BA27" i="28"/>
  <c r="AW27" i="28"/>
  <c r="AV27" i="28"/>
  <c r="AU27" i="28"/>
  <c r="AT27" i="28"/>
  <c r="AS27" i="28"/>
  <c r="AR27" i="28"/>
  <c r="AZ27" i="28" s="1"/>
  <c r="AQ27" i="28"/>
  <c r="AP27" i="28"/>
  <c r="AO27" i="28"/>
  <c r="AN27" i="28" s="1"/>
  <c r="AK27" i="28"/>
  <c r="AM27" i="28" s="1"/>
  <c r="AJ27" i="28"/>
  <c r="AI27" i="28"/>
  <c r="AH27" i="28"/>
  <c r="AG27" i="28"/>
  <c r="AF27" i="28"/>
  <c r="AB27" i="28"/>
  <c r="AA27" i="28"/>
  <c r="Z27" i="28"/>
  <c r="Y27" i="28"/>
  <c r="X27" i="28"/>
  <c r="W27" i="28"/>
  <c r="AE27" i="28" s="1"/>
  <c r="V27" i="28"/>
  <c r="U27" i="28"/>
  <c r="T27" i="28"/>
  <c r="O27" i="28" s="1"/>
  <c r="P27" i="28"/>
  <c r="BF26" i="28"/>
  <c r="BH26" i="28" s="1"/>
  <c r="BE26" i="28"/>
  <c r="BD26" i="28"/>
  <c r="BC26" i="28"/>
  <c r="BB26" i="28"/>
  <c r="BA26" i="28"/>
  <c r="AW26" i="28"/>
  <c r="AV26" i="28"/>
  <c r="AU26" i="28"/>
  <c r="AT26" i="28"/>
  <c r="AS26" i="28"/>
  <c r="AR26" i="28"/>
  <c r="AZ26" i="28" s="1"/>
  <c r="AQ26" i="28"/>
  <c r="AP26" i="28"/>
  <c r="AO26" i="28"/>
  <c r="AN26" i="28" s="1"/>
  <c r="AK26" i="28"/>
  <c r="AM26" i="28" s="1"/>
  <c r="AJ26" i="28"/>
  <c r="AI26" i="28"/>
  <c r="AH26" i="28"/>
  <c r="AG26" i="28"/>
  <c r="AF26" i="28"/>
  <c r="AB26" i="28"/>
  <c r="AA26" i="28"/>
  <c r="Z26" i="28"/>
  <c r="Y26" i="28"/>
  <c r="X26" i="28"/>
  <c r="W26" i="28"/>
  <c r="AE26" i="28" s="1"/>
  <c r="V26" i="28"/>
  <c r="U26" i="28"/>
  <c r="T26" i="28"/>
  <c r="O26" i="28" s="1"/>
  <c r="P26" i="28"/>
  <c r="BF25" i="28"/>
  <c r="BH25" i="28" s="1"/>
  <c r="BE25" i="28"/>
  <c r="BD25" i="28"/>
  <c r="BC25" i="28"/>
  <c r="BB25" i="28"/>
  <c r="BA25" i="28"/>
  <c r="AW25" i="28"/>
  <c r="AV25" i="28"/>
  <c r="AU25" i="28"/>
  <c r="AT25" i="28"/>
  <c r="AS25" i="28"/>
  <c r="AR25" i="28"/>
  <c r="AZ25" i="28" s="1"/>
  <c r="AQ25" i="28"/>
  <c r="AP25" i="28"/>
  <c r="AO25" i="28"/>
  <c r="AN25" i="28" s="1"/>
  <c r="AK25" i="28"/>
  <c r="AM25" i="28" s="1"/>
  <c r="AJ25" i="28"/>
  <c r="AI25" i="28"/>
  <c r="AH25" i="28"/>
  <c r="AG25" i="28"/>
  <c r="AF25" i="28"/>
  <c r="AB25" i="28"/>
  <c r="AA25" i="28"/>
  <c r="Z25" i="28"/>
  <c r="Y25" i="28"/>
  <c r="X25" i="28"/>
  <c r="W25" i="28"/>
  <c r="AE25" i="28" s="1"/>
  <c r="V25" i="28"/>
  <c r="U25" i="28"/>
  <c r="T25" i="28"/>
  <c r="O25" i="28" s="1"/>
  <c r="P25" i="28"/>
  <c r="BF24" i="28"/>
  <c r="BH24" i="28" s="1"/>
  <c r="BE24" i="28"/>
  <c r="BD24" i="28"/>
  <c r="BC24" i="28"/>
  <c r="BB24" i="28"/>
  <c r="BA24" i="28"/>
  <c r="AW24" i="28"/>
  <c r="AV24" i="28"/>
  <c r="AU24" i="28"/>
  <c r="AT24" i="28"/>
  <c r="AS24" i="28"/>
  <c r="AR24" i="28"/>
  <c r="AZ24" i="28" s="1"/>
  <c r="AQ24" i="28"/>
  <c r="AP24" i="28"/>
  <c r="AO24" i="28"/>
  <c r="AN24" i="28" s="1"/>
  <c r="AK24" i="28"/>
  <c r="AM24" i="28" s="1"/>
  <c r="AJ24" i="28"/>
  <c r="AI24" i="28"/>
  <c r="AH24" i="28"/>
  <c r="AG24" i="28"/>
  <c r="AF24" i="28"/>
  <c r="AB24" i="28"/>
  <c r="AA24" i="28"/>
  <c r="Z24" i="28"/>
  <c r="Y24" i="28"/>
  <c r="X24" i="28"/>
  <c r="W24" i="28"/>
  <c r="AE24" i="28" s="1"/>
  <c r="V24" i="28"/>
  <c r="U24" i="28"/>
  <c r="T24" i="28"/>
  <c r="O24" i="28" s="1"/>
  <c r="P24" i="28"/>
  <c r="BF23" i="28"/>
  <c r="BH23" i="28" s="1"/>
  <c r="BE23" i="28"/>
  <c r="BD23" i="28"/>
  <c r="BC23" i="28"/>
  <c r="BB23" i="28"/>
  <c r="BA23" i="28"/>
  <c r="AW23" i="28"/>
  <c r="AV23" i="28"/>
  <c r="AU23" i="28"/>
  <c r="AT23" i="28"/>
  <c r="AS23" i="28"/>
  <c r="AR23" i="28"/>
  <c r="AZ23" i="28" s="1"/>
  <c r="AQ23" i="28"/>
  <c r="AP23" i="28"/>
  <c r="AO23" i="28"/>
  <c r="AN23" i="28" s="1"/>
  <c r="AK23" i="28"/>
  <c r="AM23" i="28" s="1"/>
  <c r="AJ23" i="28"/>
  <c r="AI23" i="28"/>
  <c r="AH23" i="28"/>
  <c r="AG23" i="28"/>
  <c r="AF23" i="28"/>
  <c r="AB23" i="28"/>
  <c r="AA23" i="28"/>
  <c r="Z23" i="28"/>
  <c r="Y23" i="28"/>
  <c r="X23" i="28"/>
  <c r="W23" i="28"/>
  <c r="AE23" i="28" s="1"/>
  <c r="V23" i="28"/>
  <c r="U23" i="28"/>
  <c r="T23" i="28"/>
  <c r="O23" i="28" s="1"/>
  <c r="P23" i="28"/>
  <c r="BF22" i="28"/>
  <c r="BH22" i="28" s="1"/>
  <c r="BE22" i="28"/>
  <c r="BD22" i="28"/>
  <c r="BC22" i="28"/>
  <c r="BB22" i="28"/>
  <c r="BA22" i="28"/>
  <c r="AW22" i="28"/>
  <c r="AV22" i="28"/>
  <c r="AU22" i="28"/>
  <c r="AT22" i="28"/>
  <c r="AS22" i="28"/>
  <c r="AR22" i="28"/>
  <c r="AZ22" i="28" s="1"/>
  <c r="AQ22" i="28"/>
  <c r="AP22" i="28"/>
  <c r="AO22" i="28"/>
  <c r="AN22" i="28" s="1"/>
  <c r="AK22" i="28"/>
  <c r="AM22" i="28" s="1"/>
  <c r="AJ22" i="28"/>
  <c r="AI22" i="28"/>
  <c r="AH22" i="28"/>
  <c r="AG22" i="28"/>
  <c r="AF22" i="28"/>
  <c r="AB22" i="28"/>
  <c r="AA22" i="28"/>
  <c r="Z22" i="28"/>
  <c r="Y22" i="28"/>
  <c r="X22" i="28"/>
  <c r="W22" i="28"/>
  <c r="AE22" i="28" s="1"/>
  <c r="V22" i="28"/>
  <c r="U22" i="28"/>
  <c r="T22" i="28"/>
  <c r="O22" i="28" s="1"/>
  <c r="P22" i="28"/>
  <c r="BF21" i="28"/>
  <c r="BH21" i="28" s="1"/>
  <c r="BE21" i="28"/>
  <c r="BD21" i="28"/>
  <c r="BC21" i="28"/>
  <c r="BB21" i="28"/>
  <c r="BA21" i="28"/>
  <c r="AW21" i="28"/>
  <c r="AV21" i="28"/>
  <c r="AU21" i="28"/>
  <c r="AT21" i="28"/>
  <c r="AS21" i="28"/>
  <c r="AR21" i="28"/>
  <c r="AZ21" i="28" s="1"/>
  <c r="AQ21" i="28"/>
  <c r="AP21" i="28"/>
  <c r="AO21" i="28"/>
  <c r="AN21" i="28" s="1"/>
  <c r="AK21" i="28"/>
  <c r="AM21" i="28" s="1"/>
  <c r="AJ21" i="28"/>
  <c r="AI21" i="28"/>
  <c r="AH21" i="28"/>
  <c r="AG21" i="28"/>
  <c r="AF21" i="28"/>
  <c r="AB21" i="28"/>
  <c r="AA21" i="28"/>
  <c r="Z21" i="28"/>
  <c r="Y21" i="28"/>
  <c r="X21" i="28"/>
  <c r="W21" i="28"/>
  <c r="AE21" i="28" s="1"/>
  <c r="V21" i="28"/>
  <c r="U21" i="28"/>
  <c r="T21" i="28"/>
  <c r="O21" i="28" s="1"/>
  <c r="P21" i="28"/>
  <c r="BF20" i="28"/>
  <c r="BH20" i="28" s="1"/>
  <c r="BE20" i="28"/>
  <c r="BD20" i="28"/>
  <c r="BC20" i="28"/>
  <c r="BB20" i="28"/>
  <c r="BA20" i="28"/>
  <c r="AW20" i="28"/>
  <c r="AV20" i="28"/>
  <c r="AU20" i="28"/>
  <c r="AT20" i="28"/>
  <c r="AS20" i="28"/>
  <c r="AR20" i="28"/>
  <c r="AZ20" i="28" s="1"/>
  <c r="AQ20" i="28"/>
  <c r="AP20" i="28"/>
  <c r="AO20" i="28"/>
  <c r="AN20" i="28" s="1"/>
  <c r="AK20" i="28"/>
  <c r="AM20" i="28" s="1"/>
  <c r="AJ20" i="28"/>
  <c r="AI20" i="28"/>
  <c r="AH20" i="28"/>
  <c r="AG20" i="28"/>
  <c r="AF20" i="28"/>
  <c r="AB20" i="28"/>
  <c r="AA20" i="28"/>
  <c r="Z20" i="28"/>
  <c r="Y20" i="28"/>
  <c r="X20" i="28"/>
  <c r="W20" i="28"/>
  <c r="AE20" i="28" s="1"/>
  <c r="V20" i="28"/>
  <c r="U20" i="28"/>
  <c r="T20" i="28"/>
  <c r="O20" i="28" s="1"/>
  <c r="P20" i="28"/>
  <c r="BF19" i="28"/>
  <c r="BH19" i="28" s="1"/>
  <c r="BE19" i="28"/>
  <c r="BD19" i="28"/>
  <c r="BC19" i="28"/>
  <c r="BB19" i="28"/>
  <c r="BA19" i="28"/>
  <c r="AW19" i="28"/>
  <c r="AV19" i="28"/>
  <c r="AU19" i="28"/>
  <c r="AT19" i="28"/>
  <c r="AS19" i="28"/>
  <c r="AR19" i="28"/>
  <c r="AZ19" i="28" s="1"/>
  <c r="AQ19" i="28"/>
  <c r="AP19" i="28"/>
  <c r="AO19" i="28"/>
  <c r="AN19" i="28" s="1"/>
  <c r="AK19" i="28"/>
  <c r="AM19" i="28" s="1"/>
  <c r="AJ19" i="28"/>
  <c r="AI19" i="28"/>
  <c r="AH19" i="28"/>
  <c r="AG19" i="28"/>
  <c r="AF19" i="28"/>
  <c r="AB19" i="28"/>
  <c r="AA19" i="28"/>
  <c r="Z19" i="28"/>
  <c r="Y19" i="28"/>
  <c r="X19" i="28"/>
  <c r="W19" i="28"/>
  <c r="AE19" i="28" s="1"/>
  <c r="V19" i="28"/>
  <c r="U19" i="28"/>
  <c r="T19" i="28"/>
  <c r="O19" i="28" s="1"/>
  <c r="P19" i="28"/>
  <c r="BF18" i="28"/>
  <c r="BH18" i="28" s="1"/>
  <c r="BE18" i="28"/>
  <c r="BD18" i="28"/>
  <c r="BC18" i="28"/>
  <c r="BB18" i="28"/>
  <c r="BA18" i="28"/>
  <c r="AW18" i="28"/>
  <c r="AV18" i="28"/>
  <c r="AU18" i="28"/>
  <c r="AT18" i="28"/>
  <c r="AS18" i="28"/>
  <c r="AR18" i="28"/>
  <c r="AZ18" i="28" s="1"/>
  <c r="AQ18" i="28"/>
  <c r="AP18" i="28"/>
  <c r="AO18" i="28"/>
  <c r="AN18" i="28" s="1"/>
  <c r="AK18" i="28"/>
  <c r="AM18" i="28" s="1"/>
  <c r="AJ18" i="28"/>
  <c r="AI18" i="28"/>
  <c r="AH18" i="28"/>
  <c r="AG18" i="28"/>
  <c r="AF18" i="28"/>
  <c r="AB18" i="28"/>
  <c r="AA18" i="28"/>
  <c r="Z18" i="28"/>
  <c r="Y18" i="28"/>
  <c r="X18" i="28"/>
  <c r="W18" i="28"/>
  <c r="AE18" i="28" s="1"/>
  <c r="V18" i="28"/>
  <c r="U18" i="28"/>
  <c r="T18" i="28"/>
  <c r="O18" i="28" s="1"/>
  <c r="P18" i="28"/>
  <c r="BF17" i="28"/>
  <c r="BH17" i="28" s="1"/>
  <c r="BE17" i="28"/>
  <c r="BD17" i="28"/>
  <c r="BC17" i="28"/>
  <c r="BB17" i="28"/>
  <c r="BA17" i="28"/>
  <c r="AW17" i="28"/>
  <c r="AV17" i="28"/>
  <c r="AU17" i="28"/>
  <c r="AT17" i="28"/>
  <c r="AS17" i="28"/>
  <c r="AR17" i="28"/>
  <c r="AZ17" i="28" s="1"/>
  <c r="AQ17" i="28"/>
  <c r="AP17" i="28"/>
  <c r="AO17" i="28"/>
  <c r="AN17" i="28" s="1"/>
  <c r="AK17" i="28"/>
  <c r="AM17" i="28" s="1"/>
  <c r="AJ17" i="28"/>
  <c r="AI17" i="28"/>
  <c r="AH17" i="28"/>
  <c r="AG17" i="28"/>
  <c r="AF17" i="28"/>
  <c r="AB17" i="28"/>
  <c r="AA17" i="28"/>
  <c r="Z17" i="28"/>
  <c r="Y17" i="28"/>
  <c r="X17" i="28"/>
  <c r="W17" i="28"/>
  <c r="AE17" i="28" s="1"/>
  <c r="V17" i="28"/>
  <c r="U17" i="28"/>
  <c r="T17" i="28"/>
  <c r="O17" i="28" s="1"/>
  <c r="P17" i="28"/>
  <c r="BF16" i="28"/>
  <c r="BH16" i="28" s="1"/>
  <c r="BE16" i="28"/>
  <c r="BD16" i="28"/>
  <c r="BC16" i="28"/>
  <c r="BA16" i="28"/>
  <c r="AW16" i="28"/>
  <c r="AV16" i="28"/>
  <c r="AU16" i="28"/>
  <c r="AT16" i="28"/>
  <c r="AR16" i="28"/>
  <c r="AQ16" i="28"/>
  <c r="AP16" i="28"/>
  <c r="AO16" i="28"/>
  <c r="AK16" i="28"/>
  <c r="AM16" i="28" s="1"/>
  <c r="AJ16" i="28"/>
  <c r="AI16" i="28"/>
  <c r="AH16" i="28"/>
  <c r="AF16" i="28"/>
  <c r="AB16" i="28"/>
  <c r="AA16" i="28"/>
  <c r="Z16" i="28"/>
  <c r="Y16" i="28"/>
  <c r="W16" i="28"/>
  <c r="V16" i="28"/>
  <c r="AS16" i="28" s="1"/>
  <c r="U16" i="28"/>
  <c r="T16" i="28"/>
  <c r="BF15" i="28"/>
  <c r="BH15" i="28" s="1"/>
  <c r="BE15" i="28"/>
  <c r="BD15" i="28"/>
  <c r="BC15" i="28"/>
  <c r="BB15" i="28"/>
  <c r="BA15" i="28"/>
  <c r="AW15" i="28"/>
  <c r="AV15" i="28"/>
  <c r="AU15" i="28"/>
  <c r="AT15" i="28"/>
  <c r="AS15" i="28"/>
  <c r="AR15" i="28"/>
  <c r="AZ15" i="28" s="1"/>
  <c r="AQ15" i="28"/>
  <c r="AP15" i="28"/>
  <c r="AO15" i="28"/>
  <c r="AN15" i="28" s="1"/>
  <c r="AK15" i="28"/>
  <c r="AM15" i="28" s="1"/>
  <c r="AJ15" i="28"/>
  <c r="AI15" i="28"/>
  <c r="AH15" i="28"/>
  <c r="AG15" i="28"/>
  <c r="AF15" i="28"/>
  <c r="AB15" i="28"/>
  <c r="AA15" i="28"/>
  <c r="Z15" i="28"/>
  <c r="Y15" i="28"/>
  <c r="X15" i="28"/>
  <c r="W15" i="28"/>
  <c r="AE15" i="28" s="1"/>
  <c r="V15" i="28"/>
  <c r="U15" i="28"/>
  <c r="T15" i="28"/>
  <c r="O15" i="28" s="1"/>
  <c r="P15" i="28"/>
  <c r="BF14" i="28"/>
  <c r="BH14" i="28" s="1"/>
  <c r="BE14" i="28"/>
  <c r="BD14" i="28"/>
  <c r="BC14" i="28"/>
  <c r="BB14" i="28"/>
  <c r="BA14" i="28"/>
  <c r="AW14" i="28"/>
  <c r="AV14" i="28"/>
  <c r="AU14" i="28"/>
  <c r="AT14" i="28"/>
  <c r="AS14" i="28"/>
  <c r="AR14" i="28"/>
  <c r="AZ14" i="28" s="1"/>
  <c r="AQ14" i="28"/>
  <c r="AP14" i="28"/>
  <c r="AO14" i="28"/>
  <c r="AN14" i="28" s="1"/>
  <c r="AK14" i="28"/>
  <c r="AM14" i="28" s="1"/>
  <c r="AJ14" i="28"/>
  <c r="AI14" i="28"/>
  <c r="AH14" i="28"/>
  <c r="AG14" i="28"/>
  <c r="AF14" i="28"/>
  <c r="AB14" i="28"/>
  <c r="AA14" i="28"/>
  <c r="Z14" i="28"/>
  <c r="Y14" i="28"/>
  <c r="X14" i="28"/>
  <c r="W14" i="28"/>
  <c r="AE14" i="28" s="1"/>
  <c r="V14" i="28"/>
  <c r="U14" i="28"/>
  <c r="T14" i="28"/>
  <c r="O14" i="28" s="1"/>
  <c r="P14" i="28"/>
  <c r="BF13" i="28"/>
  <c r="BH13" i="28" s="1"/>
  <c r="BE13" i="28"/>
  <c r="BD13" i="28"/>
  <c r="BC13" i="28"/>
  <c r="BB13" i="28"/>
  <c r="BA13" i="28"/>
  <c r="AW13" i="28"/>
  <c r="AV13" i="28"/>
  <c r="AU13" i="28"/>
  <c r="AT13" i="28"/>
  <c r="AS13" i="28"/>
  <c r="AR13" i="28"/>
  <c r="AZ13" i="28" s="1"/>
  <c r="AQ13" i="28"/>
  <c r="AP13" i="28"/>
  <c r="AO13" i="28"/>
  <c r="AN13" i="28" s="1"/>
  <c r="AK13" i="28"/>
  <c r="AM13" i="28" s="1"/>
  <c r="AJ13" i="28"/>
  <c r="AI13" i="28"/>
  <c r="AH13" i="28"/>
  <c r="AG13" i="28"/>
  <c r="AF13" i="28"/>
  <c r="AB13" i="28"/>
  <c r="AA13" i="28"/>
  <c r="Z13" i="28"/>
  <c r="Y13" i="28"/>
  <c r="X13" i="28"/>
  <c r="W13" i="28"/>
  <c r="AE13" i="28" s="1"/>
  <c r="V13" i="28"/>
  <c r="U13" i="28"/>
  <c r="T13" i="28"/>
  <c r="O13" i="28" s="1"/>
  <c r="P13" i="28"/>
  <c r="BF12" i="28"/>
  <c r="BH12" i="28" s="1"/>
  <c r="BE12" i="28"/>
  <c r="BD12" i="28"/>
  <c r="BC12" i="28"/>
  <c r="BB12" i="28"/>
  <c r="BA12" i="28"/>
  <c r="AW12" i="28"/>
  <c r="AV12" i="28"/>
  <c r="AU12" i="28"/>
  <c r="AT12" i="28"/>
  <c r="AS12" i="28"/>
  <c r="AR12" i="28"/>
  <c r="AZ12" i="28" s="1"/>
  <c r="AQ12" i="28"/>
  <c r="AP12" i="28"/>
  <c r="AO12" i="28"/>
  <c r="AN12" i="28" s="1"/>
  <c r="AK12" i="28"/>
  <c r="AM12" i="28" s="1"/>
  <c r="AJ12" i="28"/>
  <c r="AI12" i="28"/>
  <c r="AH12" i="28"/>
  <c r="AG12" i="28"/>
  <c r="AF12" i="28"/>
  <c r="AB12" i="28"/>
  <c r="AA12" i="28"/>
  <c r="Z12" i="28"/>
  <c r="Y12" i="28"/>
  <c r="X12" i="28"/>
  <c r="W12" i="28"/>
  <c r="AE12" i="28" s="1"/>
  <c r="V12" i="28"/>
  <c r="U12" i="28"/>
  <c r="T12" i="28"/>
  <c r="O12" i="28" s="1"/>
  <c r="P12" i="28"/>
  <c r="BF11" i="28"/>
  <c r="BH11" i="28" s="1"/>
  <c r="BE11" i="28"/>
  <c r="BD11" i="28"/>
  <c r="BC11" i="28"/>
  <c r="BB11" i="28"/>
  <c r="BA11" i="28"/>
  <c r="AW11" i="28"/>
  <c r="AV11" i="28"/>
  <c r="AU11" i="28"/>
  <c r="AT11" i="28"/>
  <c r="AS11" i="28"/>
  <c r="AR11" i="28"/>
  <c r="AZ11" i="28" s="1"/>
  <c r="AQ11" i="28"/>
  <c r="AP11" i="28"/>
  <c r="AO11" i="28"/>
  <c r="AN11" i="28" s="1"/>
  <c r="AK11" i="28"/>
  <c r="AM11" i="28" s="1"/>
  <c r="AJ11" i="28"/>
  <c r="AI11" i="28"/>
  <c r="AH11" i="28"/>
  <c r="AG11" i="28"/>
  <c r="AF11" i="28"/>
  <c r="AB11" i="28"/>
  <c r="AA11" i="28"/>
  <c r="Z11" i="28"/>
  <c r="Y11" i="28"/>
  <c r="X11" i="28"/>
  <c r="W11" i="28"/>
  <c r="AE11" i="28" s="1"/>
  <c r="V11" i="28"/>
  <c r="U11" i="28"/>
  <c r="T11" i="28"/>
  <c r="O11" i="28" s="1"/>
  <c r="P11" i="28"/>
  <c r="BF10" i="28"/>
  <c r="BH10" i="28" s="1"/>
  <c r="BE10" i="28"/>
  <c r="BD10" i="28"/>
  <c r="BC10" i="28"/>
  <c r="BB10" i="28"/>
  <c r="BA10" i="28"/>
  <c r="AW10" i="28"/>
  <c r="AV10" i="28"/>
  <c r="AU10" i="28"/>
  <c r="AT10" i="28"/>
  <c r="AS10" i="28"/>
  <c r="AR10" i="28"/>
  <c r="AZ10" i="28" s="1"/>
  <c r="AQ10" i="28"/>
  <c r="AP10" i="28"/>
  <c r="AO10" i="28"/>
  <c r="AN10" i="28" s="1"/>
  <c r="AK10" i="28"/>
  <c r="AM10" i="28" s="1"/>
  <c r="AJ10" i="28"/>
  <c r="AI10" i="28"/>
  <c r="AH10" i="28"/>
  <c r="AG10" i="28"/>
  <c r="AF10" i="28"/>
  <c r="AB10" i="28"/>
  <c r="AA10" i="28"/>
  <c r="Z10" i="28"/>
  <c r="Y10" i="28"/>
  <c r="X10" i="28"/>
  <c r="W10" i="28"/>
  <c r="AE10" i="28" s="1"/>
  <c r="V10" i="28"/>
  <c r="U10" i="28"/>
  <c r="T10" i="28"/>
  <c r="O10" i="28" s="1"/>
  <c r="P10" i="28"/>
  <c r="BF9" i="28"/>
  <c r="BH9" i="28" s="1"/>
  <c r="BE9" i="28"/>
  <c r="BD9" i="28"/>
  <c r="BC9" i="28"/>
  <c r="BA9" i="28"/>
  <c r="AW9" i="28"/>
  <c r="AV9" i="28"/>
  <c r="AU9" i="28"/>
  <c r="AT9" i="28"/>
  <c r="AS9" i="28"/>
  <c r="AR9" i="28"/>
  <c r="AZ9" i="28" s="1"/>
  <c r="AQ9" i="28"/>
  <c r="AP9" i="28"/>
  <c r="AO9" i="28"/>
  <c r="AK9" i="28"/>
  <c r="AM9" i="28" s="1"/>
  <c r="AJ9" i="28"/>
  <c r="AI9" i="28"/>
  <c r="AH9" i="28"/>
  <c r="AF9" i="28"/>
  <c r="AB9" i="28"/>
  <c r="AA9" i="28"/>
  <c r="Z9" i="28"/>
  <c r="Y9" i="28"/>
  <c r="X9" i="28"/>
  <c r="W9" i="28"/>
  <c r="AE9" i="28" s="1"/>
  <c r="V9" i="28"/>
  <c r="U9" i="28"/>
  <c r="T9" i="28"/>
  <c r="AK73" i="15"/>
  <c r="AM73" i="15" s="1"/>
  <c r="AJ73" i="15"/>
  <c r="AI73" i="15"/>
  <c r="AB73" i="15"/>
  <c r="AA73" i="15"/>
  <c r="Z73" i="15"/>
  <c r="X73" i="15"/>
  <c r="W73" i="15"/>
  <c r="AE73" i="15" s="1"/>
  <c r="V73" i="15"/>
  <c r="R73" i="15"/>
  <c r="Q73" i="15"/>
  <c r="D73" i="15"/>
  <c r="AH73" i="15" s="1"/>
  <c r="AK72" i="15"/>
  <c r="AM72" i="15" s="1"/>
  <c r="AJ72" i="15"/>
  <c r="AI72" i="15"/>
  <c r="AB72" i="15"/>
  <c r="AA72" i="15"/>
  <c r="Z72" i="15"/>
  <c r="X72" i="15"/>
  <c r="W72" i="15"/>
  <c r="AE72" i="15" s="1"/>
  <c r="V72" i="15"/>
  <c r="U72" i="15"/>
  <c r="T72" i="15"/>
  <c r="O72" i="15" s="1"/>
  <c r="R72" i="15"/>
  <c r="Q72" i="15"/>
  <c r="P72" i="15"/>
  <c r="D72" i="15"/>
  <c r="AF72" i="15" s="1"/>
  <c r="AK71" i="15"/>
  <c r="AM71" i="15" s="1"/>
  <c r="AJ71" i="15"/>
  <c r="AI71" i="15"/>
  <c r="AB71" i="15"/>
  <c r="AA71" i="15"/>
  <c r="Z71" i="15"/>
  <c r="X71" i="15"/>
  <c r="W71" i="15"/>
  <c r="AE71" i="15" s="1"/>
  <c r="V71" i="15"/>
  <c r="U71" i="15"/>
  <c r="T71" i="15"/>
  <c r="O71" i="15" s="1"/>
  <c r="R71" i="15"/>
  <c r="Q71" i="15"/>
  <c r="P71" i="15"/>
  <c r="D71" i="15"/>
  <c r="AH71" i="15" s="1"/>
  <c r="AK70" i="15"/>
  <c r="AM70" i="15" s="1"/>
  <c r="AJ70" i="15"/>
  <c r="AI70" i="15"/>
  <c r="AB70" i="15"/>
  <c r="AA70" i="15"/>
  <c r="Z70" i="15"/>
  <c r="X70" i="15"/>
  <c r="W70" i="15"/>
  <c r="AE70" i="15" s="1"/>
  <c r="V70" i="15"/>
  <c r="U70" i="15"/>
  <c r="T70" i="15"/>
  <c r="O70" i="15" s="1"/>
  <c r="R70" i="15"/>
  <c r="Q70" i="15"/>
  <c r="P70" i="15"/>
  <c r="D70" i="15"/>
  <c r="AF70" i="15" s="1"/>
  <c r="AK69" i="15"/>
  <c r="AM69" i="15" s="1"/>
  <c r="AJ69" i="15"/>
  <c r="AI69" i="15"/>
  <c r="AB69" i="15"/>
  <c r="AA69" i="15"/>
  <c r="Z69" i="15"/>
  <c r="X69" i="15"/>
  <c r="W69" i="15"/>
  <c r="AE69" i="15" s="1"/>
  <c r="V69" i="15"/>
  <c r="U69" i="15"/>
  <c r="T69" i="15"/>
  <c r="O69" i="15" s="1"/>
  <c r="R69" i="15"/>
  <c r="Q69" i="15"/>
  <c r="P69" i="15"/>
  <c r="D69" i="15"/>
  <c r="AH69" i="15" s="1"/>
  <c r="AK68" i="15"/>
  <c r="AM68" i="15" s="1"/>
  <c r="AJ68" i="15"/>
  <c r="AI68" i="15"/>
  <c r="AB68" i="15"/>
  <c r="AA68" i="15"/>
  <c r="Z68" i="15"/>
  <c r="X68" i="15"/>
  <c r="W68" i="15"/>
  <c r="AE68" i="15" s="1"/>
  <c r="V68" i="15"/>
  <c r="U68" i="15"/>
  <c r="T68" i="15"/>
  <c r="O68" i="15" s="1"/>
  <c r="R68" i="15"/>
  <c r="Q68" i="15"/>
  <c r="P68" i="15"/>
  <c r="D68" i="15"/>
  <c r="AF68" i="15" s="1"/>
  <c r="AK67" i="15"/>
  <c r="AM67" i="15" s="1"/>
  <c r="AJ67" i="15"/>
  <c r="AI67" i="15"/>
  <c r="AB67" i="15"/>
  <c r="AA67" i="15"/>
  <c r="Z67" i="15"/>
  <c r="X67" i="15"/>
  <c r="W67" i="15"/>
  <c r="AE67" i="15" s="1"/>
  <c r="V67" i="15"/>
  <c r="U67" i="15"/>
  <c r="T67" i="15"/>
  <c r="O67" i="15" s="1"/>
  <c r="R67" i="15"/>
  <c r="Q67" i="15"/>
  <c r="P67" i="15"/>
  <c r="D67" i="15"/>
  <c r="AH67" i="15" s="1"/>
  <c r="AK66" i="15"/>
  <c r="AM66" i="15" s="1"/>
  <c r="AJ66" i="15"/>
  <c r="AI66" i="15"/>
  <c r="AB66" i="15"/>
  <c r="AA66" i="15"/>
  <c r="Z66" i="15"/>
  <c r="X66" i="15"/>
  <c r="W66" i="15"/>
  <c r="AE66" i="15" s="1"/>
  <c r="V66" i="15"/>
  <c r="U66" i="15"/>
  <c r="T66" i="15"/>
  <c r="O66" i="15" s="1"/>
  <c r="R66" i="15"/>
  <c r="Q66" i="15"/>
  <c r="P66" i="15"/>
  <c r="D66" i="15"/>
  <c r="AF66" i="15" s="1"/>
  <c r="AK65" i="15"/>
  <c r="AM65" i="15" s="1"/>
  <c r="AJ65" i="15"/>
  <c r="AI65" i="15"/>
  <c r="AB65" i="15"/>
  <c r="AA65" i="15"/>
  <c r="Z65" i="15"/>
  <c r="W65" i="15"/>
  <c r="AE65" i="15" s="1"/>
  <c r="V65" i="15"/>
  <c r="U65" i="15"/>
  <c r="T65" i="15"/>
  <c r="O65" i="15" s="1"/>
  <c r="P65" i="15" s="1"/>
  <c r="R65" i="15"/>
  <c r="Q65" i="15"/>
  <c r="D65" i="15"/>
  <c r="AH65" i="15" s="1"/>
  <c r="AK64" i="15"/>
  <c r="AM64" i="15" s="1"/>
  <c r="AJ64" i="15"/>
  <c r="AI64" i="15"/>
  <c r="AB64" i="15"/>
  <c r="AA64" i="15"/>
  <c r="Z64" i="15"/>
  <c r="X64" i="15"/>
  <c r="W64" i="15"/>
  <c r="AE64" i="15" s="1"/>
  <c r="V64" i="15"/>
  <c r="U64" i="15"/>
  <c r="T64" i="15"/>
  <c r="O64" i="15" s="1"/>
  <c r="R64" i="15"/>
  <c r="Q64" i="15"/>
  <c r="P64" i="15"/>
  <c r="D64" i="15"/>
  <c r="AF64" i="15" s="1"/>
  <c r="AK63" i="15"/>
  <c r="AM63" i="15" s="1"/>
  <c r="AJ63" i="15"/>
  <c r="AI63" i="15"/>
  <c r="AB63" i="15"/>
  <c r="AA63" i="15"/>
  <c r="Z63" i="15"/>
  <c r="X63" i="15"/>
  <c r="W63" i="15"/>
  <c r="AE63" i="15" s="1"/>
  <c r="V63" i="15"/>
  <c r="U63" i="15"/>
  <c r="T63" i="15"/>
  <c r="O63" i="15" s="1"/>
  <c r="R63" i="15"/>
  <c r="Q63" i="15"/>
  <c r="P63" i="15"/>
  <c r="D63" i="15"/>
  <c r="AH63" i="15" s="1"/>
  <c r="AK62" i="15"/>
  <c r="AM62" i="15" s="1"/>
  <c r="AJ62" i="15"/>
  <c r="AI62" i="15"/>
  <c r="AB62" i="15"/>
  <c r="AA62" i="15"/>
  <c r="Z62" i="15"/>
  <c r="X62" i="15"/>
  <c r="W62" i="15"/>
  <c r="AE62" i="15" s="1"/>
  <c r="V62" i="15"/>
  <c r="U62" i="15"/>
  <c r="T62" i="15"/>
  <c r="O62" i="15" s="1"/>
  <c r="R62" i="15"/>
  <c r="Q62" i="15"/>
  <c r="P62" i="15"/>
  <c r="D62" i="15"/>
  <c r="AF62" i="15" s="1"/>
  <c r="AK61" i="15"/>
  <c r="AM61" i="15" s="1"/>
  <c r="AJ61" i="15"/>
  <c r="AI61" i="15"/>
  <c r="AB61" i="15"/>
  <c r="AA61" i="15"/>
  <c r="Z61" i="15"/>
  <c r="X61" i="15"/>
  <c r="W61" i="15"/>
  <c r="AE61" i="15" s="1"/>
  <c r="V61" i="15"/>
  <c r="U61" i="15"/>
  <c r="T61" i="15"/>
  <c r="O61" i="15" s="1"/>
  <c r="R61" i="15"/>
  <c r="Q61" i="15"/>
  <c r="P61" i="15"/>
  <c r="D61" i="15"/>
  <c r="AH61" i="15" s="1"/>
  <c r="AK60" i="15"/>
  <c r="AM60" i="15" s="1"/>
  <c r="AJ60" i="15"/>
  <c r="AI60" i="15"/>
  <c r="AB60" i="15"/>
  <c r="AA60" i="15"/>
  <c r="Z60" i="15"/>
  <c r="X60" i="15"/>
  <c r="W60" i="15"/>
  <c r="AE60" i="15" s="1"/>
  <c r="V60" i="15"/>
  <c r="U60" i="15"/>
  <c r="T60" i="15"/>
  <c r="O60" i="15" s="1"/>
  <c r="R60" i="15"/>
  <c r="Q60" i="15"/>
  <c r="P60" i="15"/>
  <c r="D60" i="15"/>
  <c r="AF60" i="15" s="1"/>
  <c r="AK59" i="15"/>
  <c r="AM59" i="15" s="1"/>
  <c r="AJ59" i="15"/>
  <c r="AI59" i="15"/>
  <c r="AB59" i="15"/>
  <c r="AA59" i="15"/>
  <c r="Z59" i="15"/>
  <c r="X59" i="15"/>
  <c r="W59" i="15"/>
  <c r="AE59" i="15" s="1"/>
  <c r="V59" i="15"/>
  <c r="U59" i="15"/>
  <c r="T59" i="15"/>
  <c r="O59" i="15" s="1"/>
  <c r="R59" i="15"/>
  <c r="Q59" i="15"/>
  <c r="P59" i="15"/>
  <c r="D59" i="15"/>
  <c r="AH59" i="15" s="1"/>
  <c r="AK58" i="15"/>
  <c r="AM58" i="15" s="1"/>
  <c r="AJ58" i="15"/>
  <c r="AI58" i="15"/>
  <c r="AB58" i="15"/>
  <c r="AA58" i="15"/>
  <c r="Z58" i="15"/>
  <c r="X58" i="15"/>
  <c r="W58" i="15"/>
  <c r="AE58" i="15" s="1"/>
  <c r="V58" i="15"/>
  <c r="U58" i="15"/>
  <c r="T58" i="15"/>
  <c r="O58" i="15" s="1"/>
  <c r="R58" i="15"/>
  <c r="Q58" i="15"/>
  <c r="P58" i="15"/>
  <c r="D58" i="15"/>
  <c r="AF58" i="15" s="1"/>
  <c r="AK57" i="15"/>
  <c r="AM57" i="15" s="1"/>
  <c r="AJ57" i="15"/>
  <c r="AI57" i="15"/>
  <c r="AB57" i="15"/>
  <c r="AA57" i="15"/>
  <c r="Z57" i="15"/>
  <c r="X57" i="15"/>
  <c r="W57" i="15"/>
  <c r="AE57" i="15" s="1"/>
  <c r="V57" i="15"/>
  <c r="U57" i="15"/>
  <c r="T57" i="15"/>
  <c r="O57" i="15" s="1"/>
  <c r="R57" i="15"/>
  <c r="Q57" i="15"/>
  <c r="P57" i="15"/>
  <c r="D57" i="15"/>
  <c r="AH57" i="15" s="1"/>
  <c r="AK56" i="15"/>
  <c r="AM56" i="15" s="1"/>
  <c r="AJ56" i="15"/>
  <c r="AI56" i="15"/>
  <c r="AB56" i="15"/>
  <c r="AA56" i="15"/>
  <c r="Z56" i="15"/>
  <c r="X56" i="15"/>
  <c r="W56" i="15"/>
  <c r="AE56" i="15" s="1"/>
  <c r="V56" i="15"/>
  <c r="U56" i="15"/>
  <c r="T56" i="15"/>
  <c r="O56" i="15" s="1"/>
  <c r="R56" i="15"/>
  <c r="Q56" i="15"/>
  <c r="P56" i="15"/>
  <c r="D56" i="15"/>
  <c r="AG56" i="15" s="1"/>
  <c r="AK55" i="15"/>
  <c r="AM55" i="15" s="1"/>
  <c r="AJ55" i="15"/>
  <c r="AI55" i="15"/>
  <c r="AB55" i="15"/>
  <c r="AA55" i="15"/>
  <c r="Z55" i="15"/>
  <c r="X55" i="15"/>
  <c r="W55" i="15"/>
  <c r="AE55" i="15" s="1"/>
  <c r="V55" i="15"/>
  <c r="U55" i="15"/>
  <c r="T55" i="15"/>
  <c r="O55" i="15" s="1"/>
  <c r="R55" i="15"/>
  <c r="Q55" i="15"/>
  <c r="P55" i="15"/>
  <c r="D55" i="15"/>
  <c r="AK54" i="15"/>
  <c r="AM54" i="15" s="1"/>
  <c r="AJ54" i="15"/>
  <c r="AI54" i="15"/>
  <c r="AB54" i="15"/>
  <c r="AA54" i="15"/>
  <c r="Z54" i="15"/>
  <c r="X54" i="15"/>
  <c r="W54" i="15"/>
  <c r="AE54" i="15" s="1"/>
  <c r="V54" i="15"/>
  <c r="U54" i="15"/>
  <c r="T54" i="15"/>
  <c r="O54" i="15" s="1"/>
  <c r="R54" i="15"/>
  <c r="Q54" i="15"/>
  <c r="P54" i="15"/>
  <c r="D54" i="15"/>
  <c r="AH54" i="15" s="1"/>
  <c r="AK53" i="15"/>
  <c r="AM53" i="15" s="1"/>
  <c r="AJ53" i="15"/>
  <c r="AI53" i="15"/>
  <c r="AB53" i="15"/>
  <c r="AA53" i="15"/>
  <c r="Z53" i="15"/>
  <c r="X53" i="15"/>
  <c r="W53" i="15"/>
  <c r="AE53" i="15" s="1"/>
  <c r="V53" i="15"/>
  <c r="U53" i="15"/>
  <c r="T53" i="15"/>
  <c r="O53" i="15" s="1"/>
  <c r="R53" i="15"/>
  <c r="Q53" i="15"/>
  <c r="P53" i="15"/>
  <c r="D53" i="15"/>
  <c r="AH53" i="15" s="1"/>
  <c r="AK52" i="15"/>
  <c r="AM52" i="15" s="1"/>
  <c r="AJ52" i="15"/>
  <c r="AI52" i="15"/>
  <c r="AB52" i="15"/>
  <c r="AA52" i="15"/>
  <c r="Z52" i="15"/>
  <c r="X52" i="15"/>
  <c r="W52" i="15"/>
  <c r="AE52" i="15" s="1"/>
  <c r="V52" i="15"/>
  <c r="U52" i="15"/>
  <c r="T52" i="15"/>
  <c r="O52" i="15" s="1"/>
  <c r="R52" i="15"/>
  <c r="Q52" i="15"/>
  <c r="P52" i="15"/>
  <c r="D52" i="15"/>
  <c r="AG52" i="15" s="1"/>
  <c r="AK51" i="15"/>
  <c r="AM51" i="15" s="1"/>
  <c r="AJ51" i="15"/>
  <c r="AI51" i="15"/>
  <c r="AB51" i="15"/>
  <c r="AA51" i="15"/>
  <c r="Z51" i="15"/>
  <c r="X51" i="15"/>
  <c r="W51" i="15"/>
  <c r="AE51" i="15" s="1"/>
  <c r="V51" i="15"/>
  <c r="U51" i="15"/>
  <c r="T51" i="15"/>
  <c r="O51" i="15" s="1"/>
  <c r="R51" i="15"/>
  <c r="Q51" i="15"/>
  <c r="P51" i="15"/>
  <c r="D51" i="15"/>
  <c r="AK50" i="15"/>
  <c r="AM50" i="15" s="1"/>
  <c r="AJ50" i="15"/>
  <c r="AI50" i="15"/>
  <c r="AB50" i="15"/>
  <c r="AA50" i="15"/>
  <c r="Z50" i="15"/>
  <c r="X50" i="15"/>
  <c r="W50" i="15"/>
  <c r="AE50" i="15" s="1"/>
  <c r="V50" i="15"/>
  <c r="U50" i="15"/>
  <c r="T50" i="15"/>
  <c r="O50" i="15" s="1"/>
  <c r="R50" i="15"/>
  <c r="Q50" i="15"/>
  <c r="P50" i="15"/>
  <c r="D50" i="15"/>
  <c r="AH50" i="15" s="1"/>
  <c r="AK49" i="15"/>
  <c r="AM49" i="15" s="1"/>
  <c r="AJ49" i="15"/>
  <c r="AI49" i="15"/>
  <c r="AB49" i="15"/>
  <c r="AA49" i="15"/>
  <c r="Z49" i="15"/>
  <c r="X49" i="15"/>
  <c r="W49" i="15"/>
  <c r="AE49" i="15" s="1"/>
  <c r="V49" i="15"/>
  <c r="U49" i="15"/>
  <c r="T49" i="15"/>
  <c r="O49" i="15" s="1"/>
  <c r="R49" i="15"/>
  <c r="Q49" i="15"/>
  <c r="P49" i="15"/>
  <c r="D49" i="15"/>
  <c r="AG49" i="15" s="1"/>
  <c r="AK48" i="15"/>
  <c r="AM48" i="15" s="1"/>
  <c r="AJ48" i="15"/>
  <c r="AI48" i="15"/>
  <c r="AB48" i="15"/>
  <c r="AA48" i="15"/>
  <c r="Z48" i="15"/>
  <c r="X48" i="15"/>
  <c r="W48" i="15"/>
  <c r="AE48" i="15" s="1"/>
  <c r="V48" i="15"/>
  <c r="U48" i="15"/>
  <c r="T48" i="15"/>
  <c r="O48" i="15" s="1"/>
  <c r="R48" i="15"/>
  <c r="Q48" i="15"/>
  <c r="P48" i="15"/>
  <c r="D48" i="15"/>
  <c r="AH48" i="15" s="1"/>
  <c r="AK47" i="15"/>
  <c r="AM47" i="15" s="1"/>
  <c r="AJ47" i="15"/>
  <c r="AI47" i="15"/>
  <c r="AB47" i="15"/>
  <c r="AA47" i="15"/>
  <c r="Z47" i="15"/>
  <c r="X47" i="15"/>
  <c r="W47" i="15"/>
  <c r="AE47" i="15" s="1"/>
  <c r="V47" i="15"/>
  <c r="U47" i="15"/>
  <c r="T47" i="15"/>
  <c r="O47" i="15" s="1"/>
  <c r="R47" i="15"/>
  <c r="Q47" i="15"/>
  <c r="P47" i="15"/>
  <c r="D47" i="15"/>
  <c r="AH47" i="15" s="1"/>
  <c r="AK46" i="15"/>
  <c r="AM46" i="15" s="1"/>
  <c r="AJ46" i="15"/>
  <c r="AI46" i="15"/>
  <c r="AB46" i="15"/>
  <c r="AA46" i="15"/>
  <c r="Z46" i="15"/>
  <c r="X46" i="15"/>
  <c r="W46" i="15"/>
  <c r="AE46" i="15" s="1"/>
  <c r="V46" i="15"/>
  <c r="U46" i="15"/>
  <c r="T46" i="15"/>
  <c r="O46" i="15" s="1"/>
  <c r="R46" i="15"/>
  <c r="Q46" i="15"/>
  <c r="P46" i="15"/>
  <c r="D46" i="15"/>
  <c r="AH46" i="15" s="1"/>
  <c r="AK45" i="15"/>
  <c r="AM45" i="15" s="1"/>
  <c r="AJ45" i="15"/>
  <c r="AI45" i="15"/>
  <c r="AB45" i="15"/>
  <c r="AA45" i="15"/>
  <c r="Z45" i="15"/>
  <c r="X45" i="15"/>
  <c r="W45" i="15"/>
  <c r="AE45" i="15" s="1"/>
  <c r="V45" i="15"/>
  <c r="U45" i="15"/>
  <c r="T45" i="15"/>
  <c r="O45" i="15" s="1"/>
  <c r="R45" i="15"/>
  <c r="Q45" i="15"/>
  <c r="P45" i="15"/>
  <c r="D45" i="15"/>
  <c r="AH45" i="15" s="1"/>
  <c r="AK44" i="15"/>
  <c r="AM44" i="15" s="1"/>
  <c r="AJ44" i="15"/>
  <c r="AI44" i="15"/>
  <c r="AB44" i="15"/>
  <c r="AA44" i="15"/>
  <c r="Z44" i="15"/>
  <c r="Y44" i="15"/>
  <c r="X44" i="15"/>
  <c r="W44" i="15"/>
  <c r="AE44" i="15" s="1"/>
  <c r="V44" i="15"/>
  <c r="U44" i="15"/>
  <c r="T44" i="15"/>
  <c r="O44" i="15" s="1"/>
  <c r="R44" i="15"/>
  <c r="Q44" i="15"/>
  <c r="P44" i="15"/>
  <c r="D44" i="15"/>
  <c r="AH44" i="15" s="1"/>
  <c r="AK43" i="15"/>
  <c r="AM43" i="15" s="1"/>
  <c r="AJ43" i="15"/>
  <c r="AI43" i="15"/>
  <c r="AB43" i="15"/>
  <c r="AA43" i="15"/>
  <c r="Z43" i="15"/>
  <c r="X43" i="15"/>
  <c r="W43" i="15"/>
  <c r="AE43" i="15" s="1"/>
  <c r="V43" i="15"/>
  <c r="U43" i="15"/>
  <c r="T43" i="15"/>
  <c r="O43" i="15" s="1"/>
  <c r="R43" i="15"/>
  <c r="Q43" i="15"/>
  <c r="P43" i="15"/>
  <c r="D43" i="15"/>
  <c r="AH43" i="15" s="1"/>
  <c r="AK42" i="15"/>
  <c r="AM42" i="15" s="1"/>
  <c r="AJ42" i="15"/>
  <c r="AI42" i="15"/>
  <c r="AB42" i="15"/>
  <c r="AA42" i="15"/>
  <c r="Z42" i="15"/>
  <c r="X42" i="15"/>
  <c r="W42" i="15"/>
  <c r="AE42" i="15" s="1"/>
  <c r="V42" i="15"/>
  <c r="U42" i="15"/>
  <c r="T42" i="15"/>
  <c r="O42" i="15" s="1"/>
  <c r="R42" i="15"/>
  <c r="Q42" i="15"/>
  <c r="P42" i="15"/>
  <c r="D42" i="15"/>
  <c r="AH42" i="15" s="1"/>
  <c r="AK41" i="15"/>
  <c r="AM41" i="15" s="1"/>
  <c r="AJ41" i="15"/>
  <c r="AI41" i="15"/>
  <c r="AL41" i="15" s="1"/>
  <c r="AB41" i="15"/>
  <c r="AA41" i="15"/>
  <c r="Z41" i="15"/>
  <c r="X41" i="15"/>
  <c r="W41" i="15"/>
  <c r="AE41" i="15" s="1"/>
  <c r="V41" i="15"/>
  <c r="U41" i="15"/>
  <c r="T41" i="15"/>
  <c r="O41" i="15" s="1"/>
  <c r="R41" i="15"/>
  <c r="Q41" i="15"/>
  <c r="P41" i="15"/>
  <c r="D41" i="15"/>
  <c r="AH41" i="15" s="1"/>
  <c r="AK40" i="15"/>
  <c r="AM40" i="15" s="1"/>
  <c r="AJ40" i="15"/>
  <c r="AI40" i="15"/>
  <c r="AB40" i="15"/>
  <c r="AA40" i="15"/>
  <c r="Z40" i="15"/>
  <c r="X40" i="15"/>
  <c r="W40" i="15"/>
  <c r="AE40" i="15" s="1"/>
  <c r="V40" i="15"/>
  <c r="U40" i="15"/>
  <c r="T40" i="15"/>
  <c r="O40" i="15" s="1"/>
  <c r="R40" i="15"/>
  <c r="Q40" i="15"/>
  <c r="P40" i="15"/>
  <c r="D40" i="15"/>
  <c r="AH40" i="15" s="1"/>
  <c r="AK39" i="15"/>
  <c r="AM39" i="15" s="1"/>
  <c r="AJ39" i="15"/>
  <c r="AI39" i="15"/>
  <c r="AB39" i="15"/>
  <c r="AA39" i="15"/>
  <c r="Z39" i="15"/>
  <c r="X39" i="15"/>
  <c r="W39" i="15"/>
  <c r="AE39" i="15" s="1"/>
  <c r="V39" i="15"/>
  <c r="U39" i="15"/>
  <c r="T39" i="15"/>
  <c r="O39" i="15" s="1"/>
  <c r="R39" i="15"/>
  <c r="Q39" i="15"/>
  <c r="P39" i="15"/>
  <c r="D39" i="15"/>
  <c r="AH39" i="15" s="1"/>
  <c r="AK38" i="15"/>
  <c r="AM38" i="15" s="1"/>
  <c r="AJ38" i="15"/>
  <c r="AI38" i="15"/>
  <c r="AB38" i="15"/>
  <c r="AA38" i="15"/>
  <c r="Z38" i="15"/>
  <c r="X38" i="15"/>
  <c r="W38" i="15"/>
  <c r="AE38" i="15" s="1"/>
  <c r="V38" i="15"/>
  <c r="U38" i="15"/>
  <c r="T38" i="15"/>
  <c r="O38" i="15" s="1"/>
  <c r="R38" i="15"/>
  <c r="Q38" i="15"/>
  <c r="P38" i="15"/>
  <c r="D38" i="15"/>
  <c r="AH38" i="15" s="1"/>
  <c r="AK37" i="15"/>
  <c r="AM37" i="15" s="1"/>
  <c r="AJ37" i="15"/>
  <c r="AI37" i="15"/>
  <c r="AL37" i="15" s="1"/>
  <c r="AB37" i="15"/>
  <c r="AA37" i="15"/>
  <c r="Z37" i="15"/>
  <c r="X37" i="15"/>
  <c r="W37" i="15"/>
  <c r="AE37" i="15" s="1"/>
  <c r="V37" i="15"/>
  <c r="U37" i="15"/>
  <c r="T37" i="15"/>
  <c r="O37" i="15" s="1"/>
  <c r="R37" i="15"/>
  <c r="Q37" i="15"/>
  <c r="P37" i="15"/>
  <c r="D37" i="15"/>
  <c r="AH37" i="15" s="1"/>
  <c r="AK36" i="15"/>
  <c r="AM36" i="15" s="1"/>
  <c r="AJ36" i="15"/>
  <c r="AI36" i="15"/>
  <c r="AB36" i="15"/>
  <c r="AA36" i="15"/>
  <c r="Z36" i="15"/>
  <c r="X36" i="15"/>
  <c r="W36" i="15"/>
  <c r="AE36" i="15" s="1"/>
  <c r="V36" i="15"/>
  <c r="U36" i="15"/>
  <c r="T36" i="15"/>
  <c r="O36" i="15" s="1"/>
  <c r="R36" i="15"/>
  <c r="Q36" i="15"/>
  <c r="P36" i="15"/>
  <c r="D36" i="15"/>
  <c r="AH36" i="15" s="1"/>
  <c r="AK35" i="15"/>
  <c r="AM35" i="15" s="1"/>
  <c r="AJ35" i="15"/>
  <c r="AI35" i="15"/>
  <c r="AB35" i="15"/>
  <c r="AA35" i="15"/>
  <c r="Z35" i="15"/>
  <c r="X35" i="15"/>
  <c r="W35" i="15"/>
  <c r="AE35" i="15" s="1"/>
  <c r="V35" i="15"/>
  <c r="U35" i="15"/>
  <c r="T35" i="15"/>
  <c r="O35" i="15" s="1"/>
  <c r="R35" i="15"/>
  <c r="Q35" i="15"/>
  <c r="P35" i="15"/>
  <c r="D35" i="15"/>
  <c r="AH35" i="15" s="1"/>
  <c r="AK34" i="15"/>
  <c r="AM34" i="15" s="1"/>
  <c r="AJ34" i="15"/>
  <c r="AI34" i="15"/>
  <c r="AB34" i="15"/>
  <c r="AA34" i="15"/>
  <c r="Z34" i="15"/>
  <c r="X34" i="15"/>
  <c r="W34" i="15"/>
  <c r="AE34" i="15" s="1"/>
  <c r="V34" i="15"/>
  <c r="U34" i="15"/>
  <c r="T34" i="15"/>
  <c r="O34" i="15" s="1"/>
  <c r="R34" i="15"/>
  <c r="Q34" i="15"/>
  <c r="P34" i="15"/>
  <c r="D34" i="15"/>
  <c r="AH34" i="15" s="1"/>
  <c r="AK33" i="15"/>
  <c r="AM33" i="15" s="1"/>
  <c r="AJ33" i="15"/>
  <c r="AI33" i="15"/>
  <c r="AL33" i="15" s="1"/>
  <c r="AB33" i="15"/>
  <c r="AA33" i="15"/>
  <c r="Z33" i="15"/>
  <c r="X33" i="15"/>
  <c r="W33" i="15"/>
  <c r="AE33" i="15" s="1"/>
  <c r="V33" i="15"/>
  <c r="U33" i="15"/>
  <c r="T33" i="15"/>
  <c r="O33" i="15" s="1"/>
  <c r="R33" i="15"/>
  <c r="Q33" i="15"/>
  <c r="P33" i="15"/>
  <c r="D33" i="15"/>
  <c r="AH33" i="15" s="1"/>
  <c r="AK32" i="15"/>
  <c r="AM32" i="15" s="1"/>
  <c r="AJ32" i="15"/>
  <c r="AI32" i="15"/>
  <c r="AB32" i="15"/>
  <c r="AA32" i="15"/>
  <c r="Z32" i="15"/>
  <c r="X32" i="15"/>
  <c r="W32" i="15"/>
  <c r="AE32" i="15" s="1"/>
  <c r="V32" i="15"/>
  <c r="U32" i="15"/>
  <c r="T32" i="15"/>
  <c r="O32" i="15" s="1"/>
  <c r="R32" i="15"/>
  <c r="Q32" i="15"/>
  <c r="P32" i="15"/>
  <c r="D32" i="15"/>
  <c r="AH32" i="15" s="1"/>
  <c r="AK31" i="15"/>
  <c r="AM31" i="15" s="1"/>
  <c r="AJ31" i="15"/>
  <c r="AI31" i="15"/>
  <c r="AB31" i="15"/>
  <c r="AA31" i="15"/>
  <c r="Z31" i="15"/>
  <c r="X31" i="15"/>
  <c r="W31" i="15"/>
  <c r="AE31" i="15" s="1"/>
  <c r="V31" i="15"/>
  <c r="U31" i="15"/>
  <c r="T31" i="15"/>
  <c r="O31" i="15" s="1"/>
  <c r="R31" i="15"/>
  <c r="Q31" i="15"/>
  <c r="P31" i="15"/>
  <c r="D31" i="15"/>
  <c r="AH31" i="15" s="1"/>
  <c r="AK30" i="15"/>
  <c r="AM30" i="15" s="1"/>
  <c r="AJ30" i="15"/>
  <c r="AI30" i="15"/>
  <c r="AB30" i="15"/>
  <c r="AA30" i="15"/>
  <c r="Z30" i="15"/>
  <c r="X30" i="15"/>
  <c r="W30" i="15"/>
  <c r="AE30" i="15" s="1"/>
  <c r="V30" i="15"/>
  <c r="U30" i="15"/>
  <c r="T30" i="15"/>
  <c r="O30" i="15" s="1"/>
  <c r="R30" i="15"/>
  <c r="Q30" i="15"/>
  <c r="P30" i="15"/>
  <c r="D30" i="15"/>
  <c r="AH30" i="15" s="1"/>
  <c r="AK29" i="15"/>
  <c r="AM29" i="15" s="1"/>
  <c r="AJ29" i="15"/>
  <c r="AI29" i="15"/>
  <c r="AB29" i="15"/>
  <c r="AA29" i="15"/>
  <c r="Z29" i="15"/>
  <c r="X29" i="15"/>
  <c r="W29" i="15"/>
  <c r="AE29" i="15" s="1"/>
  <c r="V29" i="15"/>
  <c r="U29" i="15"/>
  <c r="T29" i="15"/>
  <c r="O29" i="15" s="1"/>
  <c r="R29" i="15"/>
  <c r="Q29" i="15"/>
  <c r="P29" i="15"/>
  <c r="D29" i="15"/>
  <c r="AH29" i="15" s="1"/>
  <c r="AK28" i="15"/>
  <c r="AM28" i="15" s="1"/>
  <c r="AJ28" i="15"/>
  <c r="AI28" i="15"/>
  <c r="AB28" i="15"/>
  <c r="AA28" i="15"/>
  <c r="Z28" i="15"/>
  <c r="X28" i="15"/>
  <c r="W28" i="15"/>
  <c r="AE28" i="15" s="1"/>
  <c r="V28" i="15"/>
  <c r="U28" i="15"/>
  <c r="T28" i="15"/>
  <c r="O28" i="15" s="1"/>
  <c r="R28" i="15"/>
  <c r="Q28" i="15"/>
  <c r="P28" i="15"/>
  <c r="D28" i="15"/>
  <c r="AH28" i="15" s="1"/>
  <c r="AK27" i="15"/>
  <c r="AM27" i="15" s="1"/>
  <c r="AJ27" i="15"/>
  <c r="AI27" i="15"/>
  <c r="AB27" i="15"/>
  <c r="AA27" i="15"/>
  <c r="Z27" i="15"/>
  <c r="X27" i="15"/>
  <c r="W27" i="15"/>
  <c r="AE27" i="15" s="1"/>
  <c r="V27" i="15"/>
  <c r="U27" i="15"/>
  <c r="T27" i="15"/>
  <c r="O27" i="15" s="1"/>
  <c r="R27" i="15"/>
  <c r="Q27" i="15"/>
  <c r="P27" i="15"/>
  <c r="D27" i="15"/>
  <c r="AH27" i="15" s="1"/>
  <c r="AK26" i="15"/>
  <c r="AM26" i="15" s="1"/>
  <c r="AJ26" i="15"/>
  <c r="AI26" i="15"/>
  <c r="AB26" i="15"/>
  <c r="AA26" i="15"/>
  <c r="Z26" i="15"/>
  <c r="X26" i="15"/>
  <c r="W26" i="15"/>
  <c r="AE26" i="15" s="1"/>
  <c r="V26" i="15"/>
  <c r="U26" i="15"/>
  <c r="T26" i="15"/>
  <c r="O26" i="15" s="1"/>
  <c r="R26" i="15"/>
  <c r="Q26" i="15"/>
  <c r="P26" i="15"/>
  <c r="D26" i="15"/>
  <c r="AH26" i="15" s="1"/>
  <c r="AK25" i="15"/>
  <c r="AM25" i="15" s="1"/>
  <c r="AJ25" i="15"/>
  <c r="AI25" i="15"/>
  <c r="AB25" i="15"/>
  <c r="AA25" i="15"/>
  <c r="Z25" i="15"/>
  <c r="X25" i="15"/>
  <c r="W25" i="15"/>
  <c r="AE25" i="15" s="1"/>
  <c r="V25" i="15"/>
  <c r="U25" i="15"/>
  <c r="T25" i="15"/>
  <c r="O25" i="15" s="1"/>
  <c r="R25" i="15"/>
  <c r="Q25" i="15"/>
  <c r="P25" i="15"/>
  <c r="D25" i="15"/>
  <c r="AH25" i="15" s="1"/>
  <c r="AK24" i="15"/>
  <c r="AM24" i="15" s="1"/>
  <c r="AJ24" i="15"/>
  <c r="AI24" i="15"/>
  <c r="AB24" i="15"/>
  <c r="AA24" i="15"/>
  <c r="Z24" i="15"/>
  <c r="X24" i="15"/>
  <c r="W24" i="15"/>
  <c r="AE24" i="15" s="1"/>
  <c r="V24" i="15"/>
  <c r="U24" i="15"/>
  <c r="T24" i="15"/>
  <c r="O24" i="15" s="1"/>
  <c r="R24" i="15"/>
  <c r="Q24" i="15"/>
  <c r="P24" i="15"/>
  <c r="D24" i="15"/>
  <c r="AH24" i="15" s="1"/>
  <c r="AK23" i="15"/>
  <c r="AM23" i="15" s="1"/>
  <c r="AJ23" i="15"/>
  <c r="AI23" i="15"/>
  <c r="AB23" i="15"/>
  <c r="AA23" i="15"/>
  <c r="Z23" i="15"/>
  <c r="X23" i="15"/>
  <c r="W23" i="15"/>
  <c r="AE23" i="15" s="1"/>
  <c r="V23" i="15"/>
  <c r="U23" i="15"/>
  <c r="T23" i="15"/>
  <c r="O23" i="15" s="1"/>
  <c r="R23" i="15"/>
  <c r="Q23" i="15"/>
  <c r="P23" i="15"/>
  <c r="D23" i="15"/>
  <c r="AF23" i="15" s="1"/>
  <c r="AK22" i="15"/>
  <c r="AM22" i="15" s="1"/>
  <c r="AJ22" i="15"/>
  <c r="AI22" i="15"/>
  <c r="AB22" i="15"/>
  <c r="AA22" i="15"/>
  <c r="Z22" i="15"/>
  <c r="X22" i="15"/>
  <c r="W22" i="15"/>
  <c r="AE22" i="15" s="1"/>
  <c r="V22" i="15"/>
  <c r="U22" i="15"/>
  <c r="T22" i="15"/>
  <c r="O22" i="15" s="1"/>
  <c r="R22" i="15"/>
  <c r="Q22" i="15"/>
  <c r="P22" i="15"/>
  <c r="D22" i="15"/>
  <c r="AH22" i="15" s="1"/>
  <c r="AK21" i="15"/>
  <c r="AM21" i="15" s="1"/>
  <c r="AJ21" i="15"/>
  <c r="AI21" i="15"/>
  <c r="AB21" i="15"/>
  <c r="AA21" i="15"/>
  <c r="Z21" i="15"/>
  <c r="X21" i="15"/>
  <c r="W21" i="15"/>
  <c r="AE21" i="15" s="1"/>
  <c r="V21" i="15"/>
  <c r="U21" i="15"/>
  <c r="T21" i="15"/>
  <c r="O21" i="15" s="1"/>
  <c r="R21" i="15"/>
  <c r="Q21" i="15"/>
  <c r="P21" i="15"/>
  <c r="D21" i="15"/>
  <c r="AF21" i="15" s="1"/>
  <c r="AK20" i="15"/>
  <c r="AM20" i="15" s="1"/>
  <c r="AJ20" i="15"/>
  <c r="AI20" i="15"/>
  <c r="AB20" i="15"/>
  <c r="AA20" i="15"/>
  <c r="Z20" i="15"/>
  <c r="X20" i="15"/>
  <c r="W20" i="15"/>
  <c r="AE20" i="15" s="1"/>
  <c r="V20" i="15"/>
  <c r="U20" i="15"/>
  <c r="T20" i="15"/>
  <c r="O20" i="15" s="1"/>
  <c r="R20" i="15"/>
  <c r="Q20" i="15"/>
  <c r="P20" i="15"/>
  <c r="D20" i="15"/>
  <c r="AH20" i="15" s="1"/>
  <c r="AK19" i="15"/>
  <c r="AM19" i="15" s="1"/>
  <c r="AJ19" i="15"/>
  <c r="AI19" i="15"/>
  <c r="AB19" i="15"/>
  <c r="AA19" i="15"/>
  <c r="Z19" i="15"/>
  <c r="X19" i="15"/>
  <c r="W19" i="15"/>
  <c r="AE19" i="15" s="1"/>
  <c r="V19" i="15"/>
  <c r="U19" i="15"/>
  <c r="T19" i="15"/>
  <c r="O19" i="15" s="1"/>
  <c r="R19" i="15"/>
  <c r="Q19" i="15"/>
  <c r="P19" i="15"/>
  <c r="D19" i="15"/>
  <c r="AF19" i="15" s="1"/>
  <c r="AK18" i="15"/>
  <c r="AM18" i="15" s="1"/>
  <c r="AJ18" i="15"/>
  <c r="AI18" i="15"/>
  <c r="AB18" i="15"/>
  <c r="AA18" i="15"/>
  <c r="Z18" i="15"/>
  <c r="X18" i="15"/>
  <c r="W18" i="15"/>
  <c r="AE18" i="15" s="1"/>
  <c r="V18" i="15"/>
  <c r="U18" i="15"/>
  <c r="T18" i="15"/>
  <c r="O18" i="15" s="1"/>
  <c r="R18" i="15"/>
  <c r="Q18" i="15"/>
  <c r="P18" i="15"/>
  <c r="D18" i="15"/>
  <c r="AH18" i="15" s="1"/>
  <c r="AK17" i="15"/>
  <c r="AM17" i="15" s="1"/>
  <c r="AJ17" i="15"/>
  <c r="AI17" i="15"/>
  <c r="AB17" i="15"/>
  <c r="AA17" i="15"/>
  <c r="Z17" i="15"/>
  <c r="X17" i="15"/>
  <c r="W17" i="15"/>
  <c r="AE17" i="15" s="1"/>
  <c r="V17" i="15"/>
  <c r="U17" i="15"/>
  <c r="T17" i="15"/>
  <c r="O17" i="15" s="1"/>
  <c r="R17" i="15"/>
  <c r="Q17" i="15"/>
  <c r="P17" i="15"/>
  <c r="D17" i="15"/>
  <c r="AF17" i="15" s="1"/>
  <c r="AK16" i="15"/>
  <c r="AM16" i="15" s="1"/>
  <c r="AJ16" i="15"/>
  <c r="AI16" i="15"/>
  <c r="AB16" i="15"/>
  <c r="AA16" i="15"/>
  <c r="Z16" i="15"/>
  <c r="X16" i="15"/>
  <c r="W16" i="15"/>
  <c r="AE16" i="15" s="1"/>
  <c r="V16" i="15"/>
  <c r="U16" i="15"/>
  <c r="T16" i="15"/>
  <c r="O16" i="15" s="1"/>
  <c r="R16" i="15"/>
  <c r="Q16" i="15"/>
  <c r="P16" i="15"/>
  <c r="D16" i="15"/>
  <c r="AH16" i="15" s="1"/>
  <c r="AK15" i="15"/>
  <c r="AM15" i="15" s="1"/>
  <c r="AJ15" i="15"/>
  <c r="AI15" i="15"/>
  <c r="AB15" i="15"/>
  <c r="AA15" i="15"/>
  <c r="Z15" i="15"/>
  <c r="X15" i="15"/>
  <c r="W15" i="15"/>
  <c r="AE15" i="15" s="1"/>
  <c r="V15" i="15"/>
  <c r="U15" i="15"/>
  <c r="T15" i="15"/>
  <c r="O15" i="15" s="1"/>
  <c r="R15" i="15"/>
  <c r="Q15" i="15"/>
  <c r="P15" i="15"/>
  <c r="D15" i="15"/>
  <c r="AF15" i="15" s="1"/>
  <c r="AK14" i="15"/>
  <c r="AM14" i="15" s="1"/>
  <c r="AJ14" i="15"/>
  <c r="AI14" i="15"/>
  <c r="AB14" i="15"/>
  <c r="AA14" i="15"/>
  <c r="Z14" i="15"/>
  <c r="X14" i="15"/>
  <c r="W14" i="15"/>
  <c r="AE14" i="15" s="1"/>
  <c r="V14" i="15"/>
  <c r="U14" i="15"/>
  <c r="T14" i="15"/>
  <c r="O14" i="15" s="1"/>
  <c r="R14" i="15"/>
  <c r="Q14" i="15"/>
  <c r="P14" i="15"/>
  <c r="D14" i="15"/>
  <c r="AH14" i="15" s="1"/>
  <c r="AK13" i="15"/>
  <c r="AM13" i="15" s="1"/>
  <c r="AJ13" i="15"/>
  <c r="AI13" i="15"/>
  <c r="AB13" i="15"/>
  <c r="AA13" i="15"/>
  <c r="Z13" i="15"/>
  <c r="X13" i="15"/>
  <c r="W13" i="15"/>
  <c r="AE13" i="15" s="1"/>
  <c r="V13" i="15"/>
  <c r="U13" i="15"/>
  <c r="T13" i="15"/>
  <c r="O13" i="15" s="1"/>
  <c r="R13" i="15"/>
  <c r="Q13" i="15"/>
  <c r="P13" i="15"/>
  <c r="D13" i="15"/>
  <c r="AF13" i="15" s="1"/>
  <c r="AK12" i="15"/>
  <c r="AM12" i="15" s="1"/>
  <c r="AJ12" i="15"/>
  <c r="AI12" i="15"/>
  <c r="AE12" i="15"/>
  <c r="AB12" i="15"/>
  <c r="AA12" i="15"/>
  <c r="Z12" i="15"/>
  <c r="X12" i="15"/>
  <c r="W12" i="15"/>
  <c r="V12" i="15"/>
  <c r="U12" i="15"/>
  <c r="T12" i="15"/>
  <c r="O12" i="15" s="1"/>
  <c r="R12" i="15"/>
  <c r="Q12" i="15"/>
  <c r="P12" i="15"/>
  <c r="D12" i="15"/>
  <c r="AH12" i="15" s="1"/>
  <c r="AK11" i="15"/>
  <c r="AM11" i="15" s="1"/>
  <c r="AJ11" i="15"/>
  <c r="AI11" i="15"/>
  <c r="AB11" i="15"/>
  <c r="AA11" i="15"/>
  <c r="Z11" i="15"/>
  <c r="X11" i="15"/>
  <c r="W11" i="15"/>
  <c r="AE11" i="15" s="1"/>
  <c r="V11" i="15"/>
  <c r="U11" i="15"/>
  <c r="T11" i="15"/>
  <c r="O11" i="15" s="1"/>
  <c r="R11" i="15"/>
  <c r="Q11" i="15"/>
  <c r="P11" i="15"/>
  <c r="D11" i="15"/>
  <c r="AF11" i="15" s="1"/>
  <c r="AK10" i="15"/>
  <c r="AM10" i="15" s="1"/>
  <c r="AJ10" i="15"/>
  <c r="AI10" i="15"/>
  <c r="AB10" i="15"/>
  <c r="AA10" i="15"/>
  <c r="Z10" i="15"/>
  <c r="X10" i="15"/>
  <c r="W10" i="15"/>
  <c r="AE10" i="15" s="1"/>
  <c r="V10" i="15"/>
  <c r="U10" i="15"/>
  <c r="T10" i="15"/>
  <c r="O10" i="15" s="1"/>
  <c r="R10" i="15"/>
  <c r="Q10" i="15"/>
  <c r="P10" i="15"/>
  <c r="D10" i="15"/>
  <c r="AH10" i="15" s="1"/>
  <c r="AK9" i="15"/>
  <c r="AM9" i="15" s="1"/>
  <c r="AJ9" i="15"/>
  <c r="AI9" i="15"/>
  <c r="AB9" i="15"/>
  <c r="AA9" i="15"/>
  <c r="Z9" i="15"/>
  <c r="X9" i="15"/>
  <c r="W9" i="15"/>
  <c r="AE9" i="15" s="1"/>
  <c r="V9" i="15"/>
  <c r="U9" i="15"/>
  <c r="T9" i="15"/>
  <c r="O9" i="15" s="1"/>
  <c r="R9" i="15"/>
  <c r="Q9" i="15"/>
  <c r="P9" i="15"/>
  <c r="D9" i="15"/>
  <c r="AF9" i="15" s="1"/>
  <c r="D8" i="15"/>
  <c r="D7" i="15"/>
  <c r="D6" i="15"/>
  <c r="S9" i="28" l="1"/>
  <c r="O9" i="28" s="1"/>
  <c r="P9" i="28" s="1"/>
  <c r="AN9" i="28"/>
  <c r="BG48" i="29"/>
  <c r="AL55" i="29"/>
  <c r="BG55" i="29"/>
  <c r="BG43" i="28"/>
  <c r="AL61" i="28"/>
  <c r="O14" i="29"/>
  <c r="BG67" i="28"/>
  <c r="AL21" i="15"/>
  <c r="AL14" i="15"/>
  <c r="AL19" i="15"/>
  <c r="AL9" i="15"/>
  <c r="AL60" i="15"/>
  <c r="BG13" i="28"/>
  <c r="AL33" i="28"/>
  <c r="BG48" i="28"/>
  <c r="BG65" i="28"/>
  <c r="AL24" i="29"/>
  <c r="AL31" i="29"/>
  <c r="AL39" i="29"/>
  <c r="BG39" i="29"/>
  <c r="BG63" i="28"/>
  <c r="AL12" i="29"/>
  <c r="AL40" i="29"/>
  <c r="AL44" i="29"/>
  <c r="AL13" i="15"/>
  <c r="Y18" i="15"/>
  <c r="AG66" i="15"/>
  <c r="AL68" i="15"/>
  <c r="BG14" i="28"/>
  <c r="AL27" i="28"/>
  <c r="BG33" i="28"/>
  <c r="AL34" i="28"/>
  <c r="BG42" i="28"/>
  <c r="AL73" i="28"/>
  <c r="AL67" i="29"/>
  <c r="AL23" i="15"/>
  <c r="AL47" i="15"/>
  <c r="AL49" i="15"/>
  <c r="AL56" i="15"/>
  <c r="BG56" i="28"/>
  <c r="BG64" i="28"/>
  <c r="Y66" i="15"/>
  <c r="AL72" i="29"/>
  <c r="AL16" i="28"/>
  <c r="BG28" i="28"/>
  <c r="AL29" i="28"/>
  <c r="BG49" i="28"/>
  <c r="BG51" i="28"/>
  <c r="BG69" i="28"/>
  <c r="BG70" i="28"/>
  <c r="BG18" i="29"/>
  <c r="AL22" i="29"/>
  <c r="BG41" i="29"/>
  <c r="AL53" i="29"/>
  <c r="BG65" i="29"/>
  <c r="AL71" i="29"/>
  <c r="Y30" i="15"/>
  <c r="AC30" i="15" s="1"/>
  <c r="AD30" i="15" s="1"/>
  <c r="AL35" i="15"/>
  <c r="AL43" i="15"/>
  <c r="AF44" i="15"/>
  <c r="AL73" i="15"/>
  <c r="BG15" i="28"/>
  <c r="BG55" i="28"/>
  <c r="AO15" i="29"/>
  <c r="AN15" i="29" s="1"/>
  <c r="Y24" i="29"/>
  <c r="AC24" i="29" s="1"/>
  <c r="AD24" i="29" s="1"/>
  <c r="BG27" i="29"/>
  <c r="Y19" i="15"/>
  <c r="AL45" i="15"/>
  <c r="BG54" i="28"/>
  <c r="T63" i="29"/>
  <c r="O63" i="29" s="1"/>
  <c r="Y10" i="15"/>
  <c r="AL25" i="15"/>
  <c r="AF26" i="15"/>
  <c r="AL27" i="15"/>
  <c r="AF28" i="15"/>
  <c r="Y48" i="15"/>
  <c r="AL54" i="15"/>
  <c r="BG12" i="28"/>
  <c r="BG31" i="28"/>
  <c r="AL32" i="28"/>
  <c r="AL46" i="28"/>
  <c r="AL47" i="28"/>
  <c r="O36" i="29"/>
  <c r="AG16" i="15"/>
  <c r="AL17" i="15"/>
  <c r="AG28" i="15"/>
  <c r="AL29" i="15"/>
  <c r="AF30" i="15"/>
  <c r="AL31" i="15"/>
  <c r="AL39" i="15"/>
  <c r="BG11" i="28"/>
  <c r="BG62" i="28"/>
  <c r="BG66" i="28"/>
  <c r="BG68" i="28"/>
  <c r="AF24" i="29"/>
  <c r="BG25" i="29"/>
  <c r="BG57" i="29"/>
  <c r="AL15" i="15"/>
  <c r="AG19" i="15"/>
  <c r="AL30" i="28"/>
  <c r="BG60" i="28"/>
  <c r="AE21" i="29"/>
  <c r="AL23" i="29"/>
  <c r="U53" i="29"/>
  <c r="Y26" i="15"/>
  <c r="AC26" i="15" s="1"/>
  <c r="AD26" i="15" s="1"/>
  <c r="Y28" i="15"/>
  <c r="AC28" i="15" s="1"/>
  <c r="AD28" i="15" s="1"/>
  <c r="AF48" i="15"/>
  <c r="AL62" i="15"/>
  <c r="AL10" i="28"/>
  <c r="BG58" i="28"/>
  <c r="AL59" i="28"/>
  <c r="AO11" i="29"/>
  <c r="AN11" i="29" s="1"/>
  <c r="AZ46" i="29"/>
  <c r="AF10" i="15"/>
  <c r="AL11" i="15"/>
  <c r="AL12" i="15"/>
  <c r="Y16" i="15"/>
  <c r="AF16" i="15"/>
  <c r="AH19" i="15"/>
  <c r="AG21" i="15"/>
  <c r="AL22" i="15"/>
  <c r="AL24" i="15"/>
  <c r="AG26" i="15"/>
  <c r="AG30" i="15"/>
  <c r="AL32" i="15"/>
  <c r="AL36" i="15"/>
  <c r="AG40" i="15"/>
  <c r="AL44" i="15"/>
  <c r="Y46" i="15"/>
  <c r="AC46" i="15" s="1"/>
  <c r="AD46" i="15" s="1"/>
  <c r="AF46" i="15"/>
  <c r="AL58" i="15"/>
  <c r="AL64" i="15"/>
  <c r="AL69" i="15"/>
  <c r="Y70" i="15"/>
  <c r="AG70" i="15"/>
  <c r="AL71" i="15"/>
  <c r="BG10" i="28"/>
  <c r="AL24" i="28"/>
  <c r="AL35" i="28"/>
  <c r="BG44" i="28"/>
  <c r="AL51" i="28"/>
  <c r="BG52" i="28"/>
  <c r="BG53" i="28"/>
  <c r="AL55" i="28"/>
  <c r="AL65" i="28"/>
  <c r="AL69" i="28"/>
  <c r="BG71" i="28"/>
  <c r="T11" i="29"/>
  <c r="O11" i="29" s="1"/>
  <c r="U12" i="29"/>
  <c r="BG21" i="29"/>
  <c r="AO23" i="29"/>
  <c r="AN23" i="29" s="1"/>
  <c r="BG28" i="29"/>
  <c r="AL48" i="29"/>
  <c r="AO49" i="29"/>
  <c r="AN49" i="29" s="1"/>
  <c r="AL61" i="29"/>
  <c r="BG61" i="29"/>
  <c r="O62" i="29"/>
  <c r="AL44" i="28"/>
  <c r="BG45" i="28"/>
  <c r="BG46" i="28"/>
  <c r="BG47" i="28"/>
  <c r="BG57" i="28"/>
  <c r="BG59" i="28"/>
  <c r="BG61" i="28"/>
  <c r="T19" i="29"/>
  <c r="O19" i="29" s="1"/>
  <c r="AL26" i="29"/>
  <c r="AL35" i="29"/>
  <c r="BG35" i="29"/>
  <c r="AL47" i="29"/>
  <c r="AL49" i="29"/>
  <c r="BG50" i="29"/>
  <c r="AL52" i="29"/>
  <c r="BG52" i="29"/>
  <c r="AL62" i="29"/>
  <c r="BG62" i="29"/>
  <c r="BG63" i="29"/>
  <c r="U64" i="29"/>
  <c r="BG64" i="29"/>
  <c r="BG66" i="29"/>
  <c r="AG14" i="15"/>
  <c r="AL16" i="15"/>
  <c r="Y17" i="15"/>
  <c r="AH17" i="15"/>
  <c r="AF18" i="15"/>
  <c r="Y20" i="15"/>
  <c r="AC20" i="15" s="1"/>
  <c r="AD20" i="15" s="1"/>
  <c r="AF20" i="15"/>
  <c r="AL34" i="15"/>
  <c r="AL38" i="15"/>
  <c r="Y42" i="15"/>
  <c r="AF42" i="15"/>
  <c r="AL48" i="15"/>
  <c r="AL51" i="15"/>
  <c r="AL52" i="15"/>
  <c r="AL26" i="28"/>
  <c r="BG67" i="29"/>
  <c r="AG20" i="15"/>
  <c r="AG24" i="15"/>
  <c r="AL57" i="15"/>
  <c r="Y58" i="15"/>
  <c r="AC58" i="15" s="1"/>
  <c r="AD58" i="15" s="1"/>
  <c r="AG58" i="15"/>
  <c r="AL59" i="15"/>
  <c r="Y62" i="15"/>
  <c r="AC62" i="15" s="1"/>
  <c r="AD62" i="15" s="1"/>
  <c r="AG62" i="15"/>
  <c r="AL66" i="15"/>
  <c r="AL25" i="28"/>
  <c r="AL28" i="28"/>
  <c r="AC34" i="28"/>
  <c r="AD34" i="28" s="1"/>
  <c r="AL36" i="28"/>
  <c r="AL37" i="28"/>
  <c r="AL38" i="28"/>
  <c r="AL39" i="28"/>
  <c r="AL40" i="28"/>
  <c r="AL41" i="28"/>
  <c r="AL14" i="29"/>
  <c r="BG14" i="29"/>
  <c r="T15" i="29"/>
  <c r="O15" i="29" s="1"/>
  <c r="AL15" i="29"/>
  <c r="BG15" i="29"/>
  <c r="AO19" i="29"/>
  <c r="AN19" i="29" s="1"/>
  <c r="U23" i="29"/>
  <c r="T30" i="29"/>
  <c r="O30" i="29" s="1"/>
  <c r="AL36" i="29"/>
  <c r="AL43" i="29"/>
  <c r="BG43" i="29"/>
  <c r="AE51" i="29"/>
  <c r="AO53" i="29"/>
  <c r="AN53" i="29" s="1"/>
  <c r="AL57" i="29"/>
  <c r="AF59" i="29"/>
  <c r="BG11" i="29"/>
  <c r="AL16" i="29"/>
  <c r="BG16" i="29"/>
  <c r="BG22" i="29"/>
  <c r="BG24" i="29"/>
  <c r="AL28" i="29"/>
  <c r="AL30" i="29"/>
  <c r="BG30" i="29"/>
  <c r="BG40" i="29"/>
  <c r="AL45" i="29"/>
  <c r="AE47" i="29"/>
  <c r="AZ50" i="29"/>
  <c r="AL51" i="29"/>
  <c r="BG58" i="29"/>
  <c r="AL63" i="29"/>
  <c r="BG68" i="29"/>
  <c r="AL73" i="29"/>
  <c r="BG13" i="29"/>
  <c r="AL17" i="29"/>
  <c r="BG17" i="29"/>
  <c r="AE22" i="29"/>
  <c r="BG26" i="29"/>
  <c r="BG29" i="29"/>
  <c r="BG31" i="29"/>
  <c r="AL33" i="29"/>
  <c r="BG44" i="29"/>
  <c r="BG46" i="29"/>
  <c r="BG56" i="29"/>
  <c r="AL64" i="29"/>
  <c r="BG70" i="29"/>
  <c r="AX10" i="28"/>
  <c r="AY10" i="28" s="1"/>
  <c r="AL17" i="28"/>
  <c r="AL18" i="28"/>
  <c r="AL19" i="28"/>
  <c r="AL21" i="28"/>
  <c r="AL22" i="28"/>
  <c r="AL23" i="28"/>
  <c r="AL9" i="28"/>
  <c r="AL11" i="28"/>
  <c r="AL12" i="28"/>
  <c r="AL13" i="28"/>
  <c r="AL14" i="28"/>
  <c r="AL15" i="28"/>
  <c r="BG29" i="28"/>
  <c r="AL31" i="28"/>
  <c r="BG32" i="28"/>
  <c r="BG34" i="28"/>
  <c r="BG36" i="28"/>
  <c r="BG37" i="28"/>
  <c r="BG38" i="28"/>
  <c r="BG39" i="28"/>
  <c r="BG40" i="28"/>
  <c r="BG41" i="28"/>
  <c r="AL43" i="28"/>
  <c r="AL48" i="28"/>
  <c r="AL50" i="28"/>
  <c r="AC53" i="28"/>
  <c r="AD53" i="28" s="1"/>
  <c r="AL53" i="28"/>
  <c r="AL56" i="28"/>
  <c r="AL58" i="28"/>
  <c r="AL62" i="28"/>
  <c r="AL64" i="28"/>
  <c r="AL67" i="28"/>
  <c r="AL70" i="28"/>
  <c r="AL72" i="28"/>
  <c r="BG72" i="28"/>
  <c r="O10" i="29"/>
  <c r="O18" i="29"/>
  <c r="O27" i="29"/>
  <c r="AG29" i="29"/>
  <c r="O31" i="29"/>
  <c r="O48" i="29"/>
  <c r="Y58" i="29"/>
  <c r="AC58" i="29" s="1"/>
  <c r="AD58" i="29" s="1"/>
  <c r="AF58" i="29"/>
  <c r="BC65" i="29"/>
  <c r="BG16" i="28"/>
  <c r="BG17" i="28"/>
  <c r="BG18" i="28"/>
  <c r="BG19" i="28"/>
  <c r="BG20" i="28"/>
  <c r="BG21" i="28"/>
  <c r="BG22" i="28"/>
  <c r="BG23" i="28"/>
  <c r="BG24" i="28"/>
  <c r="BG25" i="28"/>
  <c r="BG27" i="28"/>
  <c r="BG35" i="28"/>
  <c r="AC40" i="28"/>
  <c r="AD40" i="28" s="1"/>
  <c r="BC46" i="29"/>
  <c r="AL42" i="28"/>
  <c r="AL45" i="28"/>
  <c r="AC49" i="28"/>
  <c r="AD49" i="28" s="1"/>
  <c r="AL49" i="28"/>
  <c r="AL52" i="28"/>
  <c r="AL54" i="28"/>
  <c r="AC57" i="28"/>
  <c r="AD57" i="28" s="1"/>
  <c r="AL57" i="28"/>
  <c r="AL60" i="28"/>
  <c r="AL63" i="28"/>
  <c r="AL66" i="28"/>
  <c r="AL68" i="28"/>
  <c r="AL71" i="28"/>
  <c r="AG20" i="29"/>
  <c r="O23" i="29"/>
  <c r="BC58" i="29"/>
  <c r="AL20" i="28"/>
  <c r="AX29" i="28"/>
  <c r="AY29" i="28" s="1"/>
  <c r="BC39" i="29"/>
  <c r="Y46" i="29"/>
  <c r="AC46" i="29" s="1"/>
  <c r="AD46" i="29" s="1"/>
  <c r="AF46" i="29"/>
  <c r="O53" i="29"/>
  <c r="AX23" i="28"/>
  <c r="AY23" i="28" s="1"/>
  <c r="AC72" i="28"/>
  <c r="AD72" i="28" s="1"/>
  <c r="T13" i="29"/>
  <c r="O13" i="29" s="1"/>
  <c r="T21" i="29"/>
  <c r="O21" i="29" s="1"/>
  <c r="AP23" i="29"/>
  <c r="BA24" i="29"/>
  <c r="BB27" i="29"/>
  <c r="AO28" i="29"/>
  <c r="AN28" i="29" s="1"/>
  <c r="AO32" i="29"/>
  <c r="AN32" i="29" s="1"/>
  <c r="T42" i="29"/>
  <c r="O42" i="29" s="1"/>
  <c r="BA46" i="29"/>
  <c r="AF47" i="29"/>
  <c r="AT47" i="29"/>
  <c r="BC47" i="29"/>
  <c r="U49" i="29"/>
  <c r="AP53" i="29"/>
  <c r="T55" i="29"/>
  <c r="O55" i="29" s="1"/>
  <c r="AO63" i="29"/>
  <c r="AN63" i="29" s="1"/>
  <c r="T65" i="29"/>
  <c r="O65" i="29" s="1"/>
  <c r="AC23" i="28"/>
  <c r="AD23" i="28" s="1"/>
  <c r="AC36" i="28"/>
  <c r="AD36" i="28" s="1"/>
  <c r="AC50" i="28"/>
  <c r="AD50" i="28" s="1"/>
  <c r="AC54" i="28"/>
  <c r="AD54" i="28" s="1"/>
  <c r="AC58" i="28"/>
  <c r="AD58" i="28" s="1"/>
  <c r="T12" i="29"/>
  <c r="O12" i="29" s="1"/>
  <c r="AP16" i="29"/>
  <c r="AS16" i="29"/>
  <c r="BC20" i="29"/>
  <c r="BC24" i="29"/>
  <c r="AF25" i="29"/>
  <c r="T34" i="29"/>
  <c r="O34" i="29" s="1"/>
  <c r="AP47" i="29"/>
  <c r="Y48" i="29"/>
  <c r="AH48" i="29"/>
  <c r="AT52" i="29"/>
  <c r="AO54" i="29"/>
  <c r="AN54" i="29" s="1"/>
  <c r="BA58" i="29"/>
  <c r="T69" i="29"/>
  <c r="O69" i="29" s="1"/>
  <c r="BA72" i="29"/>
  <c r="BA12" i="29"/>
  <c r="T20" i="29"/>
  <c r="O20" i="29" s="1"/>
  <c r="T24" i="29"/>
  <c r="O24" i="29" s="1"/>
  <c r="T25" i="29"/>
  <c r="O25" i="29" s="1"/>
  <c r="T29" i="29"/>
  <c r="O29" i="29" s="1"/>
  <c r="T47" i="29"/>
  <c r="O47" i="29" s="1"/>
  <c r="T51" i="29"/>
  <c r="O51" i="29" s="1"/>
  <c r="T54" i="29"/>
  <c r="O54" i="29" s="1"/>
  <c r="T64" i="29"/>
  <c r="O64" i="29" s="1"/>
  <c r="AG64" i="29"/>
  <c r="T17" i="29"/>
  <c r="O17" i="29" s="1"/>
  <c r="U20" i="29"/>
  <c r="T28" i="29"/>
  <c r="O28" i="29" s="1"/>
  <c r="U29" i="29"/>
  <c r="T32" i="29"/>
  <c r="O32" i="29" s="1"/>
  <c r="AP35" i="29"/>
  <c r="U37" i="29"/>
  <c r="T38" i="29"/>
  <c r="O38" i="29" s="1"/>
  <c r="BC43" i="29"/>
  <c r="T49" i="29"/>
  <c r="O49" i="29" s="1"/>
  <c r="U54" i="29"/>
  <c r="T59" i="29"/>
  <c r="O59" i="29" s="1"/>
  <c r="AL26" i="15"/>
  <c r="AL28" i="15"/>
  <c r="AL42" i="15"/>
  <c r="AL50" i="15"/>
  <c r="AL63" i="15"/>
  <c r="AL67" i="15"/>
  <c r="AL70" i="15"/>
  <c r="AL72" i="15"/>
  <c r="AL40" i="15"/>
  <c r="AL46" i="15"/>
  <c r="AL53" i="15"/>
  <c r="AL55" i="15"/>
  <c r="AL61" i="15"/>
  <c r="AL65" i="15"/>
  <c r="AF12" i="15"/>
  <c r="AG10" i="15"/>
  <c r="AH11" i="15"/>
  <c r="AG12" i="15"/>
  <c r="Y14" i="15"/>
  <c r="AC14" i="15" s="1"/>
  <c r="AD14" i="15" s="1"/>
  <c r="AF14" i="15"/>
  <c r="Y15" i="15"/>
  <c r="AG22" i="15"/>
  <c r="Y24" i="15"/>
  <c r="AF24" i="15"/>
  <c r="AG42" i="15"/>
  <c r="AG44" i="15"/>
  <c r="AG46" i="15"/>
  <c r="AG48" i="15"/>
  <c r="Y60" i="15"/>
  <c r="AC60" i="15" s="1"/>
  <c r="AD60" i="15" s="1"/>
  <c r="AG60" i="15"/>
  <c r="U73" i="15"/>
  <c r="Y12" i="15"/>
  <c r="AC12" i="15" s="1"/>
  <c r="AD12" i="15" s="1"/>
  <c r="Y32" i="15"/>
  <c r="AC32" i="15" s="1"/>
  <c r="AD32" i="15" s="1"/>
  <c r="AF32" i="15"/>
  <c r="Y34" i="15"/>
  <c r="AC34" i="15" s="1"/>
  <c r="AD34" i="15" s="1"/>
  <c r="AF34" i="15"/>
  <c r="Y36" i="15"/>
  <c r="AC36" i="15" s="1"/>
  <c r="AD36" i="15" s="1"/>
  <c r="AF36" i="15"/>
  <c r="Y38" i="15"/>
  <c r="AC38" i="15" s="1"/>
  <c r="AD38" i="15" s="1"/>
  <c r="AF38" i="15"/>
  <c r="Y40" i="15"/>
  <c r="AC40" i="15" s="1"/>
  <c r="AD40" i="15" s="1"/>
  <c r="AF40" i="15"/>
  <c r="AC42" i="15"/>
  <c r="AD42" i="15" s="1"/>
  <c r="AC44" i="15"/>
  <c r="AD44" i="15" s="1"/>
  <c r="AC48" i="15"/>
  <c r="AD48" i="15" s="1"/>
  <c r="Y52" i="15"/>
  <c r="AC52" i="15" s="1"/>
  <c r="AD52" i="15" s="1"/>
  <c r="AF52" i="15"/>
  <c r="Y64" i="15"/>
  <c r="AC64" i="15" s="1"/>
  <c r="AD64" i="15" s="1"/>
  <c r="AG64" i="15"/>
  <c r="X65" i="15"/>
  <c r="Y68" i="15"/>
  <c r="AC68" i="15" s="1"/>
  <c r="AD68" i="15" s="1"/>
  <c r="AG68" i="15"/>
  <c r="Y11" i="15"/>
  <c r="AG11" i="15"/>
  <c r="AG18" i="15"/>
  <c r="Y22" i="15"/>
  <c r="AC22" i="15" s="1"/>
  <c r="AD22" i="15" s="1"/>
  <c r="AF22" i="15"/>
  <c r="AG32" i="15"/>
  <c r="AG34" i="15"/>
  <c r="AG36" i="15"/>
  <c r="AG38" i="15"/>
  <c r="AF50" i="15"/>
  <c r="AH52" i="15"/>
  <c r="AH73" i="28"/>
  <c r="BG73" i="28"/>
  <c r="BC73" i="28" s="1"/>
  <c r="AN73" i="28" s="1"/>
  <c r="O73" i="28"/>
  <c r="P73" i="28" s="1"/>
  <c r="T73" i="29"/>
  <c r="X16" i="29"/>
  <c r="AZ16" i="29"/>
  <c r="AE16" i="29"/>
  <c r="AZ16" i="28"/>
  <c r="AE16" i="28"/>
  <c r="X16" i="28"/>
  <c r="AC16" i="28" s="1"/>
  <c r="U16" i="29"/>
  <c r="T16" i="29"/>
  <c r="T73" i="15"/>
  <c r="Y72" i="15"/>
  <c r="AC72" i="15" s="1"/>
  <c r="AD72" i="15" s="1"/>
  <c r="AG72" i="15"/>
  <c r="BG12" i="29"/>
  <c r="AE13" i="29"/>
  <c r="AC9" i="28"/>
  <c r="BG9" i="29"/>
  <c r="AL10" i="29"/>
  <c r="BG10" i="29"/>
  <c r="AL11" i="29"/>
  <c r="BG9" i="28"/>
  <c r="AX35" i="28"/>
  <c r="AY35" i="28" s="1"/>
  <c r="AX49" i="28"/>
  <c r="AY49" i="28" s="1"/>
  <c r="AX53" i="28"/>
  <c r="AY53" i="28" s="1"/>
  <c r="AX57" i="28"/>
  <c r="AY57" i="28" s="1"/>
  <c r="AX61" i="28"/>
  <c r="AY61" i="28" s="1"/>
  <c r="AX65" i="28"/>
  <c r="AY65" i="28" s="1"/>
  <c r="AX69" i="28"/>
  <c r="AY69" i="28" s="1"/>
  <c r="AX41" i="28"/>
  <c r="AY41" i="28" s="1"/>
  <c r="AX63" i="28"/>
  <c r="AY63" i="28" s="1"/>
  <c r="AX67" i="28"/>
  <c r="AY67" i="28" s="1"/>
  <c r="AC17" i="15"/>
  <c r="AD17" i="15" s="1"/>
  <c r="AC19" i="15"/>
  <c r="AD19" i="15" s="1"/>
  <c r="AX32" i="28"/>
  <c r="AY32" i="28" s="1"/>
  <c r="AC15" i="15"/>
  <c r="AD15" i="15" s="1"/>
  <c r="AC66" i="15"/>
  <c r="AD66" i="15" s="1"/>
  <c r="AC70" i="15"/>
  <c r="AD70" i="15" s="1"/>
  <c r="AC11" i="15"/>
  <c r="AD11" i="15" s="1"/>
  <c r="AC13" i="28"/>
  <c r="AD13" i="28" s="1"/>
  <c r="AC14" i="28"/>
  <c r="AD14" i="28" s="1"/>
  <c r="AC15" i="28"/>
  <c r="AD15" i="28" s="1"/>
  <c r="AC17" i="28"/>
  <c r="AD17" i="28" s="1"/>
  <c r="AC18" i="28"/>
  <c r="AD18" i="28" s="1"/>
  <c r="AC19" i="28"/>
  <c r="AD19" i="28" s="1"/>
  <c r="AX34" i="28"/>
  <c r="AY34" i="28" s="1"/>
  <c r="AX62" i="28"/>
  <c r="AY62" i="28" s="1"/>
  <c r="AX66" i="28"/>
  <c r="AY66" i="28" s="1"/>
  <c r="AX70" i="28"/>
  <c r="AY70" i="28" s="1"/>
  <c r="AX71" i="28"/>
  <c r="AY71" i="28" s="1"/>
  <c r="AC29" i="28"/>
  <c r="AD29" i="28" s="1"/>
  <c r="AC33" i="28"/>
  <c r="AD33" i="28" s="1"/>
  <c r="AX33" i="28"/>
  <c r="AY33" i="28" s="1"/>
  <c r="AX37" i="28"/>
  <c r="AY37" i="28" s="1"/>
  <c r="AX38" i="28"/>
  <c r="AY38" i="28" s="1"/>
  <c r="AX39" i="28"/>
  <c r="AY39" i="28" s="1"/>
  <c r="AX48" i="28"/>
  <c r="AY48" i="28" s="1"/>
  <c r="AX52" i="28"/>
  <c r="AY52" i="28" s="1"/>
  <c r="AX56" i="28"/>
  <c r="AY56" i="28" s="1"/>
  <c r="AX60" i="28"/>
  <c r="AY60" i="28" s="1"/>
  <c r="AX64" i="28"/>
  <c r="AY64" i="28" s="1"/>
  <c r="AX68" i="28"/>
  <c r="AY68" i="28" s="1"/>
  <c r="AX9" i="28"/>
  <c r="AC10" i="28"/>
  <c r="AD10" i="28" s="1"/>
  <c r="AC11" i="28"/>
  <c r="AD11" i="28" s="1"/>
  <c r="AC12" i="28"/>
  <c r="AD12" i="28" s="1"/>
  <c r="AC20" i="28"/>
  <c r="AD20" i="28" s="1"/>
  <c r="AC21" i="28"/>
  <c r="AD21" i="28" s="1"/>
  <c r="AX21" i="28"/>
  <c r="AY21" i="28" s="1"/>
  <c r="AC25" i="28"/>
  <c r="AD25" i="28" s="1"/>
  <c r="AX25" i="28"/>
  <c r="AY25" i="28" s="1"/>
  <c r="AX27" i="28"/>
  <c r="AY27" i="28" s="1"/>
  <c r="AC30" i="28"/>
  <c r="AD30" i="28" s="1"/>
  <c r="AX30" i="28"/>
  <c r="AY30" i="28" s="1"/>
  <c r="AC31" i="28"/>
  <c r="AD31" i="28" s="1"/>
  <c r="AC32" i="28"/>
  <c r="AD32" i="28" s="1"/>
  <c r="AC38" i="28"/>
  <c r="AD38" i="28" s="1"/>
  <c r="AC42" i="28"/>
  <c r="AD42" i="28" s="1"/>
  <c r="AC51" i="28"/>
  <c r="AD51" i="28" s="1"/>
  <c r="AC55" i="28"/>
  <c r="AD55" i="28" s="1"/>
  <c r="AC59" i="28"/>
  <c r="AD59" i="28" s="1"/>
  <c r="AX72" i="28"/>
  <c r="AY72" i="28" s="1"/>
  <c r="AG12" i="29"/>
  <c r="BA16" i="29"/>
  <c r="Y20" i="29"/>
  <c r="AC20" i="29" s="1"/>
  <c r="AD20" i="29" s="1"/>
  <c r="AF20" i="29"/>
  <c r="BA20" i="29"/>
  <c r="BC25" i="29"/>
  <c r="BA29" i="29"/>
  <c r="BB31" i="29"/>
  <c r="Y33" i="29"/>
  <c r="AC33" i="29" s="1"/>
  <c r="AD33" i="29" s="1"/>
  <c r="AF33" i="29"/>
  <c r="BC33" i="29"/>
  <c r="AF34" i="29"/>
  <c r="AT35" i="29"/>
  <c r="Y37" i="29"/>
  <c r="AC37" i="29" s="1"/>
  <c r="AD37" i="29" s="1"/>
  <c r="AF37" i="29"/>
  <c r="BC37" i="29"/>
  <c r="AF38" i="29"/>
  <c r="Y41" i="29"/>
  <c r="AC41" i="29" s="1"/>
  <c r="AD41" i="29" s="1"/>
  <c r="AF41" i="29"/>
  <c r="BC41" i="29"/>
  <c r="AF42" i="29"/>
  <c r="Y45" i="29"/>
  <c r="AC45" i="29" s="1"/>
  <c r="AD45" i="29" s="1"/>
  <c r="AF45" i="29"/>
  <c r="AG46" i="29"/>
  <c r="Y50" i="29"/>
  <c r="AC50" i="29" s="1"/>
  <c r="AD50" i="29" s="1"/>
  <c r="AF50" i="29"/>
  <c r="BC50" i="29"/>
  <c r="AG54" i="29"/>
  <c r="BC54" i="29"/>
  <c r="AG58" i="29"/>
  <c r="BA64" i="29"/>
  <c r="Y68" i="29"/>
  <c r="AC68" i="29" s="1"/>
  <c r="AD68" i="29" s="1"/>
  <c r="AF68" i="29"/>
  <c r="BC68" i="29"/>
  <c r="AF69" i="29"/>
  <c r="AG72" i="29"/>
  <c r="AF73" i="29"/>
  <c r="AC22" i="28"/>
  <c r="AD22" i="28" s="1"/>
  <c r="AX22" i="28"/>
  <c r="AY22" i="28" s="1"/>
  <c r="AC26" i="28"/>
  <c r="AD26" i="28" s="1"/>
  <c r="AX26" i="28"/>
  <c r="AY26" i="28" s="1"/>
  <c r="AC27" i="28"/>
  <c r="AD27" i="28" s="1"/>
  <c r="AC28" i="28"/>
  <c r="AD28" i="28" s="1"/>
  <c r="AC35" i="28"/>
  <c r="AD35" i="28" s="1"/>
  <c r="AC39" i="28"/>
  <c r="AD39" i="28" s="1"/>
  <c r="AC73" i="28"/>
  <c r="AD73" i="28" s="1"/>
  <c r="Y16" i="29"/>
  <c r="AF16" i="29"/>
  <c r="BC16" i="29"/>
  <c r="Y29" i="29"/>
  <c r="AC29" i="29" s="1"/>
  <c r="AD29" i="29" s="1"/>
  <c r="AF29" i="29"/>
  <c r="BC29" i="29"/>
  <c r="AG33" i="29"/>
  <c r="AG37" i="29"/>
  <c r="AG41" i="29"/>
  <c r="AG45" i="29"/>
  <c r="AT45" i="29"/>
  <c r="AX45" i="29" s="1"/>
  <c r="AY45" i="29" s="1"/>
  <c r="AG50" i="29"/>
  <c r="BC51" i="29"/>
  <c r="AG53" i="29"/>
  <c r="AT53" i="29"/>
  <c r="BA53" i="29"/>
  <c r="AF55" i="29"/>
  <c r="BC59" i="29"/>
  <c r="Y64" i="29"/>
  <c r="AC64" i="29" s="1"/>
  <c r="AD64" i="29" s="1"/>
  <c r="AF64" i="29"/>
  <c r="BC64" i="29"/>
  <c r="AF65" i="29"/>
  <c r="AG68" i="29"/>
  <c r="AX43" i="28"/>
  <c r="AY43" i="28" s="1"/>
  <c r="AX44" i="28"/>
  <c r="AY44" i="28" s="1"/>
  <c r="AX45" i="28"/>
  <c r="AY45" i="28" s="1"/>
  <c r="AX46" i="28"/>
  <c r="AY46" i="28" s="1"/>
  <c r="AX47" i="28"/>
  <c r="AY47" i="28" s="1"/>
  <c r="AX51" i="28"/>
  <c r="AY51" i="28" s="1"/>
  <c r="AX55" i="28"/>
  <c r="AY55" i="28" s="1"/>
  <c r="AX59" i="28"/>
  <c r="AY59" i="28" s="1"/>
  <c r="BC34" i="29"/>
  <c r="BC38" i="29"/>
  <c r="BC42" i="29"/>
  <c r="AH45" i="29"/>
  <c r="BB45" i="29"/>
  <c r="Y49" i="29"/>
  <c r="AC49" i="29" s="1"/>
  <c r="AD49" i="29" s="1"/>
  <c r="AG49" i="29"/>
  <c r="BC69" i="29"/>
  <c r="AX11" i="28"/>
  <c r="AY11" i="28" s="1"/>
  <c r="AX12" i="28"/>
  <c r="AY12" i="28" s="1"/>
  <c r="AX13" i="28"/>
  <c r="AY13" i="28" s="1"/>
  <c r="AX14" i="28"/>
  <c r="AY14" i="28" s="1"/>
  <c r="AX15" i="28"/>
  <c r="AY15" i="28" s="1"/>
  <c r="AX16" i="28"/>
  <c r="AX17" i="28"/>
  <c r="AY17" i="28" s="1"/>
  <c r="AX18" i="28"/>
  <c r="AY18" i="28" s="1"/>
  <c r="AX19" i="28"/>
  <c r="AY19" i="28" s="1"/>
  <c r="AX20" i="28"/>
  <c r="AY20" i="28" s="1"/>
  <c r="AC24" i="28"/>
  <c r="AD24" i="28" s="1"/>
  <c r="AX24" i="28"/>
  <c r="AY24" i="28" s="1"/>
  <c r="AX28" i="28"/>
  <c r="AY28" i="28" s="1"/>
  <c r="AX31" i="28"/>
  <c r="AY31" i="28" s="1"/>
  <c r="AX36" i="28"/>
  <c r="AY36" i="28" s="1"/>
  <c r="AC37" i="28"/>
  <c r="AD37" i="28" s="1"/>
  <c r="AX40" i="28"/>
  <c r="AY40" i="28" s="1"/>
  <c r="AC41" i="28"/>
  <c r="AD41" i="28" s="1"/>
  <c r="AX42" i="28"/>
  <c r="AY42" i="28" s="1"/>
  <c r="AC43" i="28"/>
  <c r="AD43" i="28" s="1"/>
  <c r="AC44" i="28"/>
  <c r="AD44" i="28" s="1"/>
  <c r="AC45" i="28"/>
  <c r="AD45" i="28" s="1"/>
  <c r="AC47" i="28"/>
  <c r="AD47" i="28" s="1"/>
  <c r="AC48" i="28"/>
  <c r="AD48" i="28" s="1"/>
  <c r="AX50" i="28"/>
  <c r="AY50" i="28" s="1"/>
  <c r="AC52" i="28"/>
  <c r="AD52" i="28" s="1"/>
  <c r="AX54" i="28"/>
  <c r="AY54" i="28" s="1"/>
  <c r="AC56" i="28"/>
  <c r="AD56" i="28" s="1"/>
  <c r="AX58" i="28"/>
  <c r="AY58" i="28" s="1"/>
  <c r="AC60" i="28"/>
  <c r="AD60" i="28" s="1"/>
  <c r="AC61" i="28"/>
  <c r="AD61" i="28" s="1"/>
  <c r="AC62" i="28"/>
  <c r="AD62" i="28" s="1"/>
  <c r="AC63" i="28"/>
  <c r="AD63" i="28" s="1"/>
  <c r="AC64" i="28"/>
  <c r="AD64" i="28" s="1"/>
  <c r="AC65" i="28"/>
  <c r="AD65" i="28" s="1"/>
  <c r="AC66" i="28"/>
  <c r="AD66" i="28" s="1"/>
  <c r="AC67" i="28"/>
  <c r="AD67" i="28" s="1"/>
  <c r="AC68" i="28"/>
  <c r="AD68" i="28" s="1"/>
  <c r="AC69" i="28"/>
  <c r="AD69" i="28" s="1"/>
  <c r="AC70" i="28"/>
  <c r="AD70" i="28" s="1"/>
  <c r="AC71" i="28"/>
  <c r="AD71" i="28" s="1"/>
  <c r="AX73" i="28"/>
  <c r="AY73" i="28" s="1"/>
  <c r="Y12" i="29"/>
  <c r="AC12" i="29" s="1"/>
  <c r="AD12" i="29" s="1"/>
  <c r="AF12" i="29"/>
  <c r="BC12" i="29"/>
  <c r="AG24" i="29"/>
  <c r="BA33" i="29"/>
  <c r="AH36" i="29"/>
  <c r="BA37" i="29"/>
  <c r="BA41" i="29"/>
  <c r="AH49" i="29"/>
  <c r="AT49" i="29"/>
  <c r="BA50" i="29"/>
  <c r="AF51" i="29"/>
  <c r="Y54" i="29"/>
  <c r="AC54" i="29" s="1"/>
  <c r="AD54" i="29" s="1"/>
  <c r="AF54" i="29"/>
  <c r="BA54" i="29"/>
  <c r="BC55" i="29"/>
  <c r="BA68" i="29"/>
  <c r="Y72" i="29"/>
  <c r="AC72" i="29" s="1"/>
  <c r="AD72" i="29" s="1"/>
  <c r="AF72" i="29"/>
  <c r="BC72" i="29"/>
  <c r="AL19" i="29"/>
  <c r="BG19" i="29"/>
  <c r="AL20" i="29"/>
  <c r="BG20" i="29"/>
  <c r="AL21" i="29"/>
  <c r="AL25" i="29"/>
  <c r="AL27" i="29"/>
  <c r="BG34" i="29"/>
  <c r="BG36" i="29"/>
  <c r="BG38" i="29"/>
  <c r="BG42" i="29"/>
  <c r="BG47" i="29"/>
  <c r="AL58" i="29"/>
  <c r="AL59" i="29"/>
  <c r="AL68" i="29"/>
  <c r="AL69" i="29"/>
  <c r="BG73" i="29"/>
  <c r="BC73" i="29" s="1"/>
  <c r="AL70" i="29"/>
  <c r="AL9" i="29"/>
  <c r="AL13" i="29"/>
  <c r="AE17" i="29"/>
  <c r="AL18" i="29"/>
  <c r="AE30" i="29"/>
  <c r="AL32" i="29"/>
  <c r="BG32" i="29"/>
  <c r="AL37" i="29"/>
  <c r="AL38" i="29"/>
  <c r="AL41" i="29"/>
  <c r="AL42" i="29"/>
  <c r="AZ51" i="29"/>
  <c r="BG51" i="29"/>
  <c r="AE52" i="29"/>
  <c r="AZ55" i="29"/>
  <c r="AL56" i="29"/>
  <c r="BG59" i="29"/>
  <c r="AL66" i="29"/>
  <c r="BG69" i="29"/>
  <c r="BG71" i="29"/>
  <c r="BG72" i="29"/>
  <c r="T9" i="29"/>
  <c r="X9" i="29"/>
  <c r="AF9" i="29"/>
  <c r="AP9" i="29"/>
  <c r="AN9" i="29" s="1"/>
  <c r="Y10" i="29"/>
  <c r="AH10" i="29"/>
  <c r="Y11" i="29"/>
  <c r="AC11" i="29" s="1"/>
  <c r="AD11" i="29" s="1"/>
  <c r="AH11" i="29"/>
  <c r="AO12" i="29"/>
  <c r="AN12" i="29" s="1"/>
  <c r="AF13" i="29"/>
  <c r="AP13" i="29"/>
  <c r="Y14" i="29"/>
  <c r="AH14" i="29"/>
  <c r="Y15" i="29"/>
  <c r="AC15" i="29" s="1"/>
  <c r="AD15" i="29" s="1"/>
  <c r="AH15" i="29"/>
  <c r="AO16" i="29"/>
  <c r="AF17" i="29"/>
  <c r="AP17" i="29"/>
  <c r="Y18" i="29"/>
  <c r="AH18" i="29"/>
  <c r="Y19" i="29"/>
  <c r="AC19" i="29" s="1"/>
  <c r="AD19" i="29" s="1"/>
  <c r="AH19" i="29"/>
  <c r="AO20" i="29"/>
  <c r="AN20" i="29" s="1"/>
  <c r="AF21" i="29"/>
  <c r="AP21" i="29"/>
  <c r="AT22" i="29"/>
  <c r="AG23" i="29"/>
  <c r="BA23" i="29"/>
  <c r="U24" i="29"/>
  <c r="U9" i="29"/>
  <c r="Y9" i="29"/>
  <c r="U10" i="29"/>
  <c r="AZ10" i="29"/>
  <c r="BA10" i="29"/>
  <c r="BA11" i="29"/>
  <c r="U14" i="29"/>
  <c r="AZ14" i="29"/>
  <c r="BA14" i="29"/>
  <c r="BA15" i="29"/>
  <c r="U18" i="29"/>
  <c r="AZ18" i="29"/>
  <c r="BA18" i="29"/>
  <c r="BA19" i="29"/>
  <c r="AP22" i="29"/>
  <c r="AE23" i="29"/>
  <c r="AH23" i="29"/>
  <c r="AZ23" i="29"/>
  <c r="BA9" i="29"/>
  <c r="AS9" i="29"/>
  <c r="AO10" i="29"/>
  <c r="AN10" i="29" s="1"/>
  <c r="AS10" i="29"/>
  <c r="AE11" i="29"/>
  <c r="AF11" i="29"/>
  <c r="AS11" i="29"/>
  <c r="BB11" i="29"/>
  <c r="BA13" i="29"/>
  <c r="AS13" i="29"/>
  <c r="AG13" i="29"/>
  <c r="Y13" i="29"/>
  <c r="X13" i="29"/>
  <c r="BB13" i="29"/>
  <c r="AO14" i="29"/>
  <c r="AN14" i="29" s="1"/>
  <c r="AS14" i="29"/>
  <c r="AE15" i="29"/>
  <c r="AF15" i="29"/>
  <c r="AS15" i="29"/>
  <c r="BB15" i="29"/>
  <c r="BA17" i="29"/>
  <c r="AS17" i="29"/>
  <c r="AG17" i="29"/>
  <c r="Y17" i="29"/>
  <c r="X17" i="29"/>
  <c r="BB17" i="29"/>
  <c r="AO18" i="29"/>
  <c r="AN18" i="29" s="1"/>
  <c r="AS18" i="29"/>
  <c r="AE19" i="29"/>
  <c r="AF19" i="29"/>
  <c r="AS19" i="29"/>
  <c r="BB19" i="29"/>
  <c r="BA21" i="29"/>
  <c r="AS21" i="29"/>
  <c r="AG21" i="29"/>
  <c r="Y21" i="29"/>
  <c r="X21" i="29"/>
  <c r="BB21" i="29"/>
  <c r="AF23" i="29"/>
  <c r="X23" i="29"/>
  <c r="BC23" i="29"/>
  <c r="Y23" i="29"/>
  <c r="AS23" i="29"/>
  <c r="BG23" i="29"/>
  <c r="AE24" i="29"/>
  <c r="AT9" i="29"/>
  <c r="BC9" i="29"/>
  <c r="AF10" i="29"/>
  <c r="X10" i="29"/>
  <c r="AG10" i="29"/>
  <c r="AP10" i="29"/>
  <c r="AT10" i="29"/>
  <c r="BC10" i="29"/>
  <c r="AG11" i="29"/>
  <c r="AP11" i="29"/>
  <c r="AT11" i="29"/>
  <c r="AT13" i="29"/>
  <c r="BC13" i="29"/>
  <c r="AF14" i="29"/>
  <c r="X14" i="29"/>
  <c r="AG14" i="29"/>
  <c r="AP14" i="29"/>
  <c r="AT14" i="29"/>
  <c r="BC14" i="29"/>
  <c r="AG15" i="29"/>
  <c r="AP15" i="29"/>
  <c r="AT15" i="29"/>
  <c r="AT17" i="29"/>
  <c r="BC17" i="29"/>
  <c r="AF18" i="29"/>
  <c r="X18" i="29"/>
  <c r="AG18" i="29"/>
  <c r="AP18" i="29"/>
  <c r="AT18" i="29"/>
  <c r="BC18" i="29"/>
  <c r="AG19" i="29"/>
  <c r="AP19" i="29"/>
  <c r="AT19" i="29"/>
  <c r="AT21" i="29"/>
  <c r="BC21" i="29"/>
  <c r="BA22" i="29"/>
  <c r="AS22" i="29"/>
  <c r="AG22" i="29"/>
  <c r="Y22" i="29"/>
  <c r="AF22" i="29"/>
  <c r="X22" i="29"/>
  <c r="AH22" i="29"/>
  <c r="BC22" i="29"/>
  <c r="AT23" i="29"/>
  <c r="AO24" i="29"/>
  <c r="AN24" i="29" s="1"/>
  <c r="AH12" i="29"/>
  <c r="AT12" i="29"/>
  <c r="AX12" i="29" s="1"/>
  <c r="AY12" i="29" s="1"/>
  <c r="U13" i="29"/>
  <c r="AH16" i="29"/>
  <c r="AT16" i="29"/>
  <c r="U17" i="29"/>
  <c r="AH20" i="29"/>
  <c r="AT20" i="29"/>
  <c r="AX20" i="29" s="1"/>
  <c r="AY20" i="29" s="1"/>
  <c r="U21" i="29"/>
  <c r="T22" i="29"/>
  <c r="O22" i="29" s="1"/>
  <c r="AH24" i="29"/>
  <c r="AT24" i="29"/>
  <c r="AX24" i="29" s="1"/>
  <c r="AY24" i="29" s="1"/>
  <c r="U25" i="29"/>
  <c r="Y25" i="29"/>
  <c r="AC25" i="29" s="1"/>
  <c r="AD25" i="29" s="1"/>
  <c r="AG25" i="29"/>
  <c r="AS25" i="29"/>
  <c r="BA25" i="29"/>
  <c r="T26" i="29"/>
  <c r="O26" i="29" s="1"/>
  <c r="X26" i="29"/>
  <c r="AF26" i="29"/>
  <c r="Y27" i="29"/>
  <c r="AH27" i="29"/>
  <c r="Y28" i="29"/>
  <c r="AH28" i="29"/>
  <c r="AO29" i="29"/>
  <c r="AN29" i="29" s="1"/>
  <c r="AF30" i="29"/>
  <c r="AP30" i="29"/>
  <c r="Y31" i="29"/>
  <c r="AH31" i="29"/>
  <c r="Y32" i="29"/>
  <c r="AH32" i="29"/>
  <c r="BA32" i="29"/>
  <c r="U33" i="29"/>
  <c r="AL34" i="29"/>
  <c r="BA35" i="29"/>
  <c r="AS35" i="29"/>
  <c r="AX35" i="29" s="1"/>
  <c r="AY35" i="29" s="1"/>
  <c r="AG35" i="29"/>
  <c r="Y35" i="29"/>
  <c r="AF35" i="29"/>
  <c r="X35" i="29"/>
  <c r="AH35" i="29"/>
  <c r="AZ35" i="29"/>
  <c r="BC35" i="29"/>
  <c r="U36" i="29"/>
  <c r="AP36" i="29"/>
  <c r="BB36" i="29"/>
  <c r="U22" i="29"/>
  <c r="AH25" i="29"/>
  <c r="AP25" i="29"/>
  <c r="AT25" i="29"/>
  <c r="U26" i="29"/>
  <c r="Y26" i="29"/>
  <c r="AG26" i="29"/>
  <c r="AS26" i="29"/>
  <c r="BA26" i="29"/>
  <c r="U27" i="29"/>
  <c r="AZ27" i="29"/>
  <c r="BA28" i="29"/>
  <c r="U31" i="29"/>
  <c r="AZ31" i="29"/>
  <c r="AZ32" i="29"/>
  <c r="BB32" i="29"/>
  <c r="BG33" i="29"/>
  <c r="T37" i="29"/>
  <c r="O37" i="29" s="1"/>
  <c r="AP37" i="29"/>
  <c r="BG37" i="29"/>
  <c r="AH26" i="29"/>
  <c r="AP26" i="29"/>
  <c r="AT26" i="29"/>
  <c r="BB26" i="29"/>
  <c r="AO27" i="29"/>
  <c r="AN27" i="29" s="1"/>
  <c r="AF28" i="29"/>
  <c r="AS28" i="29"/>
  <c r="BB28" i="29"/>
  <c r="BA30" i="29"/>
  <c r="AS30" i="29"/>
  <c r="AG30" i="29"/>
  <c r="Y30" i="29"/>
  <c r="X30" i="29"/>
  <c r="BB30" i="29"/>
  <c r="AO31" i="29"/>
  <c r="AN31" i="29" s="1"/>
  <c r="AF32" i="29"/>
  <c r="AS32" i="29"/>
  <c r="AF27" i="29"/>
  <c r="X27" i="29"/>
  <c r="AG27" i="29"/>
  <c r="AP27" i="29"/>
  <c r="AT27" i="29"/>
  <c r="AX27" i="29" s="1"/>
  <c r="AY27" i="29" s="1"/>
  <c r="BC27" i="29"/>
  <c r="X28" i="29"/>
  <c r="AG28" i="29"/>
  <c r="AP28" i="29"/>
  <c r="AT28" i="29"/>
  <c r="AT30" i="29"/>
  <c r="BC30" i="29"/>
  <c r="AF31" i="29"/>
  <c r="X31" i="29"/>
  <c r="AG31" i="29"/>
  <c r="AP31" i="29"/>
  <c r="AT31" i="29"/>
  <c r="AX31" i="29" s="1"/>
  <c r="AY31" i="29" s="1"/>
  <c r="BC31" i="29"/>
  <c r="X32" i="29"/>
  <c r="AG32" i="29"/>
  <c r="AP32" i="29"/>
  <c r="AT32" i="29"/>
  <c r="T33" i="29"/>
  <c r="O33" i="29" s="1"/>
  <c r="AO33" i="29"/>
  <c r="AN33" i="29" s="1"/>
  <c r="BA36" i="29"/>
  <c r="AS36" i="29"/>
  <c r="AF36" i="29"/>
  <c r="X36" i="29"/>
  <c r="BC36" i="29"/>
  <c r="Y36" i="29"/>
  <c r="AO36" i="29"/>
  <c r="AN36" i="29" s="1"/>
  <c r="AT36" i="29"/>
  <c r="AH29" i="29"/>
  <c r="AT29" i="29"/>
  <c r="AX29" i="29" s="1"/>
  <c r="AY29" i="29" s="1"/>
  <c r="U30" i="29"/>
  <c r="AH33" i="29"/>
  <c r="AT33" i="29"/>
  <c r="AX33" i="29" s="1"/>
  <c r="AY33" i="29" s="1"/>
  <c r="U34" i="29"/>
  <c r="Y34" i="29"/>
  <c r="AC34" i="29" s="1"/>
  <c r="AD34" i="29" s="1"/>
  <c r="AG34" i="29"/>
  <c r="AS34" i="29"/>
  <c r="BA34" i="29"/>
  <c r="T35" i="29"/>
  <c r="O35" i="29" s="1"/>
  <c r="AH37" i="29"/>
  <c r="AT37" i="29"/>
  <c r="AX37" i="29" s="1"/>
  <c r="AY37" i="29" s="1"/>
  <c r="U38" i="29"/>
  <c r="Y38" i="29"/>
  <c r="AC38" i="29" s="1"/>
  <c r="AD38" i="29" s="1"/>
  <c r="AG38" i="29"/>
  <c r="AS38" i="29"/>
  <c r="BA38" i="29"/>
  <c r="T39" i="29"/>
  <c r="O39" i="29" s="1"/>
  <c r="X39" i="29"/>
  <c r="AF39" i="29"/>
  <c r="BC40" i="29"/>
  <c r="AH41" i="29"/>
  <c r="AP41" i="29"/>
  <c r="AT41" i="29"/>
  <c r="AX41" i="29" s="1"/>
  <c r="AY41" i="29" s="1"/>
  <c r="U42" i="29"/>
  <c r="Y42" i="29"/>
  <c r="AC42" i="29" s="1"/>
  <c r="AD42" i="29" s="1"/>
  <c r="AG42" i="29"/>
  <c r="AS42" i="29"/>
  <c r="BA42" i="29"/>
  <c r="T43" i="29"/>
  <c r="O43" i="29" s="1"/>
  <c r="X43" i="29"/>
  <c r="AF43" i="29"/>
  <c r="BC44" i="29"/>
  <c r="BA45" i="29"/>
  <c r="U48" i="29"/>
  <c r="AZ48" i="29"/>
  <c r="BA48" i="29"/>
  <c r="BA49" i="29"/>
  <c r="AP52" i="29"/>
  <c r="AE53" i="29"/>
  <c r="AH53" i="29"/>
  <c r="AZ53" i="29"/>
  <c r="BG54" i="29"/>
  <c r="AH34" i="29"/>
  <c r="AP34" i="29"/>
  <c r="AT34" i="29"/>
  <c r="U35" i="29"/>
  <c r="AH38" i="29"/>
  <c r="AP38" i="29"/>
  <c r="AT38" i="29"/>
  <c r="U39" i="29"/>
  <c r="Y39" i="29"/>
  <c r="AG39" i="29"/>
  <c r="AS39" i="29"/>
  <c r="BA39" i="29"/>
  <c r="T40" i="29"/>
  <c r="O40" i="29" s="1"/>
  <c r="X40" i="29"/>
  <c r="AF40" i="29"/>
  <c r="AH42" i="29"/>
  <c r="AP42" i="29"/>
  <c r="AT42" i="29"/>
  <c r="U43" i="29"/>
  <c r="Y43" i="29"/>
  <c r="AG43" i="29"/>
  <c r="AS43" i="29"/>
  <c r="BA43" i="29"/>
  <c r="T44" i="29"/>
  <c r="O44" i="29" s="1"/>
  <c r="X44" i="29"/>
  <c r="AF44" i="29"/>
  <c r="AE45" i="29"/>
  <c r="AO45" i="29"/>
  <c r="AN45" i="29" s="1"/>
  <c r="T46" i="29"/>
  <c r="O46" i="29" s="1"/>
  <c r="BA47" i="29"/>
  <c r="AS47" i="29"/>
  <c r="AG47" i="29"/>
  <c r="Y47" i="29"/>
  <c r="X47" i="29"/>
  <c r="BB47" i="29"/>
  <c r="AO48" i="29"/>
  <c r="AN48" i="29" s="1"/>
  <c r="AS48" i="29"/>
  <c r="AE49" i="29"/>
  <c r="AF49" i="29"/>
  <c r="AS49" i="29"/>
  <c r="BB49" i="29"/>
  <c r="T50" i="29"/>
  <c r="O50" i="29" s="1"/>
  <c r="BB51" i="29"/>
  <c r="AT51" i="29"/>
  <c r="AP51" i="29"/>
  <c r="BA51" i="29"/>
  <c r="AS51" i="29"/>
  <c r="AG51" i="29"/>
  <c r="Y51" i="29"/>
  <c r="X51" i="29"/>
  <c r="AF53" i="29"/>
  <c r="X53" i="29"/>
  <c r="BC53" i="29"/>
  <c r="Y53" i="29"/>
  <c r="AS53" i="29"/>
  <c r="BG53" i="29"/>
  <c r="AE54" i="29"/>
  <c r="AH39" i="29"/>
  <c r="AP39" i="29"/>
  <c r="AT39" i="29"/>
  <c r="U40" i="29"/>
  <c r="Y40" i="29"/>
  <c r="AG40" i="29"/>
  <c r="AS40" i="29"/>
  <c r="BA40" i="29"/>
  <c r="T41" i="29"/>
  <c r="O41" i="29" s="1"/>
  <c r="AH43" i="29"/>
  <c r="AP43" i="29"/>
  <c r="AT43" i="29"/>
  <c r="U44" i="29"/>
  <c r="Y44" i="29"/>
  <c r="AG44" i="29"/>
  <c r="AS44" i="29"/>
  <c r="BA44" i="29"/>
  <c r="T45" i="29"/>
  <c r="O45" i="29" s="1"/>
  <c r="AP45" i="29"/>
  <c r="BG45" i="29"/>
  <c r="U46" i="29"/>
  <c r="AL46" i="29"/>
  <c r="AF48" i="29"/>
  <c r="X48" i="29"/>
  <c r="AG48" i="29"/>
  <c r="AP48" i="29"/>
  <c r="AT48" i="29"/>
  <c r="BC48" i="29"/>
  <c r="BG49" i="29"/>
  <c r="U50" i="29"/>
  <c r="AL50" i="29"/>
  <c r="BA52" i="29"/>
  <c r="AS52" i="29"/>
  <c r="AG52" i="29"/>
  <c r="Y52" i="29"/>
  <c r="AF52" i="29"/>
  <c r="X52" i="29"/>
  <c r="AH52" i="29"/>
  <c r="BC52" i="29"/>
  <c r="AL54" i="29"/>
  <c r="AH40" i="29"/>
  <c r="AP40" i="29"/>
  <c r="AT40" i="29"/>
  <c r="U41" i="29"/>
  <c r="AH44" i="29"/>
  <c r="AP44" i="29"/>
  <c r="AT44" i="29"/>
  <c r="AO46" i="29"/>
  <c r="AN46" i="29" s="1"/>
  <c r="AO50" i="29"/>
  <c r="AN50" i="29" s="1"/>
  <c r="BC56" i="29"/>
  <c r="BB56" i="29"/>
  <c r="AT56" i="29"/>
  <c r="AP56" i="29"/>
  <c r="AH56" i="29"/>
  <c r="BA56" i="29"/>
  <c r="AS56" i="29"/>
  <c r="AG56" i="29"/>
  <c r="Y56" i="29"/>
  <c r="AF56" i="29"/>
  <c r="X56" i="29"/>
  <c r="AH46" i="29"/>
  <c r="AT46" i="29"/>
  <c r="AX46" i="29" s="1"/>
  <c r="AY46" i="29" s="1"/>
  <c r="U47" i="29"/>
  <c r="AH50" i="29"/>
  <c r="AT50" i="29"/>
  <c r="AX50" i="29" s="1"/>
  <c r="AY50" i="29" s="1"/>
  <c r="U51" i="29"/>
  <c r="T52" i="29"/>
  <c r="O52" i="29" s="1"/>
  <c r="AH54" i="29"/>
  <c r="AT54" i="29"/>
  <c r="AX54" i="29" s="1"/>
  <c r="AY54" i="29" s="1"/>
  <c r="U55" i="29"/>
  <c r="Y55" i="29"/>
  <c r="AC55" i="29" s="1"/>
  <c r="AD55" i="29" s="1"/>
  <c r="AG55" i="29"/>
  <c r="AS55" i="29"/>
  <c r="BA55" i="29"/>
  <c r="T56" i="29"/>
  <c r="O56" i="29" s="1"/>
  <c r="BC57" i="29"/>
  <c r="AH58" i="29"/>
  <c r="AP58" i="29"/>
  <c r="AT58" i="29"/>
  <c r="AX58" i="29" s="1"/>
  <c r="AY58" i="29" s="1"/>
  <c r="U59" i="29"/>
  <c r="Y59" i="29"/>
  <c r="AC59" i="29" s="1"/>
  <c r="AD59" i="29" s="1"/>
  <c r="AG59" i="29"/>
  <c r="AS59" i="29"/>
  <c r="BA59" i="29"/>
  <c r="T60" i="29"/>
  <c r="O60" i="29" s="1"/>
  <c r="X60" i="29"/>
  <c r="AF60" i="29"/>
  <c r="Y62" i="29"/>
  <c r="AH62" i="29"/>
  <c r="Y63" i="29"/>
  <c r="AC63" i="29" s="1"/>
  <c r="AD63" i="29" s="1"/>
  <c r="AH63" i="29"/>
  <c r="AO64" i="29"/>
  <c r="AN64" i="29" s="1"/>
  <c r="U52" i="29"/>
  <c r="AH55" i="29"/>
  <c r="AP55" i="29"/>
  <c r="AT55" i="29"/>
  <c r="U56" i="29"/>
  <c r="T57" i="29"/>
  <c r="O57" i="29" s="1"/>
  <c r="X57" i="29"/>
  <c r="AF57" i="29"/>
  <c r="AH59" i="29"/>
  <c r="AP59" i="29"/>
  <c r="AT59" i="29"/>
  <c r="U60" i="29"/>
  <c r="Y60" i="29"/>
  <c r="AG60" i="29"/>
  <c r="AS60" i="29"/>
  <c r="BA60" i="29"/>
  <c r="T61" i="29"/>
  <c r="O61" i="29" s="1"/>
  <c r="X61" i="29"/>
  <c r="AF61" i="29"/>
  <c r="U62" i="29"/>
  <c r="AZ62" i="29"/>
  <c r="BA62" i="29"/>
  <c r="BA63" i="29"/>
  <c r="AL65" i="29"/>
  <c r="U57" i="29"/>
  <c r="Y57" i="29"/>
  <c r="AG57" i="29"/>
  <c r="AO57" i="29"/>
  <c r="AN57" i="29" s="1"/>
  <c r="AS57" i="29"/>
  <c r="BA57" i="29"/>
  <c r="T58" i="29"/>
  <c r="O58" i="29" s="1"/>
  <c r="AH60" i="29"/>
  <c r="AP60" i="29"/>
  <c r="AT60" i="29"/>
  <c r="BB60" i="29"/>
  <c r="U61" i="29"/>
  <c r="Y61" i="29"/>
  <c r="AG61" i="29"/>
  <c r="AO61" i="29"/>
  <c r="AN61" i="29" s="1"/>
  <c r="AS61" i="29"/>
  <c r="BB61" i="29"/>
  <c r="AO62" i="29"/>
  <c r="AN62" i="29" s="1"/>
  <c r="AS62" i="29"/>
  <c r="AE63" i="29"/>
  <c r="AF63" i="29"/>
  <c r="AS63" i="29"/>
  <c r="BB63" i="29"/>
  <c r="AH57" i="29"/>
  <c r="AT57" i="29"/>
  <c r="U58" i="29"/>
  <c r="AH61" i="29"/>
  <c r="AT61" i="29"/>
  <c r="BC61" i="29"/>
  <c r="AF62" i="29"/>
  <c r="X62" i="29"/>
  <c r="AG62" i="29"/>
  <c r="AP62" i="29"/>
  <c r="AT62" i="29"/>
  <c r="BC62" i="29"/>
  <c r="AG63" i="29"/>
  <c r="AP63" i="29"/>
  <c r="AT63" i="29"/>
  <c r="AH64" i="29"/>
  <c r="AT64" i="29"/>
  <c r="AX64" i="29" s="1"/>
  <c r="AY64" i="29" s="1"/>
  <c r="U65" i="29"/>
  <c r="Y65" i="29"/>
  <c r="AC65" i="29" s="1"/>
  <c r="AD65" i="29" s="1"/>
  <c r="AG65" i="29"/>
  <c r="AS65" i="29"/>
  <c r="BA65" i="29"/>
  <c r="T66" i="29"/>
  <c r="O66" i="29" s="1"/>
  <c r="X66" i="29"/>
  <c r="AF66" i="29"/>
  <c r="BC67" i="29"/>
  <c r="AH68" i="29"/>
  <c r="AP68" i="29"/>
  <c r="AT68" i="29"/>
  <c r="AX68" i="29" s="1"/>
  <c r="AY68" i="29" s="1"/>
  <c r="U69" i="29"/>
  <c r="Y69" i="29"/>
  <c r="AC69" i="29" s="1"/>
  <c r="AD69" i="29" s="1"/>
  <c r="AG69" i="29"/>
  <c r="AS69" i="29"/>
  <c r="BA69" i="29"/>
  <c r="T70" i="29"/>
  <c r="O70" i="29" s="1"/>
  <c r="X70" i="29"/>
  <c r="AF70" i="29"/>
  <c r="BC71" i="29"/>
  <c r="AH72" i="29"/>
  <c r="AP72" i="29"/>
  <c r="AT72" i="29"/>
  <c r="AX72" i="29" s="1"/>
  <c r="AY72" i="29" s="1"/>
  <c r="U73" i="29"/>
  <c r="Y73" i="29"/>
  <c r="AC73" i="29" s="1"/>
  <c r="AD73" i="29" s="1"/>
  <c r="AG73" i="29"/>
  <c r="AO73" i="29"/>
  <c r="AN73" i="29" s="1"/>
  <c r="AS73" i="29"/>
  <c r="BA73" i="29"/>
  <c r="AH65" i="29"/>
  <c r="AP65" i="29"/>
  <c r="AT65" i="29"/>
  <c r="U66" i="29"/>
  <c r="Y66" i="29"/>
  <c r="AG66" i="29"/>
  <c r="AS66" i="29"/>
  <c r="BA66" i="29"/>
  <c r="T67" i="29"/>
  <c r="O67" i="29" s="1"/>
  <c r="X67" i="29"/>
  <c r="AF67" i="29"/>
  <c r="AH69" i="29"/>
  <c r="AP69" i="29"/>
  <c r="AT69" i="29"/>
  <c r="U70" i="29"/>
  <c r="Y70" i="29"/>
  <c r="AG70" i="29"/>
  <c r="AS70" i="29"/>
  <c r="BA70" i="29"/>
  <c r="T71" i="29"/>
  <c r="O71" i="29" s="1"/>
  <c r="X71" i="29"/>
  <c r="AF71" i="29"/>
  <c r="AH73" i="29"/>
  <c r="AT73" i="29"/>
  <c r="BB73" i="29"/>
  <c r="AH66" i="29"/>
  <c r="AP66" i="29"/>
  <c r="AT66" i="29"/>
  <c r="BB66" i="29"/>
  <c r="U67" i="29"/>
  <c r="Y67" i="29"/>
  <c r="AG67" i="29"/>
  <c r="AO67" i="29"/>
  <c r="AN67" i="29" s="1"/>
  <c r="AS67" i="29"/>
  <c r="BA67" i="29"/>
  <c r="T68" i="29"/>
  <c r="O68" i="29" s="1"/>
  <c r="AH70" i="29"/>
  <c r="AP70" i="29"/>
  <c r="AT70" i="29"/>
  <c r="BB70" i="29"/>
  <c r="U71" i="29"/>
  <c r="Y71" i="29"/>
  <c r="AG71" i="29"/>
  <c r="AO71" i="29"/>
  <c r="AN71" i="29" s="1"/>
  <c r="AS71" i="29"/>
  <c r="BA71" i="29"/>
  <c r="T72" i="29"/>
  <c r="O72" i="29" s="1"/>
  <c r="AH67" i="29"/>
  <c r="AT67" i="29"/>
  <c r="U68" i="29"/>
  <c r="AH71" i="29"/>
  <c r="AT71" i="29"/>
  <c r="U72" i="29"/>
  <c r="BG26" i="28"/>
  <c r="BG30" i="28"/>
  <c r="AC46" i="28"/>
  <c r="AD46" i="28" s="1"/>
  <c r="AG13" i="15"/>
  <c r="AH13" i="15"/>
  <c r="AC16" i="15"/>
  <c r="AD16" i="15" s="1"/>
  <c r="AH21" i="15"/>
  <c r="AG23" i="15"/>
  <c r="Y9" i="15"/>
  <c r="AC9" i="15" s="1"/>
  <c r="AD9" i="15" s="1"/>
  <c r="AH9" i="15"/>
  <c r="AC10" i="15"/>
  <c r="AD10" i="15" s="1"/>
  <c r="AL10" i="15"/>
  <c r="Y13" i="15"/>
  <c r="AC13" i="15" s="1"/>
  <c r="AD13" i="15" s="1"/>
  <c r="AH15" i="15"/>
  <c r="AG17" i="15"/>
  <c r="AC18" i="15"/>
  <c r="AD18" i="15" s="1"/>
  <c r="AL18" i="15"/>
  <c r="Y21" i="15"/>
  <c r="AC21" i="15" s="1"/>
  <c r="AD21" i="15" s="1"/>
  <c r="AH23" i="15"/>
  <c r="AL30" i="15"/>
  <c r="AG31" i="15"/>
  <c r="Y31" i="15"/>
  <c r="AC31" i="15" s="1"/>
  <c r="AD31" i="15" s="1"/>
  <c r="AF31" i="15"/>
  <c r="AL20" i="15"/>
  <c r="Y23" i="15"/>
  <c r="AC23" i="15" s="1"/>
  <c r="AD23" i="15" s="1"/>
  <c r="AG29" i="15"/>
  <c r="Y29" i="15"/>
  <c r="AC29" i="15" s="1"/>
  <c r="AD29" i="15" s="1"/>
  <c r="AF29" i="15"/>
  <c r="AG27" i="15"/>
  <c r="Y27" i="15"/>
  <c r="AC27" i="15" s="1"/>
  <c r="AD27" i="15" s="1"/>
  <c r="AF27" i="15"/>
  <c r="AG9" i="15"/>
  <c r="AG15" i="15"/>
  <c r="AC24" i="15"/>
  <c r="AD24" i="15" s="1"/>
  <c r="AG25" i="15"/>
  <c r="Y25" i="15"/>
  <c r="AC25" i="15" s="1"/>
  <c r="AD25" i="15" s="1"/>
  <c r="AF25" i="15"/>
  <c r="AG50" i="15"/>
  <c r="AG55" i="15"/>
  <c r="Y55" i="15"/>
  <c r="AC55" i="15" s="1"/>
  <c r="AD55" i="15" s="1"/>
  <c r="AF55" i="15"/>
  <c r="Y56" i="15"/>
  <c r="AC56" i="15" s="1"/>
  <c r="AD56" i="15" s="1"/>
  <c r="AH56" i="15"/>
  <c r="AF33" i="15"/>
  <c r="AF35" i="15"/>
  <c r="AF37" i="15"/>
  <c r="AF39" i="15"/>
  <c r="AF41" i="15"/>
  <c r="AF43" i="15"/>
  <c r="AF45" i="15"/>
  <c r="AF47" i="15"/>
  <c r="AF49" i="15"/>
  <c r="Y50" i="15"/>
  <c r="AC50" i="15" s="1"/>
  <c r="AD50" i="15" s="1"/>
  <c r="AF54" i="15"/>
  <c r="AH55" i="15"/>
  <c r="Y33" i="15"/>
  <c r="AC33" i="15" s="1"/>
  <c r="AD33" i="15" s="1"/>
  <c r="AG33" i="15"/>
  <c r="Y35" i="15"/>
  <c r="AC35" i="15" s="1"/>
  <c r="AD35" i="15" s="1"/>
  <c r="AG35" i="15"/>
  <c r="Y37" i="15"/>
  <c r="AC37" i="15" s="1"/>
  <c r="AD37" i="15" s="1"/>
  <c r="AG37" i="15"/>
  <c r="Y39" i="15"/>
  <c r="AC39" i="15" s="1"/>
  <c r="AD39" i="15" s="1"/>
  <c r="AG39" i="15"/>
  <c r="Y41" i="15"/>
  <c r="AC41" i="15" s="1"/>
  <c r="AD41" i="15" s="1"/>
  <c r="AG41" i="15"/>
  <c r="Y43" i="15"/>
  <c r="AC43" i="15" s="1"/>
  <c r="AD43" i="15" s="1"/>
  <c r="AG43" i="15"/>
  <c r="Y45" i="15"/>
  <c r="AC45" i="15" s="1"/>
  <c r="AD45" i="15" s="1"/>
  <c r="AG45" i="15"/>
  <c r="Y47" i="15"/>
  <c r="AC47" i="15" s="1"/>
  <c r="AD47" i="15" s="1"/>
  <c r="AG47" i="15"/>
  <c r="Y49" i="15"/>
  <c r="AC49" i="15" s="1"/>
  <c r="AD49" i="15" s="1"/>
  <c r="AH49" i="15"/>
  <c r="AG51" i="15"/>
  <c r="Y51" i="15"/>
  <c r="AC51" i="15" s="1"/>
  <c r="AD51" i="15" s="1"/>
  <c r="AF51" i="15"/>
  <c r="AG54" i="15"/>
  <c r="AF56" i="15"/>
  <c r="AH51" i="15"/>
  <c r="AG53" i="15"/>
  <c r="Y53" i="15"/>
  <c r="AC53" i="15" s="1"/>
  <c r="AD53" i="15" s="1"/>
  <c r="AF53" i="15"/>
  <c r="Y54" i="15"/>
  <c r="AC54" i="15" s="1"/>
  <c r="AD54" i="15" s="1"/>
  <c r="AF57" i="15"/>
  <c r="AH58" i="15"/>
  <c r="AF59" i="15"/>
  <c r="AH60" i="15"/>
  <c r="AF61" i="15"/>
  <c r="AH62" i="15"/>
  <c r="AF63" i="15"/>
  <c r="AH64" i="15"/>
  <c r="AF65" i="15"/>
  <c r="AH66" i="15"/>
  <c r="AF67" i="15"/>
  <c r="AH68" i="15"/>
  <c r="AF69" i="15"/>
  <c r="AH70" i="15"/>
  <c r="AF71" i="15"/>
  <c r="AH72" i="15"/>
  <c r="Y57" i="15"/>
  <c r="AC57" i="15" s="1"/>
  <c r="AD57" i="15" s="1"/>
  <c r="AG57" i="15"/>
  <c r="Y59" i="15"/>
  <c r="AC59" i="15" s="1"/>
  <c r="AD59" i="15" s="1"/>
  <c r="AG59" i="15"/>
  <c r="Y61" i="15"/>
  <c r="AC61" i="15" s="1"/>
  <c r="AD61" i="15" s="1"/>
  <c r="AG61" i="15"/>
  <c r="Y63" i="15"/>
  <c r="AC63" i="15" s="1"/>
  <c r="AD63" i="15" s="1"/>
  <c r="AG63" i="15"/>
  <c r="Y65" i="15"/>
  <c r="AG65" i="15"/>
  <c r="Y67" i="15"/>
  <c r="AC67" i="15" s="1"/>
  <c r="AD67" i="15" s="1"/>
  <c r="AG67" i="15"/>
  <c r="Y69" i="15"/>
  <c r="AC69" i="15" s="1"/>
  <c r="AD69" i="15" s="1"/>
  <c r="AG69" i="15"/>
  <c r="Y71" i="15"/>
  <c r="AC71" i="15" s="1"/>
  <c r="AD71" i="15" s="1"/>
  <c r="AG71" i="15"/>
  <c r="Y73" i="15"/>
  <c r="AC73" i="15" s="1"/>
  <c r="AD73" i="15" s="1"/>
  <c r="B4" i="29"/>
  <c r="F4" i="29"/>
  <c r="V4" i="29"/>
  <c r="Z4" i="29"/>
  <c r="AA4" i="29"/>
  <c r="AB4" i="29"/>
  <c r="AI4" i="29"/>
  <c r="AJ4" i="29"/>
  <c r="AK4" i="29"/>
  <c r="AM4" i="29" s="1"/>
  <c r="AQ4" i="29"/>
  <c r="AU4" i="29"/>
  <c r="AV4" i="29"/>
  <c r="AW4" i="29"/>
  <c r="BD4" i="29"/>
  <c r="BE4" i="29"/>
  <c r="BF4" i="29"/>
  <c r="BH4" i="29" s="1"/>
  <c r="B5" i="29"/>
  <c r="C5" i="29"/>
  <c r="E5" i="29"/>
  <c r="F5" i="29"/>
  <c r="V5" i="29"/>
  <c r="W5" i="29"/>
  <c r="Z5" i="29"/>
  <c r="AA5" i="29"/>
  <c r="AB5" i="29"/>
  <c r="AI5" i="29"/>
  <c r="AJ5" i="29"/>
  <c r="AK5" i="29"/>
  <c r="AM5" i="29" s="1"/>
  <c r="AQ5" i="29"/>
  <c r="AR5" i="29"/>
  <c r="AU5" i="29"/>
  <c r="AV5" i="29"/>
  <c r="AW5" i="29"/>
  <c r="BD5" i="29"/>
  <c r="BE5" i="29"/>
  <c r="BF5" i="29"/>
  <c r="BH5" i="29" s="1"/>
  <c r="B6" i="29"/>
  <c r="C6" i="29"/>
  <c r="E6" i="29"/>
  <c r="F6" i="29"/>
  <c r="V6" i="29"/>
  <c r="W6" i="29"/>
  <c r="Z6" i="29"/>
  <c r="AA6" i="29"/>
  <c r="AB6" i="29"/>
  <c r="AI6" i="29"/>
  <c r="AJ6" i="29"/>
  <c r="AK6" i="29"/>
  <c r="AM6" i="29" s="1"/>
  <c r="AQ6" i="29"/>
  <c r="AR6" i="29"/>
  <c r="AU6" i="29"/>
  <c r="AV6" i="29"/>
  <c r="AW6" i="29"/>
  <c r="BD6" i="29"/>
  <c r="BE6" i="29"/>
  <c r="BF6" i="29"/>
  <c r="BH6" i="29" s="1"/>
  <c r="B7" i="29"/>
  <c r="C7" i="29"/>
  <c r="E7" i="29"/>
  <c r="F7" i="29"/>
  <c r="V7" i="29"/>
  <c r="W7" i="29"/>
  <c r="Z7" i="29"/>
  <c r="AA7" i="29"/>
  <c r="AB7" i="29"/>
  <c r="AI7" i="29"/>
  <c r="AJ7" i="29"/>
  <c r="AK7" i="29"/>
  <c r="AM7" i="29" s="1"/>
  <c r="AQ7" i="29"/>
  <c r="AR7" i="29"/>
  <c r="AU7" i="29"/>
  <c r="AV7" i="29"/>
  <c r="AW7" i="29"/>
  <c r="BD7" i="29"/>
  <c r="BE7" i="29"/>
  <c r="BF7" i="29"/>
  <c r="BH7" i="29" s="1"/>
  <c r="B8" i="29"/>
  <c r="C8" i="29"/>
  <c r="E8" i="29"/>
  <c r="F8" i="29"/>
  <c r="V8" i="29"/>
  <c r="W8" i="29"/>
  <c r="Z8" i="29"/>
  <c r="AA8" i="29"/>
  <c r="AB8" i="29"/>
  <c r="AI8" i="29"/>
  <c r="AJ8" i="29"/>
  <c r="AK8" i="29"/>
  <c r="AM8" i="29" s="1"/>
  <c r="AQ8" i="29"/>
  <c r="AR8" i="29"/>
  <c r="AU8" i="29"/>
  <c r="AV8" i="29"/>
  <c r="AW8" i="29"/>
  <c r="BD8" i="29"/>
  <c r="BE8" i="29"/>
  <c r="BF8" i="29"/>
  <c r="BH8" i="29" s="1"/>
  <c r="AP74" i="29"/>
  <c r="B74" i="28"/>
  <c r="BF8" i="28"/>
  <c r="BH8" i="28" s="1"/>
  <c r="BE8" i="28"/>
  <c r="BD8" i="28"/>
  <c r="AW8" i="28"/>
  <c r="AV8" i="28"/>
  <c r="AU8" i="28"/>
  <c r="AR8" i="28"/>
  <c r="AQ8" i="28"/>
  <c r="AK8" i="28"/>
  <c r="AM8" i="28" s="1"/>
  <c r="AJ8" i="28"/>
  <c r="AI8" i="28"/>
  <c r="AB8" i="28"/>
  <c r="AA8" i="28"/>
  <c r="Z8" i="28"/>
  <c r="W8" i="28"/>
  <c r="V8" i="28"/>
  <c r="BC8" i="28"/>
  <c r="BF7" i="28"/>
  <c r="BH7" i="28" s="1"/>
  <c r="BE7" i="28"/>
  <c r="BD7" i="28"/>
  <c r="AW7" i="28"/>
  <c r="AV7" i="28"/>
  <c r="AU7" i="28"/>
  <c r="AR7" i="28"/>
  <c r="AQ7" i="28"/>
  <c r="AK7" i="28"/>
  <c r="AM7" i="28" s="1"/>
  <c r="AJ7" i="28"/>
  <c r="AI7" i="28"/>
  <c r="AB7" i="28"/>
  <c r="AA7" i="28"/>
  <c r="Z7" i="28"/>
  <c r="W7" i="28"/>
  <c r="V7" i="28"/>
  <c r="AF7" i="28"/>
  <c r="BF6" i="28"/>
  <c r="BH6" i="28" s="1"/>
  <c r="BE6" i="28"/>
  <c r="BD6" i="28"/>
  <c r="AW6" i="28"/>
  <c r="AV6" i="28"/>
  <c r="AU6" i="28"/>
  <c r="AR6" i="28"/>
  <c r="AQ6" i="28"/>
  <c r="AK6" i="28"/>
  <c r="AM6" i="28" s="1"/>
  <c r="AJ6" i="28"/>
  <c r="AI6" i="28"/>
  <c r="AB6" i="28"/>
  <c r="AA6" i="28"/>
  <c r="Z6" i="28"/>
  <c r="W6" i="28"/>
  <c r="V6" i="28"/>
  <c r="AS6" i="28"/>
  <c r="BF5" i="28"/>
  <c r="BH5" i="28" s="1"/>
  <c r="BE5" i="28"/>
  <c r="BD5" i="28"/>
  <c r="AW5" i="28"/>
  <c r="AV5" i="28"/>
  <c r="AU5" i="28"/>
  <c r="AR5" i="28"/>
  <c r="AQ5" i="28"/>
  <c r="AK5" i="28"/>
  <c r="AM5" i="28" s="1"/>
  <c r="AJ5" i="28"/>
  <c r="AI5" i="28"/>
  <c r="AB5" i="28"/>
  <c r="AA5" i="28"/>
  <c r="Z5" i="28"/>
  <c r="W5" i="28"/>
  <c r="V5" i="28"/>
  <c r="BF4" i="28"/>
  <c r="BH4" i="28" s="1"/>
  <c r="BE4" i="28"/>
  <c r="BD4" i="28"/>
  <c r="AW4" i="28"/>
  <c r="AV4" i="28"/>
  <c r="AU4" i="28"/>
  <c r="AR4" i="28"/>
  <c r="AQ4" i="28"/>
  <c r="AK4" i="28"/>
  <c r="AM4" i="28" s="1"/>
  <c r="AJ4" i="28"/>
  <c r="AI4" i="28"/>
  <c r="AB4" i="28"/>
  <c r="AA4" i="28"/>
  <c r="Z4" i="28"/>
  <c r="W4" i="28"/>
  <c r="V4" i="28"/>
  <c r="BC4" i="28"/>
  <c r="AD9" i="28" l="1"/>
  <c r="AG9" i="28"/>
  <c r="AY9" i="28"/>
  <c r="BB9" i="28" s="1"/>
  <c r="S9" i="29"/>
  <c r="O9" i="29" s="1"/>
  <c r="P9" i="29" s="1"/>
  <c r="AX52" i="29"/>
  <c r="AY52" i="29" s="1"/>
  <c r="AX53" i="29"/>
  <c r="AY53" i="29" s="1"/>
  <c r="AX47" i="29"/>
  <c r="AY47" i="29" s="1"/>
  <c r="AC48" i="29"/>
  <c r="AD48" i="29" s="1"/>
  <c r="AC31" i="29"/>
  <c r="AD31" i="29" s="1"/>
  <c r="AX16" i="29"/>
  <c r="AY16" i="29" s="1"/>
  <c r="AC65" i="15"/>
  <c r="AD65" i="15" s="1"/>
  <c r="AX49" i="29"/>
  <c r="AY49" i="29" s="1"/>
  <c r="AC52" i="29"/>
  <c r="AD52" i="29" s="1"/>
  <c r="AX56" i="29"/>
  <c r="AY56" i="29" s="1"/>
  <c r="U4" i="28"/>
  <c r="AP4" i="28"/>
  <c r="T4" i="28"/>
  <c r="AZ4" i="28"/>
  <c r="AE4" i="28"/>
  <c r="AO4" i="28"/>
  <c r="AC23" i="29"/>
  <c r="AD23" i="29" s="1"/>
  <c r="AC32" i="29"/>
  <c r="AD32" i="29" s="1"/>
  <c r="AC28" i="29"/>
  <c r="AD28" i="29" s="1"/>
  <c r="BG6" i="28"/>
  <c r="BC6" i="28" s="1"/>
  <c r="AL7" i="28"/>
  <c r="AX51" i="29"/>
  <c r="AY51" i="29" s="1"/>
  <c r="AC30" i="29"/>
  <c r="AD30" i="29" s="1"/>
  <c r="AX67" i="29"/>
  <c r="AY67" i="29" s="1"/>
  <c r="AC16" i="29"/>
  <c r="AD16" i="29" s="1"/>
  <c r="AG16" i="29" s="1"/>
  <c r="O16" i="29" s="1"/>
  <c r="P16" i="29" s="1"/>
  <c r="O73" i="29"/>
  <c r="P73" i="29" s="1"/>
  <c r="AG73" i="15"/>
  <c r="AD16" i="28"/>
  <c r="AG16" i="28" s="1"/>
  <c r="O16" i="28" s="1"/>
  <c r="P16" i="28" s="1"/>
  <c r="AY16" i="28"/>
  <c r="BB16" i="28" s="1"/>
  <c r="AN16" i="28" s="1"/>
  <c r="BB16" i="29"/>
  <c r="AN16" i="29" s="1"/>
  <c r="AF73" i="15"/>
  <c r="O73" i="15" s="1"/>
  <c r="P73" i="15" s="1"/>
  <c r="X6" i="28"/>
  <c r="AZ6" i="29"/>
  <c r="AE6" i="29"/>
  <c r="AE6" i="28"/>
  <c r="AZ6" i="28"/>
  <c r="AL6" i="28"/>
  <c r="AH6" i="28" s="1"/>
  <c r="U7" i="28"/>
  <c r="AP7" i="28"/>
  <c r="AC35" i="29"/>
  <c r="AD35" i="29" s="1"/>
  <c r="AX60" i="29"/>
  <c r="AY60" i="29" s="1"/>
  <c r="AX57" i="29"/>
  <c r="AY57" i="29" s="1"/>
  <c r="AX10" i="29"/>
  <c r="AY10" i="29" s="1"/>
  <c r="AX62" i="29"/>
  <c r="AY62" i="29" s="1"/>
  <c r="AX63" i="29"/>
  <c r="AY63" i="29" s="1"/>
  <c r="AC51" i="29"/>
  <c r="AD51" i="29" s="1"/>
  <c r="AC47" i="29"/>
  <c r="AD47" i="29" s="1"/>
  <c r="AX43" i="29"/>
  <c r="AY43" i="29" s="1"/>
  <c r="AC40" i="29"/>
  <c r="AD40" i="29" s="1"/>
  <c r="AC27" i="29"/>
  <c r="AD27" i="29" s="1"/>
  <c r="AC21" i="29"/>
  <c r="AD21" i="29" s="1"/>
  <c r="AC17" i="29"/>
  <c r="AD17" i="29" s="1"/>
  <c r="AC13" i="29"/>
  <c r="AD13" i="29" s="1"/>
  <c r="AX18" i="29"/>
  <c r="AY18" i="29" s="1"/>
  <c r="AX14" i="29"/>
  <c r="AY14" i="29" s="1"/>
  <c r="AX66" i="29"/>
  <c r="AY66" i="29" s="1"/>
  <c r="AX73" i="29"/>
  <c r="AY73" i="29" s="1"/>
  <c r="AX30" i="29"/>
  <c r="AY30" i="29" s="1"/>
  <c r="AC56" i="29"/>
  <c r="AD56" i="29" s="1"/>
  <c r="AC43" i="29"/>
  <c r="AD43" i="29" s="1"/>
  <c r="AC39" i="29"/>
  <c r="AD39" i="29" s="1"/>
  <c r="AX36" i="29"/>
  <c r="AY36" i="29" s="1"/>
  <c r="AC67" i="29"/>
  <c r="AD67" i="29" s="1"/>
  <c r="AX65" i="29"/>
  <c r="AY65" i="29" s="1"/>
  <c r="AC62" i="29"/>
  <c r="AD62" i="29" s="1"/>
  <c r="AC61" i="29"/>
  <c r="AD61" i="29" s="1"/>
  <c r="AX59" i="29"/>
  <c r="AY59" i="29" s="1"/>
  <c r="AX71" i="29"/>
  <c r="AY71" i="29" s="1"/>
  <c r="AC71" i="29"/>
  <c r="AD71" i="29" s="1"/>
  <c r="AC70" i="29"/>
  <c r="AD70" i="29" s="1"/>
  <c r="AC66" i="29"/>
  <c r="AD66" i="29" s="1"/>
  <c r="AX61" i="29"/>
  <c r="AY61" i="29" s="1"/>
  <c r="AC60" i="29"/>
  <c r="AD60" i="29" s="1"/>
  <c r="AX48" i="29"/>
  <c r="AY48" i="29" s="1"/>
  <c r="AC44" i="29"/>
  <c r="AD44" i="29" s="1"/>
  <c r="AC36" i="29"/>
  <c r="AD36" i="29" s="1"/>
  <c r="AX25" i="29"/>
  <c r="AY25" i="29" s="1"/>
  <c r="AC22" i="29"/>
  <c r="AD22" i="29" s="1"/>
  <c r="AX22" i="29"/>
  <c r="AY22" i="29" s="1"/>
  <c r="AC18" i="29"/>
  <c r="AD18" i="29" s="1"/>
  <c r="AC14" i="29"/>
  <c r="AD14" i="29" s="1"/>
  <c r="AC10" i="29"/>
  <c r="AD10" i="29" s="1"/>
  <c r="AX23" i="29"/>
  <c r="AY23" i="29" s="1"/>
  <c r="AX19" i="29"/>
  <c r="AY19" i="29" s="1"/>
  <c r="AX15" i="29"/>
  <c r="AY15" i="29" s="1"/>
  <c r="AX11" i="29"/>
  <c r="AY11" i="29" s="1"/>
  <c r="AC9" i="29"/>
  <c r="AX55" i="29"/>
  <c r="AY55" i="29" s="1"/>
  <c r="AX44" i="29"/>
  <c r="AY44" i="29" s="1"/>
  <c r="AC53" i="29"/>
  <c r="AD53" i="29" s="1"/>
  <c r="AX42" i="29"/>
  <c r="AY42" i="29" s="1"/>
  <c r="AX38" i="29"/>
  <c r="AY38" i="29" s="1"/>
  <c r="AX34" i="29"/>
  <c r="AY34" i="29" s="1"/>
  <c r="AX28" i="29"/>
  <c r="AY28" i="29" s="1"/>
  <c r="AX26" i="29"/>
  <c r="AY26" i="29" s="1"/>
  <c r="AC26" i="29"/>
  <c r="AD26" i="29" s="1"/>
  <c r="AX21" i="29"/>
  <c r="AY21" i="29" s="1"/>
  <c r="AX17" i="29"/>
  <c r="AY17" i="29" s="1"/>
  <c r="AX13" i="29"/>
  <c r="AY13" i="29" s="1"/>
  <c r="AC57" i="29"/>
  <c r="AD57" i="29" s="1"/>
  <c r="AX40" i="29"/>
  <c r="AY40" i="29" s="1"/>
  <c r="AX39" i="29"/>
  <c r="AY39" i="29" s="1"/>
  <c r="AX70" i="29"/>
  <c r="AY70" i="29" s="1"/>
  <c r="AX69" i="29"/>
  <c r="AY69" i="29" s="1"/>
  <c r="AX32" i="29"/>
  <c r="AY32" i="29" s="1"/>
  <c r="AX9" i="29"/>
  <c r="AL5" i="29"/>
  <c r="BG4" i="29"/>
  <c r="AL4" i="29"/>
  <c r="AL7" i="29"/>
  <c r="AZ8" i="29"/>
  <c r="AE8" i="29"/>
  <c r="BG7" i="29"/>
  <c r="AZ7" i="29"/>
  <c r="BG5" i="29"/>
  <c r="AE5" i="29"/>
  <c r="BG8" i="29"/>
  <c r="BG6" i="29"/>
  <c r="AL6" i="29"/>
  <c r="AZ7" i="28"/>
  <c r="AL5" i="28"/>
  <c r="AH5" i="28" s="1"/>
  <c r="BG5" i="28"/>
  <c r="BC5" i="28" s="1"/>
  <c r="U6" i="28"/>
  <c r="Y6" i="28"/>
  <c r="AO6" i="28"/>
  <c r="AZ5" i="28"/>
  <c r="AP6" i="28"/>
  <c r="AT6" i="28"/>
  <c r="AX6" i="28" s="1"/>
  <c r="AY6" i="28" s="1"/>
  <c r="Y7" i="28"/>
  <c r="AH7" i="28"/>
  <c r="AO7" i="28"/>
  <c r="AT7" i="28"/>
  <c r="BA7" i="28"/>
  <c r="BG7" i="28"/>
  <c r="D7" i="29"/>
  <c r="AO7" i="29" s="1"/>
  <c r="AE8" i="28"/>
  <c r="AZ8" i="28"/>
  <c r="D8" i="29"/>
  <c r="AP8" i="29" s="1"/>
  <c r="D6" i="29"/>
  <c r="D5" i="29"/>
  <c r="T5" i="29" s="1"/>
  <c r="AE5" i="28"/>
  <c r="AE7" i="28"/>
  <c r="AL8" i="28"/>
  <c r="BG8" i="28"/>
  <c r="AL4" i="28"/>
  <c r="BG4" i="28"/>
  <c r="AL8" i="29"/>
  <c r="AE7" i="29"/>
  <c r="AZ5" i="29"/>
  <c r="B74" i="29"/>
  <c r="T5" i="28"/>
  <c r="AO8" i="28"/>
  <c r="AH4" i="28"/>
  <c r="AT4" i="28"/>
  <c r="U5" i="28"/>
  <c r="Y5" i="28"/>
  <c r="AO5" i="28"/>
  <c r="AS5" i="28"/>
  <c r="T6" i="28"/>
  <c r="BC7" i="28"/>
  <c r="AH8" i="28"/>
  <c r="AP8" i="28"/>
  <c r="AT8" i="28"/>
  <c r="T8" i="28"/>
  <c r="Y4" i="28"/>
  <c r="X5" i="28"/>
  <c r="U8" i="28"/>
  <c r="Y8" i="28"/>
  <c r="AP5" i="28"/>
  <c r="AT5" i="28"/>
  <c r="T7" i="28"/>
  <c r="A12" i="16"/>
  <c r="AD9" i="29" l="1"/>
  <c r="AG9" i="29"/>
  <c r="AY9" i="29"/>
  <c r="BB9" i="29" s="1"/>
  <c r="BB6" i="28"/>
  <c r="AO4" i="29"/>
  <c r="T4" i="29"/>
  <c r="AC6" i="28"/>
  <c r="X6" i="29"/>
  <c r="AS6" i="29"/>
  <c r="BA6" i="28"/>
  <c r="AN6" i="28" s="1"/>
  <c r="AO5" i="29"/>
  <c r="AF6" i="28"/>
  <c r="AO8" i="29"/>
  <c r="X5" i="29"/>
  <c r="Y5" i="29"/>
  <c r="Y7" i="29"/>
  <c r="AH7" i="29"/>
  <c r="AP5" i="29"/>
  <c r="AP7" i="29"/>
  <c r="AP6" i="29"/>
  <c r="Y8" i="29"/>
  <c r="BC6" i="29"/>
  <c r="AH6" i="29"/>
  <c r="AT7" i="29"/>
  <c r="Y4" i="29"/>
  <c r="T6" i="29"/>
  <c r="AT6" i="29"/>
  <c r="BA7" i="29"/>
  <c r="BC7" i="29"/>
  <c r="U7" i="29"/>
  <c r="AO6" i="29"/>
  <c r="Y6" i="29"/>
  <c r="AF7" i="29"/>
  <c r="T7" i="29"/>
  <c r="U8" i="29"/>
  <c r="U5" i="29"/>
  <c r="AS5" i="29"/>
  <c r="AF6" i="29"/>
  <c r="U6" i="29"/>
  <c r="T8" i="29"/>
  <c r="AH8" i="29"/>
  <c r="AT8" i="29"/>
  <c r="BC8" i="29"/>
  <c r="BC5" i="29"/>
  <c r="AH5" i="29"/>
  <c r="AT5" i="29"/>
  <c r="AH4" i="29"/>
  <c r="AT4" i="29"/>
  <c r="BC4" i="29"/>
  <c r="AX5" i="28"/>
  <c r="AC5" i="28"/>
  <c r="K34" i="6"/>
  <c r="AD6" i="28" l="1"/>
  <c r="AG6" i="28"/>
  <c r="S6" i="28" s="1"/>
  <c r="O6" i="28" s="1"/>
  <c r="P6" i="28" s="1"/>
  <c r="AC6" i="29"/>
  <c r="AX6" i="29"/>
  <c r="BA6" i="29"/>
  <c r="AC5" i="29"/>
  <c r="AX5" i="29"/>
  <c r="AD5" i="28"/>
  <c r="AF5" i="28" s="1"/>
  <c r="AY5" i="28"/>
  <c r="BA5" i="28" s="1"/>
  <c r="J34" i="6"/>
  <c r="AY6" i="29" l="1"/>
  <c r="BB6" i="29"/>
  <c r="AN6" i="29" s="1"/>
  <c r="AD6" i="29"/>
  <c r="AG6" i="29"/>
  <c r="S6" i="29" s="1"/>
  <c r="O6" i="29" s="1"/>
  <c r="P6" i="29" s="1"/>
  <c r="BB5" i="28"/>
  <c r="AN5" i="28" s="1"/>
  <c r="AG5" i="28"/>
  <c r="S5" i="28" s="1"/>
  <c r="AD5" i="29"/>
  <c r="AF5" i="29" s="1"/>
  <c r="AY5" i="29"/>
  <c r="BA5" i="29" s="1"/>
  <c r="O5" i="28" l="1"/>
  <c r="P5" i="28" s="1"/>
  <c r="BB5" i="29"/>
  <c r="AN5" i="29" s="1"/>
  <c r="AG5" i="29"/>
  <c r="S5" i="29" s="1"/>
  <c r="O5" i="29" l="1"/>
  <c r="P5" i="29" s="1"/>
  <c r="A719" i="9"/>
  <c r="A718" i="9"/>
  <c r="A717" i="9"/>
  <c r="A716" i="9"/>
  <c r="A715" i="9"/>
  <c r="A714" i="9"/>
  <c r="A713" i="9"/>
  <c r="A712" i="9"/>
  <c r="A711" i="9"/>
  <c r="A710" i="9"/>
  <c r="A709" i="9"/>
  <c r="A708" i="9"/>
  <c r="A707" i="9"/>
  <c r="A706" i="9"/>
  <c r="A705" i="9"/>
  <c r="A15" i="16" l="1"/>
  <c r="H8" i="6" l="1"/>
  <c r="J8" i="6"/>
  <c r="H7" i="6"/>
  <c r="D7" i="6"/>
  <c r="H5" i="6"/>
  <c r="D5" i="6"/>
  <c r="H4" i="6"/>
  <c r="D4" i="6"/>
  <c r="Q50" i="6" l="1"/>
  <c r="R50" i="6"/>
  <c r="R8" i="15" l="1"/>
  <c r="Q8" i="15"/>
  <c r="Q7" i="15"/>
  <c r="Q6" i="15"/>
  <c r="V8" i="15" l="1"/>
  <c r="V7" i="15"/>
  <c r="V6" i="15"/>
  <c r="V5" i="15"/>
  <c r="X5" i="15" s="1"/>
  <c r="W6" i="15"/>
  <c r="A584" i="9"/>
  <c r="A583" i="9"/>
  <c r="A582" i="9"/>
  <c r="A581" i="9"/>
  <c r="A580" i="9"/>
  <c r="A579" i="9"/>
  <c r="A578" i="9"/>
  <c r="A577" i="9"/>
  <c r="A576" i="9"/>
  <c r="A575" i="9"/>
  <c r="A574" i="9"/>
  <c r="A573" i="9"/>
  <c r="A572" i="9"/>
  <c r="A571" i="9"/>
  <c r="A570"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704" i="9"/>
  <c r="A703" i="9"/>
  <c r="A702" i="9"/>
  <c r="A701" i="9"/>
  <c r="A700" i="9"/>
  <c r="A699" i="9"/>
  <c r="A698" i="9"/>
  <c r="A697" i="9"/>
  <c r="A696" i="9"/>
  <c r="A695" i="9"/>
  <c r="A694" i="9"/>
  <c r="A693" i="9"/>
  <c r="A692" i="9"/>
  <c r="A691" i="9"/>
  <c r="A690"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24" i="9"/>
  <c r="A523" i="9"/>
  <c r="A522" i="9"/>
  <c r="A521" i="9"/>
  <c r="A520" i="9"/>
  <c r="A519" i="9"/>
  <c r="A518" i="9"/>
  <c r="A517" i="9"/>
  <c r="A516" i="9"/>
  <c r="A515" i="9"/>
  <c r="A514" i="9"/>
  <c r="A513" i="9"/>
  <c r="A512" i="9"/>
  <c r="A511" i="9"/>
  <c r="A510"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28" i="9"/>
  <c r="A327" i="9"/>
  <c r="A326" i="9"/>
  <c r="A325" i="9"/>
  <c r="A324" i="9"/>
  <c r="A323" i="9"/>
  <c r="A322" i="9"/>
  <c r="T8" i="15" l="1"/>
  <c r="U6" i="15"/>
  <c r="Q5" i="15"/>
  <c r="E33" i="6"/>
  <c r="D33" i="6"/>
  <c r="W4" i="15"/>
  <c r="AA4" i="15"/>
  <c r="AA5" i="15"/>
  <c r="AK8" i="15"/>
  <c r="AM8" i="15" s="1"/>
  <c r="AI8" i="15"/>
  <c r="AJ8" i="15"/>
  <c r="W8" i="15"/>
  <c r="AB8" i="15"/>
  <c r="Z8" i="15"/>
  <c r="AA8" i="15"/>
  <c r="AK7" i="15"/>
  <c r="AM7" i="15" s="1"/>
  <c r="AI7" i="15"/>
  <c r="AJ7" i="15"/>
  <c r="W7" i="15"/>
  <c r="AB7" i="15"/>
  <c r="Z7" i="15"/>
  <c r="AA7" i="15"/>
  <c r="AK6" i="15"/>
  <c r="AM6" i="15" s="1"/>
  <c r="AI6" i="15"/>
  <c r="AJ6" i="15"/>
  <c r="AB6" i="15"/>
  <c r="AA6" i="15"/>
  <c r="Z6" i="15"/>
  <c r="AK5" i="15"/>
  <c r="AM5" i="15" s="1"/>
  <c r="AI5" i="15"/>
  <c r="AJ5" i="15"/>
  <c r="W5" i="15"/>
  <c r="AB5" i="15"/>
  <c r="Z5" i="15"/>
  <c r="E32" i="6"/>
  <c r="D32" i="6"/>
  <c r="E31" i="6"/>
  <c r="D31" i="6"/>
  <c r="E30" i="6"/>
  <c r="D30" i="6"/>
  <c r="G33" i="6"/>
  <c r="AK4" i="15"/>
  <c r="AM4" i="15" s="1"/>
  <c r="AJ4" i="15"/>
  <c r="AI4" i="15"/>
  <c r="AB4" i="15"/>
  <c r="Z4" i="15"/>
  <c r="F12" i="20"/>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6" i="9"/>
  <c r="A235" i="9"/>
  <c r="A234" i="9"/>
  <c r="A233" i="9"/>
  <c r="A232"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8" i="9"/>
  <c r="A187" i="9"/>
  <c r="A180" i="9"/>
  <c r="A179" i="9"/>
  <c r="A178" i="9"/>
  <c r="A177" i="9"/>
  <c r="A176" i="9"/>
  <c r="A175" i="9"/>
  <c r="A174" i="9"/>
  <c r="A173" i="9"/>
  <c r="A169" i="9"/>
  <c r="A168" i="9"/>
  <c r="A164" i="9"/>
  <c r="A163" i="9"/>
  <c r="A162" i="9"/>
  <c r="A161" i="9"/>
  <c r="A160" i="9"/>
  <c r="A159"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0" i="9"/>
  <c r="A119" i="9"/>
  <c r="A118" i="9"/>
  <c r="A117" i="9"/>
  <c r="A116" i="9"/>
  <c r="A115" i="9"/>
  <c r="A114" i="9"/>
  <c r="A113" i="9"/>
  <c r="A106" i="9"/>
  <c r="A105" i="9"/>
  <c r="A104" i="9"/>
  <c r="A103" i="9"/>
  <c r="A102" i="9"/>
  <c r="A101" i="9"/>
  <c r="A100" i="9"/>
  <c r="A99" i="9"/>
  <c r="A98" i="9"/>
  <c r="A95" i="9"/>
  <c r="A94" i="9"/>
  <c r="A93" i="9"/>
  <c r="A92" i="9"/>
  <c r="A91" i="9"/>
  <c r="A90" i="9"/>
  <c r="A89" i="9"/>
  <c r="A88" i="9"/>
  <c r="A87" i="9"/>
  <c r="A86" i="9"/>
  <c r="A84" i="9"/>
  <c r="A83" i="9"/>
  <c r="A82" i="9"/>
  <c r="A81" i="9"/>
  <c r="A80" i="9"/>
  <c r="A79" i="9"/>
  <c r="A78" i="9"/>
  <c r="A77" i="9"/>
  <c r="A76" i="9"/>
  <c r="A75" i="9"/>
  <c r="A74" i="9"/>
  <c r="A73" i="9"/>
  <c r="A72" i="9"/>
  <c r="A71" i="9"/>
  <c r="A70" i="9"/>
  <c r="A69" i="9"/>
  <c r="A68" i="9"/>
  <c r="A67" i="9"/>
  <c r="A66" i="9"/>
  <c r="A65" i="9"/>
  <c r="A64" i="9"/>
  <c r="A63" i="9"/>
  <c r="A62" i="9"/>
  <c r="A61" i="9"/>
  <c r="A60" i="9"/>
  <c r="A59"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B13" i="20"/>
  <c r="B12" i="20"/>
  <c r="Q11" i="17"/>
  <c r="A2" i="9"/>
  <c r="E5" i="16"/>
  <c r="E4" i="16"/>
  <c r="A23" i="16"/>
  <c r="B74" i="15"/>
  <c r="T12" i="6"/>
  <c r="T11" i="6"/>
  <c r="T10" i="6"/>
  <c r="AJ15" i="6"/>
  <c r="AL5" i="15" l="1"/>
  <c r="AH5" i="15" s="1"/>
  <c r="AS4" i="28"/>
  <c r="AX4" i="28" s="1"/>
  <c r="X4" i="28"/>
  <c r="AC4" i="28" s="1"/>
  <c r="X4" i="29"/>
  <c r="AS4" i="29"/>
  <c r="X8" i="29"/>
  <c r="AC8" i="29" s="1"/>
  <c r="AS7" i="28"/>
  <c r="AX7" i="28" s="1"/>
  <c r="AY7" i="28" s="1"/>
  <c r="BB7" i="28" s="1"/>
  <c r="AN7" i="28" s="1"/>
  <c r="AS8" i="29"/>
  <c r="AX8" i="29" s="1"/>
  <c r="X7" i="29"/>
  <c r="AC7" i="29" s="1"/>
  <c r="AD7" i="29" s="1"/>
  <c r="AG7" i="29" s="1"/>
  <c r="X7" i="28"/>
  <c r="AC7" i="28" s="1"/>
  <c r="AD7" i="28" s="1"/>
  <c r="AG7" i="28" s="1"/>
  <c r="X8" i="28"/>
  <c r="AC8" i="28" s="1"/>
  <c r="AS8" i="28"/>
  <c r="AX8" i="28" s="1"/>
  <c r="AS7" i="29"/>
  <c r="AX7" i="29" s="1"/>
  <c r="AY7" i="29" s="1"/>
  <c r="BB7" i="29" s="1"/>
  <c r="AN7" i="29" s="1"/>
  <c r="R4" i="15"/>
  <c r="F33" i="6"/>
  <c r="X6" i="15"/>
  <c r="X7" i="15"/>
  <c r="AH8" i="15"/>
  <c r="AE6" i="15"/>
  <c r="Y7" i="15"/>
  <c r="Y8" i="15"/>
  <c r="AC8" i="15" s="1"/>
  <c r="R6" i="15"/>
  <c r="T6" i="15"/>
  <c r="R7" i="15"/>
  <c r="T7" i="15"/>
  <c r="A22" i="16"/>
  <c r="Y5" i="15"/>
  <c r="R5" i="15"/>
  <c r="T5" i="15"/>
  <c r="B50" i="6"/>
  <c r="Q4" i="15"/>
  <c r="Q3" i="15" s="1"/>
  <c r="B41" i="6" s="1"/>
  <c r="AL7" i="15"/>
  <c r="G32" i="6"/>
  <c r="AL6" i="15"/>
  <c r="U7" i="15"/>
  <c r="AH7" i="15"/>
  <c r="U8" i="15"/>
  <c r="U5" i="15"/>
  <c r="E6" i="16"/>
  <c r="A21" i="16" s="1"/>
  <c r="E34" i="6"/>
  <c r="K12" i="6" s="1"/>
  <c r="AE8" i="15"/>
  <c r="AL4" i="15"/>
  <c r="AE7" i="15"/>
  <c r="AE5" i="15"/>
  <c r="Y6" i="15"/>
  <c r="AH6" i="15"/>
  <c r="F31" i="6"/>
  <c r="Y4" i="15"/>
  <c r="D34" i="6"/>
  <c r="AL8" i="15"/>
  <c r="AE4" i="15"/>
  <c r="AH4" i="15"/>
  <c r="G31" i="6"/>
  <c r="F30" i="6"/>
  <c r="F32" i="6"/>
  <c r="G30" i="6"/>
  <c r="S7" i="29" l="1"/>
  <c r="O7" i="29" s="1"/>
  <c r="P7" i="29" s="1"/>
  <c r="S7" i="28"/>
  <c r="O7" i="28" s="1"/>
  <c r="P7" i="28" s="1"/>
  <c r="AD4" i="28"/>
  <c r="AG4" i="28" s="1"/>
  <c r="AF4" i="28"/>
  <c r="AY4" i="28"/>
  <c r="BB4" i="28" s="1"/>
  <c r="B40" i="6"/>
  <c r="AY8" i="29"/>
  <c r="BB8" i="29" s="1"/>
  <c r="BA8" i="29"/>
  <c r="AD8" i="28"/>
  <c r="AG8" i="28" s="1"/>
  <c r="AF8" i="28"/>
  <c r="AY8" i="28"/>
  <c r="BB8" i="28" s="1"/>
  <c r="AD8" i="29"/>
  <c r="AG8" i="29" s="1"/>
  <c r="AC7" i="15"/>
  <c r="R3" i="15"/>
  <c r="B42" i="6" s="1"/>
  <c r="AD8" i="15"/>
  <c r="AF8" i="15" s="1"/>
  <c r="AC5" i="15"/>
  <c r="AD5" i="15" s="1"/>
  <c r="A20" i="16"/>
  <c r="AC4" i="15"/>
  <c r="AD4" i="15" s="1"/>
  <c r="AC6" i="15"/>
  <c r="AD6" i="15" s="1"/>
  <c r="AF6" i="15"/>
  <c r="F34" i="6"/>
  <c r="G34" i="6"/>
  <c r="AG8" i="15"/>
  <c r="AN8" i="29" l="1"/>
  <c r="S8" i="28"/>
  <c r="S8" i="15"/>
  <c r="O8" i="15" s="1"/>
  <c r="P8" i="15" s="1"/>
  <c r="S4" i="28"/>
  <c r="BA4" i="28"/>
  <c r="AN4" i="28" s="1"/>
  <c r="AF4" i="29"/>
  <c r="BA4" i="29"/>
  <c r="AF5" i="15"/>
  <c r="AF8" i="29"/>
  <c r="BA8" i="28"/>
  <c r="AN8" i="28" s="1"/>
  <c r="O8" i="28" s="1"/>
  <c r="P8" i="28" s="1"/>
  <c r="AD7" i="15"/>
  <c r="AG7" i="15" s="1"/>
  <c r="AF7" i="15"/>
  <c r="AG5" i="15"/>
  <c r="AG6" i="15"/>
  <c r="AG4" i="15"/>
  <c r="AF4" i="15"/>
  <c r="B38" i="6"/>
  <c r="M34" i="6" s="1"/>
  <c r="G25" i="6" l="1"/>
  <c r="F25" i="6"/>
  <c r="S5" i="15"/>
  <c r="O5" i="15" s="1"/>
  <c r="P5" i="15" s="1"/>
  <c r="S8" i="29"/>
  <c r="O8" i="29" s="1"/>
  <c r="P8" i="29" s="1"/>
  <c r="S7" i="15"/>
  <c r="O7" i="15" s="1"/>
  <c r="P7" i="15" s="1"/>
  <c r="S6" i="15"/>
  <c r="O6" i="15" s="1"/>
  <c r="P6" i="15" s="1"/>
  <c r="O4" i="28"/>
  <c r="P4" i="28" s="1"/>
  <c r="P74" i="28" s="1"/>
  <c r="S4" i="15"/>
  <c r="O4" i="15" s="1"/>
  <c r="P4" i="15" s="1"/>
  <c r="M15" i="6"/>
  <c r="R30" i="6" l="1"/>
  <c r="U30" i="6" s="1"/>
  <c r="R32" i="6"/>
  <c r="U32" i="6" s="1"/>
  <c r="R31" i="6"/>
  <c r="U31" i="6" s="1"/>
  <c r="S31" i="6"/>
  <c r="V31" i="6" s="1"/>
  <c r="P74" i="15"/>
  <c r="U34" i="6" l="1"/>
  <c r="P12" i="6" s="1"/>
  <c r="S30" i="6"/>
  <c r="V30" i="6" s="1"/>
  <c r="S32" i="6"/>
  <c r="V32" i="6" s="1"/>
  <c r="D23" i="6" l="1"/>
  <c r="D12" i="6"/>
  <c r="D17" i="6" s="1"/>
  <c r="T30" i="6"/>
  <c r="W30" i="6" s="1"/>
  <c r="T32" i="6"/>
  <c r="W32" i="6" s="1"/>
  <c r="V34" i="6"/>
  <c r="E12" i="6" s="1"/>
  <c r="T31" i="6"/>
  <c r="W31" i="6" s="1"/>
  <c r="D20" i="6" l="1"/>
  <c r="D19" i="6"/>
  <c r="H24" i="6" s="1"/>
  <c r="K20" i="6" s="1"/>
  <c r="B44" i="6" s="1"/>
  <c r="D21" i="6"/>
  <c r="D22" i="6"/>
  <c r="E16" i="6"/>
  <c r="E15" i="6"/>
  <c r="E14" i="6"/>
  <c r="N32" i="6"/>
  <c r="N30" i="6"/>
  <c r="B39" i="6"/>
  <c r="N31" i="6"/>
  <c r="D24" i="6" l="1"/>
  <c r="E21" i="6"/>
  <c r="E22" i="6"/>
  <c r="E20" i="6"/>
  <c r="E19" i="6"/>
  <c r="W34" i="6"/>
  <c r="D25" i="6"/>
  <c r="E25" i="6" l="1"/>
  <c r="E24" i="6"/>
  <c r="F12" i="6"/>
  <c r="F13" i="6" l="1"/>
  <c r="G13" i="6" s="1"/>
  <c r="F16" i="6"/>
  <c r="G16" i="6" s="1"/>
  <c r="G12" i="6"/>
  <c r="F14" i="6"/>
  <c r="F15" i="6"/>
  <c r="G15" i="6" s="1"/>
  <c r="F19" i="6" l="1"/>
  <c r="F21" i="6"/>
  <c r="F20" i="6"/>
  <c r="G20" i="6" s="1"/>
  <c r="J20" i="6" s="1"/>
  <c r="M20" i="6" s="1"/>
  <c r="G14" i="6"/>
  <c r="F22" i="6"/>
  <c r="G22" i="6" s="1"/>
  <c r="J22" i="6" s="1"/>
  <c r="M22" i="6" s="1"/>
  <c r="G21" i="6"/>
  <c r="J21" i="6" s="1"/>
  <c r="M21" i="6" s="1"/>
  <c r="F24" i="6" l="1"/>
  <c r="G19" i="6"/>
  <c r="I25" i="6" s="1"/>
  <c r="S48" i="6"/>
  <c r="C7" i="27" s="1"/>
  <c r="K23" i="6" l="1"/>
  <c r="T46" i="6" s="1"/>
  <c r="I24" i="6"/>
  <c r="G24" i="6"/>
  <c r="K18" i="6" s="1"/>
  <c r="J19" i="6"/>
  <c r="B48" i="6"/>
  <c r="C18" i="27"/>
  <c r="C19" i="27"/>
  <c r="B19" i="27"/>
  <c r="B17" i="27"/>
  <c r="B7" i="27"/>
  <c r="C20" i="27"/>
  <c r="C8" i="27"/>
  <c r="C6" i="27"/>
  <c r="B20" i="27"/>
  <c r="B18" i="27"/>
  <c r="B8" i="27"/>
  <c r="B6" i="27"/>
  <c r="C17" i="27"/>
  <c r="H25" i="6"/>
  <c r="J24" i="6" l="1"/>
  <c r="S46" i="6"/>
  <c r="R48" i="6"/>
  <c r="Q48" i="6" s="1"/>
  <c r="R46" i="6"/>
  <c r="Q46" i="6" l="1"/>
  <c r="N46" i="6" s="1"/>
  <c r="N48" i="6"/>
  <c r="O48" i="6"/>
  <c r="M48" i="6" s="1"/>
  <c r="N47" i="6" l="1"/>
  <c r="O47" i="6"/>
  <c r="O46" i="6"/>
  <c r="M46" i="6" s="1"/>
  <c r="M47" i="6" l="1"/>
  <c r="B47" i="6" s="1"/>
  <c r="AP4" i="29"/>
  <c r="AN4" i="29" s="1"/>
  <c r="U4" i="29"/>
  <c r="S4" i="29" s="1"/>
  <c r="O4" i="29" s="1"/>
  <c r="P4" i="29" s="1"/>
  <c r="P74" i="29" s="1"/>
  <c r="AZ4" i="29"/>
  <c r="W4" i="29"/>
  <c r="AC4" i="29" s="1"/>
  <c r="AD4" i="29" s="1"/>
  <c r="AR4" i="29"/>
  <c r="AX4" i="29"/>
  <c r="AG4" i="29" l="1"/>
  <c r="AY4" i="29"/>
  <c r="BB4" i="29" s="1"/>
  <c r="AE4"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author>
  </authors>
  <commentList>
    <comment ref="B14" authorId="0" shapeId="0" xr:uid="{00000000-0006-0000-0B00-000001000000}">
      <text>
        <r>
          <rPr>
            <sz val="14"/>
            <color indexed="81"/>
            <rFont val="ＭＳ Ｐゴシック"/>
            <family val="3"/>
            <charset val="128"/>
          </rPr>
          <t>基本情報の「緑地や水辺の配置について」で、まとまりを持って自然を配置した場合に、事業後の総ポイントがプラスに補正されます。</t>
        </r>
      </text>
    </comment>
    <comment ref="B15" authorId="0" shapeId="0" xr:uid="{00000000-0006-0000-0B00-000003000000}">
      <text>
        <r>
          <rPr>
            <sz val="14"/>
            <color indexed="81"/>
            <rFont val="ＭＳ Ｐゴシック"/>
            <family val="3"/>
            <charset val="128"/>
          </rPr>
          <t>基本情報の「緑地や水辺の配置について」で、周辺とのつながりを考慮して自然を配置した場合に、事業後の総ポイントがプラスに補正されます。</t>
        </r>
      </text>
    </comment>
    <comment ref="B17" authorId="0" shapeId="0" xr:uid="{00000000-0006-0000-0B00-000004000000}">
      <text>
        <r>
          <rPr>
            <sz val="14"/>
            <color indexed="81"/>
            <rFont val="ＭＳ Ｐゴシック"/>
            <family val="3"/>
            <charset val="128"/>
          </rPr>
          <t>適切に管理されていないことで将来的に自然の質が劣化していく可能性の高い環境において、今後（事業後）は適切な維持管理を行なっていく場合、その面積に応じて、事業前の総ポイントがマイナスに補正されます。</t>
        </r>
      </text>
    </comment>
    <comment ref="K17" authorId="0" shapeId="0" xr:uid="{00000000-0006-0000-0B00-000002000000}">
      <text>
        <r>
          <rPr>
            <sz val="14"/>
            <color indexed="81"/>
            <rFont val="ＭＳ Ｐゴシック"/>
            <family val="3"/>
            <charset val="128"/>
          </rPr>
          <t>緑地の質を考慮した場合に、大規模行為届出上、最低限必要な緑地率です。</t>
        </r>
      </text>
    </comment>
    <comment ref="K20" authorId="0" shapeId="0" xr:uid="{00000000-0006-0000-0B00-000005000000}">
      <text>
        <r>
          <rPr>
            <sz val="14"/>
            <color indexed="81"/>
            <rFont val="ＭＳ Ｐゴシック"/>
            <family val="3"/>
            <charset val="128"/>
          </rPr>
          <t>事業後の「緑地の質ポイント」から、事業前の「評価区域の質ポイント」を引いた値です。</t>
        </r>
      </text>
    </comment>
  </commentList>
</comments>
</file>

<file path=xl/sharedStrings.xml><?xml version="1.0" encoding="utf-8"?>
<sst xmlns="http://schemas.openxmlformats.org/spreadsheetml/2006/main" count="3695" uniqueCount="645">
  <si>
    <t>↓</t>
    <phoneticPr fontId="2"/>
  </si>
  <si>
    <t>合計</t>
    <rPh sb="0" eb="2">
      <t>ゴウケイ</t>
    </rPh>
    <phoneticPr fontId="2"/>
  </si>
  <si>
    <t>点数</t>
    <rPh sb="0" eb="2">
      <t>テンスウ</t>
    </rPh>
    <phoneticPr fontId="2"/>
  </si>
  <si>
    <t>自然度の高い湿地</t>
    <rPh sb="0" eb="3">
      <t>シゼンド</t>
    </rPh>
    <rPh sb="4" eb="5">
      <t>タカ</t>
    </rPh>
    <rPh sb="6" eb="8">
      <t>シッチ</t>
    </rPh>
    <phoneticPr fontId="2"/>
  </si>
  <si>
    <t>絶滅危惧種の生息地</t>
    <rPh sb="0" eb="2">
      <t>ゼツメツ</t>
    </rPh>
    <rPh sb="2" eb="5">
      <t>キグシュ</t>
    </rPh>
    <rPh sb="6" eb="8">
      <t>セイソク</t>
    </rPh>
    <rPh sb="8" eb="9">
      <t>チ</t>
    </rPh>
    <phoneticPr fontId="2"/>
  </si>
  <si>
    <t>岡崎市</t>
  </si>
  <si>
    <t>新城市</t>
  </si>
  <si>
    <t>豊田市</t>
  </si>
  <si>
    <t>開発行為　①宅地の造成</t>
    <rPh sb="0" eb="2">
      <t>カイハツ</t>
    </rPh>
    <rPh sb="2" eb="4">
      <t>コウイ</t>
    </rPh>
    <phoneticPr fontId="2"/>
  </si>
  <si>
    <t xml:space="preserve">開発行為　②土地の開墾 </t>
    <phoneticPr fontId="2"/>
  </si>
  <si>
    <t>開発行為　③鉱物の掘採</t>
    <phoneticPr fontId="2"/>
  </si>
  <si>
    <t>開発行為　④土石の採取</t>
    <phoneticPr fontId="2"/>
  </si>
  <si>
    <t xml:space="preserve">開発行為　⑤水面の埋立 </t>
    <phoneticPr fontId="2"/>
  </si>
  <si>
    <t>開発行為　⑥水面の干拓</t>
    <phoneticPr fontId="2"/>
  </si>
  <si>
    <t>環境改善行為</t>
    <rPh sb="0" eb="2">
      <t>カンキョウ</t>
    </rPh>
    <rPh sb="2" eb="4">
      <t>カイゼン</t>
    </rPh>
    <rPh sb="4" eb="6">
      <t>コウイ</t>
    </rPh>
    <phoneticPr fontId="2"/>
  </si>
  <si>
    <t>不明</t>
    <rPh sb="0" eb="2">
      <t>フメイ</t>
    </rPh>
    <phoneticPr fontId="2"/>
  </si>
  <si>
    <t>湿性環境</t>
    <rPh sb="0" eb="2">
      <t>シッセイ</t>
    </rPh>
    <rPh sb="2" eb="4">
      <t>カンキョウ</t>
    </rPh>
    <phoneticPr fontId="2"/>
  </si>
  <si>
    <t>含まれている（いた）</t>
    <rPh sb="0" eb="1">
      <t>フク</t>
    </rPh>
    <phoneticPr fontId="2"/>
  </si>
  <si>
    <t>含まれていない（いなかった）</t>
    <rPh sb="0" eb="1">
      <t>フク</t>
    </rPh>
    <phoneticPr fontId="2"/>
  </si>
  <si>
    <t>現況（事業前）</t>
    <rPh sb="0" eb="2">
      <t>ゲンキョウ</t>
    </rPh>
    <rPh sb="3" eb="5">
      <t>ジギョウ</t>
    </rPh>
    <rPh sb="5" eb="6">
      <t>マエ</t>
    </rPh>
    <phoneticPr fontId="2"/>
  </si>
  <si>
    <t>樹林</t>
    <rPh sb="0" eb="2">
      <t>ジュリン</t>
    </rPh>
    <phoneticPr fontId="2"/>
  </si>
  <si>
    <t>樹林の観点で評価</t>
    <rPh sb="0" eb="1">
      <t>ジュ</t>
    </rPh>
    <phoneticPr fontId="2"/>
  </si>
  <si>
    <t>湿性環境の観点で評価</t>
    <rPh sb="0" eb="2">
      <t>シッセイ</t>
    </rPh>
    <rPh sb="2" eb="4">
      <t>カンキョウ</t>
    </rPh>
    <phoneticPr fontId="2"/>
  </si>
  <si>
    <t>人工護岸の割合（％）</t>
    <rPh sb="0" eb="2">
      <t>ジンコウ</t>
    </rPh>
    <rPh sb="2" eb="4">
      <t>ゴガン</t>
    </rPh>
    <rPh sb="5" eb="7">
      <t>ワリアイ</t>
    </rPh>
    <phoneticPr fontId="2"/>
  </si>
  <si>
    <t>底張りの割合（％）</t>
    <rPh sb="0" eb="1">
      <t>ソコ</t>
    </rPh>
    <rPh sb="1" eb="2">
      <t>バ</t>
    </rPh>
    <rPh sb="4" eb="6">
      <t>ワリアイ</t>
    </rPh>
    <phoneticPr fontId="2"/>
  </si>
  <si>
    <t>外来種の被度の割合（％）</t>
    <rPh sb="0" eb="3">
      <t>ガイライシュ</t>
    </rPh>
    <rPh sb="4" eb="6">
      <t>ヒド</t>
    </rPh>
    <rPh sb="7" eb="9">
      <t>ワリアイ</t>
    </rPh>
    <phoneticPr fontId="2"/>
  </si>
  <si>
    <t>A</t>
    <phoneticPr fontId="2"/>
  </si>
  <si>
    <t>B</t>
    <phoneticPr fontId="2"/>
  </si>
  <si>
    <t>高木+市町村</t>
    <rPh sb="0" eb="2">
      <t>コウボク</t>
    </rPh>
    <rPh sb="3" eb="6">
      <t>シチョウソン</t>
    </rPh>
    <phoneticPr fontId="3"/>
  </si>
  <si>
    <t>高木</t>
    <rPh sb="0" eb="2">
      <t>コウボク</t>
    </rPh>
    <phoneticPr fontId="3"/>
  </si>
  <si>
    <t>市町村</t>
    <rPh sb="0" eb="3">
      <t>シチョウソン</t>
    </rPh>
    <phoneticPr fontId="3"/>
  </si>
  <si>
    <t>植生ゾーン</t>
    <rPh sb="0" eb="2">
      <t>ショクセイ</t>
    </rPh>
    <phoneticPr fontId="3"/>
  </si>
  <si>
    <t>群集</t>
    <rPh sb="0" eb="2">
      <t>グンシュウ</t>
    </rPh>
    <phoneticPr fontId="3"/>
  </si>
  <si>
    <t>幸田町</t>
  </si>
  <si>
    <t>瀬戸市</t>
  </si>
  <si>
    <t>長久手市</t>
  </si>
  <si>
    <t>東郷町</t>
  </si>
  <si>
    <t>日進市</t>
  </si>
  <si>
    <t>尾張旭市</t>
  </si>
  <si>
    <t>東栄町</t>
  </si>
  <si>
    <t>春日井市</t>
  </si>
  <si>
    <t>大口町</t>
  </si>
  <si>
    <t>小牧市</t>
  </si>
  <si>
    <t>大府市</t>
  </si>
  <si>
    <t>蒲郡市</t>
  </si>
  <si>
    <t>常滑市</t>
  </si>
  <si>
    <t>知多市</t>
  </si>
  <si>
    <t>田原市</t>
  </si>
  <si>
    <t>東浦町</t>
  </si>
  <si>
    <t>東海市</t>
  </si>
  <si>
    <t>南知多町</t>
  </si>
  <si>
    <t>半田市</t>
  </si>
  <si>
    <t>美浜町</t>
  </si>
  <si>
    <t>武豊町</t>
  </si>
  <si>
    <t>豊橋市</t>
  </si>
  <si>
    <t>安城市</t>
  </si>
  <si>
    <t>高浜市</t>
  </si>
  <si>
    <t>犬山市</t>
  </si>
  <si>
    <t>名古屋市</t>
  </si>
  <si>
    <t>利用者調整における平均点数</t>
    <rPh sb="0" eb="3">
      <t>リヨウシャ</t>
    </rPh>
    <rPh sb="3" eb="5">
      <t>チョウセイ</t>
    </rPh>
    <rPh sb="9" eb="11">
      <t>ヘイキン</t>
    </rPh>
    <rPh sb="11" eb="13">
      <t>テンスウ</t>
    </rPh>
    <phoneticPr fontId="2"/>
  </si>
  <si>
    <t>計画（竣工時）</t>
    <rPh sb="0" eb="2">
      <t>ケイカク</t>
    </rPh>
    <rPh sb="3" eb="5">
      <t>シュンコウ</t>
    </rPh>
    <rPh sb="5" eb="6">
      <t>ジ</t>
    </rPh>
    <phoneticPr fontId="2"/>
  </si>
  <si>
    <t>計画（将来）</t>
    <rPh sb="0" eb="2">
      <t>ケイカク</t>
    </rPh>
    <rPh sb="3" eb="5">
      <t>ショウライ</t>
    </rPh>
    <phoneticPr fontId="2"/>
  </si>
  <si>
    <t/>
  </si>
  <si>
    <t>ご用意いただくもの</t>
    <rPh sb="1" eb="3">
      <t>ヨウイ</t>
    </rPh>
    <phoneticPr fontId="2"/>
  </si>
  <si>
    <t>利用上の注意</t>
    <rPh sb="0" eb="3">
      <t>リヨウジョウ</t>
    </rPh>
    <rPh sb="4" eb="6">
      <t>チュウイ</t>
    </rPh>
    <phoneticPr fontId="2"/>
  </si>
  <si>
    <t>阿久比町</t>
  </si>
  <si>
    <t>A</t>
    <phoneticPr fontId="2"/>
  </si>
  <si>
    <t>B</t>
    <phoneticPr fontId="2"/>
  </si>
  <si>
    <t>㎡</t>
    <phoneticPr fontId="2"/>
  </si>
  <si>
    <t>樹林、低木・竹・草地</t>
    <rPh sb="0" eb="2">
      <t>ジュリン</t>
    </rPh>
    <rPh sb="3" eb="5">
      <t>テイボク</t>
    </rPh>
    <rPh sb="6" eb="7">
      <t>タケ</t>
    </rPh>
    <rPh sb="8" eb="10">
      <t>ソウチ</t>
    </rPh>
    <phoneticPr fontId="2"/>
  </si>
  <si>
    <t>低木・竹・草地</t>
    <rPh sb="0" eb="2">
      <t>テイボク</t>
    </rPh>
    <rPh sb="3" eb="4">
      <t>タケ</t>
    </rPh>
    <rPh sb="5" eb="7">
      <t>クサチ</t>
    </rPh>
    <phoneticPr fontId="2"/>
  </si>
  <si>
    <t>①面積(㎡)</t>
    <rPh sb="1" eb="3">
      <t>メンセキ</t>
    </rPh>
    <phoneticPr fontId="2"/>
  </si>
  <si>
    <t>④目標環境タイプ</t>
    <rPh sb="1" eb="3">
      <t>モクヒョウ</t>
    </rPh>
    <rPh sb="3" eb="5">
      <t>カンキョウ</t>
    </rPh>
    <phoneticPr fontId="2"/>
  </si>
  <si>
    <t>入力日</t>
    <rPh sb="0" eb="2">
      <t>ニュウリョク</t>
    </rPh>
    <rPh sb="2" eb="3">
      <t>ヒ</t>
    </rPh>
    <phoneticPr fontId="2"/>
  </si>
  <si>
    <t>着工（予定）日</t>
    <rPh sb="0" eb="2">
      <t>チャッコウ</t>
    </rPh>
    <rPh sb="3" eb="5">
      <t>ヨテイ</t>
    </rPh>
    <rPh sb="6" eb="7">
      <t>ヒ</t>
    </rPh>
    <phoneticPr fontId="2"/>
  </si>
  <si>
    <t>竣工（予定）日</t>
    <rPh sb="0" eb="2">
      <t>シュンコウ</t>
    </rPh>
    <rPh sb="3" eb="5">
      <t>ヨテイ</t>
    </rPh>
    <rPh sb="6" eb="7">
      <t>ヒ</t>
    </rPh>
    <phoneticPr fontId="2"/>
  </si>
  <si>
    <t>③目標環境タイプの変更</t>
    <rPh sb="1" eb="5">
      <t>モクヒョウカンキョウ</t>
    </rPh>
    <rPh sb="9" eb="11">
      <t>ヘンコウ</t>
    </rPh>
    <phoneticPr fontId="2"/>
  </si>
  <si>
    <t>【コナラ】・アベマキ・リョウブ・タカノツメ</t>
    <phoneticPr fontId="2"/>
  </si>
  <si>
    <t>利用者名</t>
    <rPh sb="0" eb="4">
      <t>リヨウシャメイ</t>
    </rPh>
    <phoneticPr fontId="2"/>
  </si>
  <si>
    <t>↓</t>
    <phoneticPr fontId="2"/>
  </si>
  <si>
    <t>面積（㎡）</t>
    <phoneticPr fontId="2"/>
  </si>
  <si>
    <t>↓</t>
    <phoneticPr fontId="2"/>
  </si>
  <si>
    <t>↓</t>
    <phoneticPr fontId="2"/>
  </si>
  <si>
    <r>
      <t xml:space="preserve">2. </t>
    </r>
    <r>
      <rPr>
        <sz val="11"/>
        <color indexed="8"/>
        <rFont val="ＭＳ ゴシック"/>
        <family val="3"/>
        <charset val="128"/>
      </rPr>
      <t>行為の目的、場所、面積、種類を入力してください。</t>
    </r>
    <rPh sb="3" eb="5">
      <t>コウイ</t>
    </rPh>
    <rPh sb="6" eb="8">
      <t>モクテキ</t>
    </rPh>
    <rPh sb="9" eb="11">
      <t>バショ</t>
    </rPh>
    <rPh sb="12" eb="14">
      <t>メンセキ</t>
    </rPh>
    <rPh sb="18" eb="20">
      <t>ニュウリョク</t>
    </rPh>
    <phoneticPr fontId="2"/>
  </si>
  <si>
    <t>目的</t>
    <phoneticPr fontId="2"/>
  </si>
  <si>
    <t>土地の取得年または借地開始年（西暦）</t>
    <rPh sb="0" eb="2">
      <t>トチ</t>
    </rPh>
    <rPh sb="3" eb="5">
      <t>シュトク</t>
    </rPh>
    <rPh sb="5" eb="6">
      <t>ネン</t>
    </rPh>
    <rPh sb="9" eb="11">
      <t>シャクチ</t>
    </rPh>
    <rPh sb="11" eb="13">
      <t>カイシ</t>
    </rPh>
    <rPh sb="13" eb="14">
      <t>トシ</t>
    </rPh>
    <rPh sb="15" eb="17">
      <t>セイレキ</t>
    </rPh>
    <phoneticPr fontId="2"/>
  </si>
  <si>
    <t>②環境タイプⅠ</t>
    <rPh sb="1" eb="3">
      <t>カンキョウ</t>
    </rPh>
    <phoneticPr fontId="2"/>
  </si>
  <si>
    <t>⑥環境タイプⅡ</t>
    <rPh sb="1" eb="3">
      <t>カンキョウ</t>
    </rPh>
    <phoneticPr fontId="2"/>
  </si>
  <si>
    <t>⑦上層の植生</t>
    <rPh sb="1" eb="3">
      <t>ジョウソウ</t>
    </rPh>
    <rPh sb="4" eb="6">
      <t>ショクセイ</t>
    </rPh>
    <phoneticPr fontId="2"/>
  </si>
  <si>
    <t>⑧外来・園芸
植物の割合</t>
    <rPh sb="1" eb="3">
      <t>ガイライ</t>
    </rPh>
    <rPh sb="4" eb="6">
      <t>エンゲイ</t>
    </rPh>
    <rPh sb="7" eb="9">
      <t>ショクブツ</t>
    </rPh>
    <rPh sb="10" eb="12">
      <t>ワリアイ</t>
    </rPh>
    <phoneticPr fontId="2"/>
  </si>
  <si>
    <t>⑩人工護岸の割合</t>
    <rPh sb="1" eb="3">
      <t>ジンコウ</t>
    </rPh>
    <rPh sb="3" eb="5">
      <t>ゴガン</t>
    </rPh>
    <rPh sb="6" eb="8">
      <t>ワリアイ</t>
    </rPh>
    <phoneticPr fontId="2"/>
  </si>
  <si>
    <t>⑫外来・園芸
植物の割合</t>
    <rPh sb="1" eb="3">
      <t>ガイライ</t>
    </rPh>
    <rPh sb="4" eb="6">
      <t>エンゲイ</t>
    </rPh>
    <rPh sb="7" eb="9">
      <t>ショクブツ</t>
    </rPh>
    <rPh sb="10" eb="12">
      <t>ワリアイ</t>
    </rPh>
    <phoneticPr fontId="2"/>
  </si>
  <si>
    <t>⑤保全緑地</t>
    <rPh sb="1" eb="3">
      <t>ホゼン</t>
    </rPh>
    <rPh sb="3" eb="5">
      <t>リョクチ</t>
    </rPh>
    <phoneticPr fontId="2"/>
  </si>
  <si>
    <t>⑨中層の有無</t>
    <rPh sb="1" eb="2">
      <t>チュウ</t>
    </rPh>
    <rPh sb="2" eb="3">
      <t>ソウ</t>
    </rPh>
    <rPh sb="4" eb="6">
      <t>ウム</t>
    </rPh>
    <phoneticPr fontId="2"/>
  </si>
  <si>
    <t>人工面</t>
    <phoneticPr fontId="2"/>
  </si>
  <si>
    <t>あま市</t>
  </si>
  <si>
    <t>愛西市</t>
  </si>
  <si>
    <t>一宮市</t>
  </si>
  <si>
    <t>稲沢市</t>
  </si>
  <si>
    <t>蟹江町</t>
  </si>
  <si>
    <t>刈谷市</t>
  </si>
  <si>
    <t>岩倉市</t>
  </si>
  <si>
    <t>江南市</t>
  </si>
  <si>
    <t>清須市</t>
  </si>
  <si>
    <t>西尾市</t>
  </si>
  <si>
    <t>設楽町</t>
  </si>
  <si>
    <t>大治町</t>
  </si>
  <si>
    <t>知立市</t>
  </si>
  <si>
    <t>津島市</t>
  </si>
  <si>
    <t>飛島村</t>
  </si>
  <si>
    <t>扶桑町</t>
  </si>
  <si>
    <t>碧南市</t>
  </si>
  <si>
    <t>豊根村</t>
  </si>
  <si>
    <t>豊山町</t>
  </si>
  <si>
    <t>豊川市</t>
  </si>
  <si>
    <t>豊明市</t>
  </si>
  <si>
    <t>北名古屋市</t>
  </si>
  <si>
    <t>あま</t>
    <phoneticPr fontId="2"/>
  </si>
  <si>
    <t>あぐい</t>
    <phoneticPr fontId="2"/>
  </si>
  <si>
    <t>あいさい</t>
    <phoneticPr fontId="2"/>
  </si>
  <si>
    <t>あんじょう</t>
    <phoneticPr fontId="2"/>
  </si>
  <si>
    <t>いちのみや</t>
    <phoneticPr fontId="2"/>
  </si>
  <si>
    <t>いなざわ</t>
    <phoneticPr fontId="2"/>
  </si>
  <si>
    <t>いわくら</t>
    <phoneticPr fontId="2"/>
  </si>
  <si>
    <t>いぬやま</t>
    <phoneticPr fontId="2"/>
  </si>
  <si>
    <t>おかざき</t>
    <phoneticPr fontId="2"/>
  </si>
  <si>
    <t>かにえ</t>
    <phoneticPr fontId="2"/>
  </si>
  <si>
    <t>がまごおり</t>
    <phoneticPr fontId="2"/>
  </si>
  <si>
    <t>かりや</t>
    <phoneticPr fontId="2"/>
  </si>
  <si>
    <t>こうだ</t>
    <phoneticPr fontId="2"/>
  </si>
  <si>
    <t>こうなん</t>
    <phoneticPr fontId="2"/>
  </si>
  <si>
    <t>たかはま</t>
    <phoneticPr fontId="2"/>
  </si>
  <si>
    <t>みよし</t>
    <phoneticPr fontId="2"/>
  </si>
  <si>
    <t>かすがい</t>
    <phoneticPr fontId="2"/>
  </si>
  <si>
    <t>こまき</t>
    <phoneticPr fontId="2"/>
  </si>
  <si>
    <t>とこなめ</t>
    <phoneticPr fontId="2"/>
  </si>
  <si>
    <t>しんしろ</t>
    <phoneticPr fontId="2"/>
  </si>
  <si>
    <t>せと</t>
    <phoneticPr fontId="2"/>
  </si>
  <si>
    <t>きよす</t>
    <phoneticPr fontId="2"/>
  </si>
  <si>
    <t>にしお</t>
    <phoneticPr fontId="2"/>
  </si>
  <si>
    <t>したら</t>
    <phoneticPr fontId="2"/>
  </si>
  <si>
    <t>おおぐち</t>
    <phoneticPr fontId="2"/>
  </si>
  <si>
    <t>おおはる</t>
    <phoneticPr fontId="2"/>
  </si>
  <si>
    <t>おおぶ</t>
    <phoneticPr fontId="2"/>
  </si>
  <si>
    <t>ちた</t>
    <phoneticPr fontId="2"/>
  </si>
  <si>
    <t>ちりゅう</t>
    <phoneticPr fontId="2"/>
  </si>
  <si>
    <t>ながくて</t>
    <phoneticPr fontId="2"/>
  </si>
  <si>
    <t>つしま</t>
    <phoneticPr fontId="2"/>
  </si>
  <si>
    <t>たはら</t>
    <phoneticPr fontId="2"/>
  </si>
  <si>
    <t>ひがしうら</t>
    <phoneticPr fontId="2"/>
  </si>
  <si>
    <t>とうえい</t>
    <phoneticPr fontId="2"/>
  </si>
  <si>
    <t>とうかい</t>
    <phoneticPr fontId="2"/>
  </si>
  <si>
    <t>とうごう</t>
    <phoneticPr fontId="2"/>
  </si>
  <si>
    <t>みなみちた</t>
    <phoneticPr fontId="2"/>
  </si>
  <si>
    <t>にっしん</t>
    <phoneticPr fontId="2"/>
  </si>
  <si>
    <t>はんだ</t>
    <phoneticPr fontId="2"/>
  </si>
  <si>
    <t>とびしま</t>
    <phoneticPr fontId="2"/>
  </si>
  <si>
    <t>おわりあさひ</t>
    <phoneticPr fontId="2"/>
  </si>
  <si>
    <t>びはま</t>
    <phoneticPr fontId="2"/>
  </si>
  <si>
    <t>ふそう</t>
    <phoneticPr fontId="2"/>
  </si>
  <si>
    <t>へきなん</t>
    <phoneticPr fontId="2"/>
  </si>
  <si>
    <t>とよはし</t>
    <phoneticPr fontId="2"/>
  </si>
  <si>
    <t>とよね</t>
    <phoneticPr fontId="2"/>
  </si>
  <si>
    <t>とよやま</t>
    <phoneticPr fontId="2"/>
  </si>
  <si>
    <t>とよかわ</t>
    <phoneticPr fontId="2"/>
  </si>
  <si>
    <t>とよあけ</t>
    <phoneticPr fontId="2"/>
  </si>
  <si>
    <t>きたなごや</t>
    <phoneticPr fontId="2"/>
  </si>
  <si>
    <t>なごや</t>
    <phoneticPr fontId="2"/>
  </si>
  <si>
    <t>やとみ</t>
    <phoneticPr fontId="2"/>
  </si>
  <si>
    <t>武豊町</t>
    <phoneticPr fontId="2"/>
  </si>
  <si>
    <t>たけとよ</t>
    <phoneticPr fontId="2"/>
  </si>
  <si>
    <t>はい</t>
    <phoneticPr fontId="2"/>
  </si>
  <si>
    <t>いいえ</t>
    <phoneticPr fontId="2"/>
  </si>
  <si>
    <t>不明</t>
  </si>
  <si>
    <t>不明</t>
    <phoneticPr fontId="2"/>
  </si>
  <si>
    <t>奥山</t>
    <rPh sb="0" eb="2">
      <t>オクヤマ</t>
    </rPh>
    <phoneticPr fontId="2"/>
  </si>
  <si>
    <t>里地・里山</t>
    <rPh sb="0" eb="2">
      <t>サトチ</t>
    </rPh>
    <rPh sb="3" eb="5">
      <t>サトヤマ</t>
    </rPh>
    <phoneticPr fontId="2"/>
  </si>
  <si>
    <t>田園</t>
    <rPh sb="0" eb="2">
      <t>デンエン</t>
    </rPh>
    <phoneticPr fontId="2"/>
  </si>
  <si>
    <t>都市</t>
    <rPh sb="0" eb="2">
      <t>トシ</t>
    </rPh>
    <phoneticPr fontId="2"/>
  </si>
  <si>
    <t>沿岸</t>
    <rPh sb="0" eb="2">
      <t>エンガン</t>
    </rPh>
    <phoneticPr fontId="2"/>
  </si>
  <si>
    <t>はい</t>
    <phoneticPr fontId="2"/>
  </si>
  <si>
    <t>いいえ</t>
    <phoneticPr fontId="2"/>
  </si>
  <si>
    <t>高さ8m以上の木</t>
    <phoneticPr fontId="2"/>
  </si>
  <si>
    <t>高さ3.5m以上8m未満の木</t>
    <phoneticPr fontId="2"/>
  </si>
  <si>
    <t>果樹園</t>
    <phoneticPr fontId="2"/>
  </si>
  <si>
    <t>竹林</t>
    <phoneticPr fontId="2"/>
  </si>
  <si>
    <t>畑地</t>
    <phoneticPr fontId="2"/>
  </si>
  <si>
    <t>芝地</t>
    <phoneticPr fontId="2"/>
  </si>
  <si>
    <t>【アカマツ】・コナラ・ソヨゴ・リョウブ</t>
    <phoneticPr fontId="2"/>
  </si>
  <si>
    <t>【アカマツ】・ホオノキ・コナラ・アカシデ</t>
    <phoneticPr fontId="2"/>
  </si>
  <si>
    <t>【ケヤキ】・アラカシ・タブノキ・イロハモミジ・ヤブツバキ</t>
    <phoneticPr fontId="2"/>
  </si>
  <si>
    <t>【コナラ】・リョウブ・アラカシ・タカノツメ</t>
    <phoneticPr fontId="2"/>
  </si>
  <si>
    <t>【シラカシ】・アラカシ・サカキ・ツブラジイ</t>
    <phoneticPr fontId="2"/>
  </si>
  <si>
    <t>【ススキ】・【ネザサ】・【チガヤ】</t>
    <phoneticPr fontId="2"/>
  </si>
  <si>
    <t>【スダジイ】・ヒメユズリハ・クロバイ・イヌマキ</t>
    <phoneticPr fontId="2"/>
  </si>
  <si>
    <t>【スダジイ】・ヤマモモ・モチノキ・タブノキ・ヤブツバキ</t>
    <phoneticPr fontId="2"/>
  </si>
  <si>
    <t>【タブノキ】・ヤブニッケイ・ムクノキ・ヤブツバキ・モチノキ</t>
    <phoneticPr fontId="2"/>
  </si>
  <si>
    <t>【ツブラジイ】・アラカシ・タカノツメ・サカキ</t>
    <phoneticPr fontId="2"/>
  </si>
  <si>
    <t>【ブナ】・ミズナラ・ミズメ・コハウチワカエデ・リョウブ</t>
    <phoneticPr fontId="2"/>
  </si>
  <si>
    <t>【ミズナラ】・ホオノキ・クリ・リョウブ・ヒトツバカエデ</t>
    <phoneticPr fontId="2"/>
  </si>
  <si>
    <t>【ムクノキ】・エノキ・ケヤキ・ヤブツバキ・ヤブニッケイ</t>
    <phoneticPr fontId="2"/>
  </si>
  <si>
    <t>【モミ】・ウラジロガシ・アカガシ・シキミ</t>
    <phoneticPr fontId="2"/>
  </si>
  <si>
    <t>その他の広葉樹</t>
    <phoneticPr fontId="2"/>
  </si>
  <si>
    <t>その他の針葉樹</t>
    <phoneticPr fontId="2"/>
  </si>
  <si>
    <t>不明</t>
    <phoneticPr fontId="2"/>
  </si>
  <si>
    <t>ほぼ無し</t>
    <phoneticPr fontId="2"/>
  </si>
  <si>
    <t>1/4程度</t>
    <phoneticPr fontId="2"/>
  </si>
  <si>
    <t>1/2程度</t>
    <phoneticPr fontId="2"/>
  </si>
  <si>
    <t>3/4程度</t>
    <phoneticPr fontId="2"/>
  </si>
  <si>
    <t>ほぼ全て</t>
    <phoneticPr fontId="2"/>
  </si>
  <si>
    <t>有り</t>
    <rPh sb="0" eb="1">
      <t>ア</t>
    </rPh>
    <phoneticPr fontId="2"/>
  </si>
  <si>
    <t>無し</t>
    <rPh sb="0" eb="1">
      <t>ナ</t>
    </rPh>
    <phoneticPr fontId="2"/>
  </si>
  <si>
    <t>種類</t>
    <rPh sb="0" eb="2">
      <t>シュルイ</t>
    </rPh>
    <phoneticPr fontId="2"/>
  </si>
  <si>
    <t>【ムクノキ】・エノキ・ケヤキ・ヤブツバキ・ヤブニッケイ</t>
  </si>
  <si>
    <t>上層点数</t>
    <rPh sb="0" eb="2">
      <t>ジョウソウ</t>
    </rPh>
    <rPh sb="1" eb="2">
      <t>ソウ</t>
    </rPh>
    <rPh sb="2" eb="4">
      <t>テンスウ</t>
    </rPh>
    <phoneticPr fontId="2"/>
  </si>
  <si>
    <t>在来種加点</t>
    <rPh sb="0" eb="3">
      <t>ザイライシュ</t>
    </rPh>
    <rPh sb="3" eb="5">
      <t>カテン</t>
    </rPh>
    <phoneticPr fontId="2"/>
  </si>
  <si>
    <t>中層加点</t>
    <rPh sb="0" eb="2">
      <t>チュウソウ</t>
    </rPh>
    <rPh sb="2" eb="4">
      <t>カテン</t>
    </rPh>
    <phoneticPr fontId="2"/>
  </si>
  <si>
    <t>樹林点数</t>
    <rPh sb="0" eb="2">
      <t>ジュリン</t>
    </rPh>
    <rPh sb="2" eb="4">
      <t>テンスウ</t>
    </rPh>
    <phoneticPr fontId="2"/>
  </si>
  <si>
    <t>湿性環境
点数</t>
    <rPh sb="0" eb="2">
      <t>シッセイ</t>
    </rPh>
    <rPh sb="2" eb="4">
      <t>カンキョウ</t>
    </rPh>
    <rPh sb="5" eb="7">
      <t>テンスウ</t>
    </rPh>
    <phoneticPr fontId="2"/>
  </si>
  <si>
    <t>上層の種特定（在来種）</t>
    <rPh sb="0" eb="2">
      <t>ジョウソウ</t>
    </rPh>
    <rPh sb="3" eb="4">
      <t>シュ</t>
    </rPh>
    <rPh sb="4" eb="6">
      <t>トクテイ</t>
    </rPh>
    <rPh sb="7" eb="10">
      <t>ザイライシュ</t>
    </rPh>
    <phoneticPr fontId="2"/>
  </si>
  <si>
    <t>上層の植生</t>
    <rPh sb="0" eb="2">
      <t>ジョウソウ</t>
    </rPh>
    <rPh sb="3" eb="5">
      <t>ショクセイ</t>
    </rPh>
    <phoneticPr fontId="17"/>
  </si>
  <si>
    <t>【スギ】・【ヒノキ】・【サワラ】</t>
    <phoneticPr fontId="2"/>
  </si>
  <si>
    <t>現況（事業前）において適切な管理がなされていないため、将来、その自然の質が大幅に劣化する可能性の高い土地はありますか？</t>
    <rPh sb="11" eb="13">
      <t>テキセツ</t>
    </rPh>
    <rPh sb="27" eb="28">
      <t>ショウ</t>
    </rPh>
    <rPh sb="28" eb="29">
      <t>ライ</t>
    </rPh>
    <rPh sb="32" eb="34">
      <t>シゼン</t>
    </rPh>
    <rPh sb="35" eb="36">
      <t>シツ</t>
    </rPh>
    <rPh sb="37" eb="39">
      <t>オオハバ</t>
    </rPh>
    <rPh sb="40" eb="42">
      <t>レッカ</t>
    </rPh>
    <rPh sb="44" eb="47">
      <t>カノウセイ</t>
    </rPh>
    <rPh sb="48" eb="49">
      <t>タカ</t>
    </rPh>
    <rPh sb="50" eb="52">
      <t>トチ</t>
    </rPh>
    <phoneticPr fontId="2"/>
  </si>
  <si>
    <t>区画
番号</t>
    <rPh sb="0" eb="2">
      <t>クカク</t>
    </rPh>
    <rPh sb="3" eb="5">
      <t>バンゴウ</t>
    </rPh>
    <phoneticPr fontId="2"/>
  </si>
  <si>
    <t>⑩人工護岸
の割合</t>
    <rPh sb="1" eb="3">
      <t>ジンコウ</t>
    </rPh>
    <rPh sb="3" eb="5">
      <t>ゴガン</t>
    </rPh>
    <rPh sb="7" eb="9">
      <t>ワリアイ</t>
    </rPh>
    <phoneticPr fontId="2"/>
  </si>
  <si>
    <t>⑨中層
の有無</t>
    <rPh sb="1" eb="2">
      <t>チュウ</t>
    </rPh>
    <rPh sb="2" eb="3">
      <t>ソウ</t>
    </rPh>
    <rPh sb="5" eb="7">
      <t>ウム</t>
    </rPh>
    <phoneticPr fontId="2"/>
  </si>
  <si>
    <t>A1</t>
    <phoneticPr fontId="2"/>
  </si>
  <si>
    <t>A2</t>
  </si>
  <si>
    <t>A3</t>
  </si>
  <si>
    <t>A4</t>
  </si>
  <si>
    <t>A5</t>
  </si>
  <si>
    <t>A6</t>
  </si>
  <si>
    <t>B1</t>
    <phoneticPr fontId="2"/>
  </si>
  <si>
    <t>B2</t>
  </si>
  <si>
    <t>B3</t>
  </si>
  <si>
    <t>B4</t>
  </si>
  <si>
    <t>B5</t>
  </si>
  <si>
    <t>B6</t>
  </si>
  <si>
    <t>B7</t>
  </si>
  <si>
    <t>B8</t>
  </si>
  <si>
    <t>⑥環境タイプⅡによる点数</t>
    <rPh sb="1" eb="3">
      <t>カンキョウ</t>
    </rPh>
    <rPh sb="10" eb="12">
      <t>テンスウ</t>
    </rPh>
    <phoneticPr fontId="2"/>
  </si>
  <si>
    <t>環境タイプⅡ</t>
    <rPh sb="0" eb="2">
      <t>カンキョウ</t>
    </rPh>
    <phoneticPr fontId="17"/>
  </si>
  <si>
    <t>湿性環境</t>
    <rPh sb="0" eb="2">
      <t>シッセイ</t>
    </rPh>
    <rPh sb="2" eb="4">
      <t>カンキョウ</t>
    </rPh>
    <phoneticPr fontId="17"/>
  </si>
  <si>
    <t>樹林</t>
    <rPh sb="0" eb="2">
      <t>ジュリン</t>
    </rPh>
    <phoneticPr fontId="17"/>
  </si>
  <si>
    <t>草地</t>
    <rPh sb="0" eb="2">
      <t>クサチ</t>
    </rPh>
    <phoneticPr fontId="17"/>
  </si>
  <si>
    <t>⑪底張り
の割合</t>
    <rPh sb="1" eb="2">
      <t>ソコ</t>
    </rPh>
    <rPh sb="2" eb="3">
      <t>バ</t>
    </rPh>
    <rPh sb="6" eb="8">
      <t>ワリアイ</t>
    </rPh>
    <phoneticPr fontId="2"/>
  </si>
  <si>
    <t>ほぼ無し</t>
  </si>
  <si>
    <t>3/4程度</t>
  </si>
  <si>
    <t>整備水田</t>
    <rPh sb="0" eb="2">
      <t>セイビ</t>
    </rPh>
    <phoneticPr fontId="2"/>
  </si>
  <si>
    <t>未整備水田</t>
    <rPh sb="0" eb="3">
      <t>ミセイビ</t>
    </rPh>
    <rPh sb="3" eb="4">
      <t>ミズ</t>
    </rPh>
    <phoneticPr fontId="2"/>
  </si>
  <si>
    <t>整備水田(冬期湛水)</t>
    <rPh sb="0" eb="2">
      <t>セイビ</t>
    </rPh>
    <rPh sb="5" eb="7">
      <t>トウキ</t>
    </rPh>
    <rPh sb="7" eb="8">
      <t>タタ</t>
    </rPh>
    <rPh sb="8" eb="9">
      <t>ミズ</t>
    </rPh>
    <phoneticPr fontId="2"/>
  </si>
  <si>
    <t>未整備水田(冬期湛水)</t>
    <rPh sb="0" eb="1">
      <t>ミ</t>
    </rPh>
    <rPh sb="1" eb="3">
      <t>セイビ</t>
    </rPh>
    <rPh sb="6" eb="8">
      <t>トウキ</t>
    </rPh>
    <rPh sb="8" eb="9">
      <t>タタ</t>
    </rPh>
    <rPh sb="9" eb="10">
      <t>ミズ</t>
    </rPh>
    <phoneticPr fontId="2"/>
  </si>
  <si>
    <t>低木・草地の観点で評価</t>
    <phoneticPr fontId="2"/>
  </si>
  <si>
    <t>種類</t>
    <rPh sb="0" eb="2">
      <t>シュルイ</t>
    </rPh>
    <phoneticPr fontId="17"/>
  </si>
  <si>
    <t>事業前樹林</t>
    <rPh sb="0" eb="2">
      <t>ジギョウ</t>
    </rPh>
    <rPh sb="2" eb="3">
      <t>マエ</t>
    </rPh>
    <rPh sb="3" eb="5">
      <t>ジュリン</t>
    </rPh>
    <phoneticPr fontId="17"/>
  </si>
  <si>
    <t>事業前草地</t>
    <rPh sb="0" eb="2">
      <t>ジギョウ</t>
    </rPh>
    <rPh sb="2" eb="3">
      <t>マエ</t>
    </rPh>
    <rPh sb="3" eb="5">
      <t>クサチ</t>
    </rPh>
    <phoneticPr fontId="17"/>
  </si>
  <si>
    <t>事業後樹林</t>
    <rPh sb="0" eb="2">
      <t>ジギョウ</t>
    </rPh>
    <rPh sb="2" eb="3">
      <t>ゴ</t>
    </rPh>
    <rPh sb="3" eb="5">
      <t>ジュリン</t>
    </rPh>
    <phoneticPr fontId="17"/>
  </si>
  <si>
    <t>事業後草地</t>
    <rPh sb="0" eb="2">
      <t>ジギョウ</t>
    </rPh>
    <rPh sb="2" eb="3">
      <t>ゴ</t>
    </rPh>
    <rPh sb="3" eb="5">
      <t>クサチ</t>
    </rPh>
    <phoneticPr fontId="17"/>
  </si>
  <si>
    <t>その他の低木・草</t>
    <phoneticPr fontId="2"/>
  </si>
  <si>
    <t>草地点数</t>
    <rPh sb="0" eb="2">
      <t>クサチ</t>
    </rPh>
    <rPh sb="2" eb="4">
      <t>テンスウ</t>
    </rPh>
    <phoneticPr fontId="2"/>
  </si>
  <si>
    <t>⑦の観点から、上層が草本の場合=0</t>
    <rPh sb="2" eb="4">
      <t>カンテン</t>
    </rPh>
    <rPh sb="7" eb="9">
      <t>ジョウソウ</t>
    </rPh>
    <rPh sb="10" eb="12">
      <t>ソウホン</t>
    </rPh>
    <rPh sb="13" eb="15">
      <t>バアイ</t>
    </rPh>
    <phoneticPr fontId="2"/>
  </si>
  <si>
    <t>⑦の観点から、上層の種特定の上層点数</t>
    <rPh sb="7" eb="9">
      <t>ジョウソウ</t>
    </rPh>
    <rPh sb="10" eb="11">
      <t>シュ</t>
    </rPh>
    <rPh sb="11" eb="13">
      <t>トクテイ</t>
    </rPh>
    <rPh sb="14" eb="16">
      <t>ジョウソウ</t>
    </rPh>
    <rPh sb="16" eb="18">
      <t>テンスウ</t>
    </rPh>
    <phoneticPr fontId="2"/>
  </si>
  <si>
    <t>点数特定できず</t>
    <rPh sb="0" eb="2">
      <t>テンスウ</t>
    </rPh>
    <rPh sb="2" eb="4">
      <t>トクテイ</t>
    </rPh>
    <phoneticPr fontId="17"/>
  </si>
  <si>
    <t>水田以外の湿性環境</t>
    <rPh sb="0" eb="2">
      <t>スイデン</t>
    </rPh>
    <rPh sb="2" eb="4">
      <t>イガイ</t>
    </rPh>
    <rPh sb="5" eb="7">
      <t>シッセイ</t>
    </rPh>
    <rPh sb="7" eb="9">
      <t>カンキョウ</t>
    </rPh>
    <phoneticPr fontId="17"/>
  </si>
  <si>
    <t>【タブノキ】・ヤブニッケイ・ムクノキ・ヤブツバキ・モチノキ</t>
  </si>
  <si>
    <t>イノデ－タブノキ群集</t>
    <rPh sb="8" eb="10">
      <t>グンシュウ</t>
    </rPh>
    <phoneticPr fontId="2"/>
  </si>
  <si>
    <t>イノデ－タブノキ</t>
    <phoneticPr fontId="2"/>
  </si>
  <si>
    <t>ホソバカナワラビ-スダジイ</t>
  </si>
  <si>
    <t>サカキ-ツブラジイ</t>
  </si>
  <si>
    <t>ヤブコウジ-スダジイ</t>
  </si>
  <si>
    <t>シラカシ</t>
  </si>
  <si>
    <t>イロハモミジ-ケヤキ</t>
  </si>
  <si>
    <t>シキミ-モミ</t>
  </si>
  <si>
    <t>ムクノキ-エノキ</t>
  </si>
  <si>
    <t>シラキ-ブナ</t>
  </si>
  <si>
    <t>クリ-ミズナラ</t>
  </si>
  <si>
    <t>クヌギ-コナラ・クリ-コナラ</t>
    <phoneticPr fontId="2"/>
  </si>
  <si>
    <t>ケネザサ-コナラ</t>
  </si>
  <si>
    <t>ヤマツツジ-アカマツ</t>
  </si>
  <si>
    <t>モチツツジ-アカマツ</t>
  </si>
  <si>
    <t>【ミズナラ】・ホオノキ・クリ・リョウブ・ヒトツバカエデ</t>
  </si>
  <si>
    <t>【モミ】・ウラジロガシ・アカガシ・シキミ</t>
  </si>
  <si>
    <t>【アカマツ】・コナラ・ソヨゴ・リョウブ</t>
  </si>
  <si>
    <t>【シラカシ】・アラカシ・サカキ・ツブラジイ</t>
  </si>
  <si>
    <t>【アカマツ】・ホオノキ・コナラ・アカシデ</t>
  </si>
  <si>
    <t>【ケヤキ】・アラカシ・タブノキ・イロハモミジ・ヤブツバキ</t>
  </si>
  <si>
    <t>【コナラ】・アベマキ・リョウブ・タカノツメ</t>
  </si>
  <si>
    <t>【コナラ】・リョウブ・アラカシ・タカノツメ</t>
  </si>
  <si>
    <t>【スダジイ】・ヒメユズリハ・クロバイ・イヌマキ</t>
  </si>
  <si>
    <t>【スダジイ】・ヤマモモ・モチノキ・タブノキ・ヤブツバキ</t>
  </si>
  <si>
    <t>【ツブラジイ】・アラカシ・タカノツメ・サカキ</t>
  </si>
  <si>
    <t>【ブナ】・ミズナラ・ミズメ・コハウチワカエデ・リョウブ</t>
  </si>
  <si>
    <t>モチツツジ-アカマツ群集</t>
    <rPh sb="10" eb="12">
      <t>グンシュウ</t>
    </rPh>
    <phoneticPr fontId="2"/>
  </si>
  <si>
    <t>ヤマツツジ-アカマツ群集</t>
    <rPh sb="10" eb="12">
      <t>グンシュウ</t>
    </rPh>
    <phoneticPr fontId="2"/>
  </si>
  <si>
    <t>イロハモミジ-ケヤキ群集</t>
  </si>
  <si>
    <t>ケネザサ-コナラ群集
【沿海～山地中腹】</t>
  </si>
  <si>
    <t>クヌギ-コナラ・クリ-コナラ群集</t>
    <phoneticPr fontId="2"/>
  </si>
  <si>
    <t>シラカシ群集</t>
    <rPh sb="4" eb="6">
      <t>グンシュウ</t>
    </rPh>
    <phoneticPr fontId="2"/>
  </si>
  <si>
    <t>ススキ草地</t>
    <rPh sb="3" eb="5">
      <t>ソウチ</t>
    </rPh>
    <phoneticPr fontId="2"/>
  </si>
  <si>
    <t>ホソバカナワラビ－スダジイ群集</t>
    <rPh sb="13" eb="15">
      <t>グンシュウ</t>
    </rPh>
    <phoneticPr fontId="2"/>
  </si>
  <si>
    <t>ヤブコウジ－スダジイ群集</t>
    <rPh sb="10" eb="12">
      <t>グンシュウ</t>
    </rPh>
    <phoneticPr fontId="2"/>
  </si>
  <si>
    <t>カナメモチ－コジイ(サカキ-ツブラジイ)群集</t>
    <rPh sb="20" eb="22">
      <t>グンシュウ</t>
    </rPh>
    <phoneticPr fontId="2"/>
  </si>
  <si>
    <t>シラキ－ブナ群集</t>
    <rPh sb="6" eb="8">
      <t>グンシュウ</t>
    </rPh>
    <phoneticPr fontId="2"/>
  </si>
  <si>
    <t>クリ-ミズナラ群集</t>
    <rPh sb="7" eb="9">
      <t>グンシュウ</t>
    </rPh>
    <phoneticPr fontId="2"/>
  </si>
  <si>
    <t>ムクノキ－エノキ群集</t>
    <rPh sb="8" eb="10">
      <t>グンシュウ</t>
    </rPh>
    <phoneticPr fontId="2"/>
  </si>
  <si>
    <t>シキミ－モミ群集</t>
    <rPh sb="6" eb="8">
      <t>グンシュウ</t>
    </rPh>
    <phoneticPr fontId="2"/>
  </si>
  <si>
    <t>推奨種</t>
    <rPh sb="0" eb="2">
      <t>スイショウ</t>
    </rPh>
    <rPh sb="2" eb="3">
      <t>シュ</t>
    </rPh>
    <phoneticPr fontId="2"/>
  </si>
  <si>
    <t>【ススキ】・【ネザサ】・【チガヤ】</t>
  </si>
  <si>
    <t>j4</t>
  </si>
  <si>
    <t>h</t>
  </si>
  <si>
    <t>abcdeg3</t>
  </si>
  <si>
    <t>abcd2</t>
  </si>
  <si>
    <t>b</t>
  </si>
  <si>
    <t>c</t>
  </si>
  <si>
    <t>d</t>
  </si>
  <si>
    <t>a</t>
  </si>
  <si>
    <t>eg2</t>
  </si>
  <si>
    <t>e</t>
  </si>
  <si>
    <t>f</t>
  </si>
  <si>
    <t>g</t>
  </si>
  <si>
    <t>i3</t>
  </si>
  <si>
    <t>i</t>
  </si>
  <si>
    <t>i2</t>
  </si>
  <si>
    <t>植物種セット</t>
    <rPh sb="0" eb="2">
      <t>ショクブツ</t>
    </rPh>
    <rPh sb="2" eb="3">
      <t>シュ</t>
    </rPh>
    <phoneticPr fontId="17"/>
  </si>
  <si>
    <t>目標環境タイプ</t>
    <rPh sb="0" eb="2">
      <t>モクヒョウ</t>
    </rPh>
    <rPh sb="2" eb="4">
      <t>カンキョウ</t>
    </rPh>
    <phoneticPr fontId="17"/>
  </si>
  <si>
    <t>低木・草地</t>
    <rPh sb="0" eb="2">
      <t>テイボク</t>
    </rPh>
    <rPh sb="3" eb="5">
      <t>クサチ</t>
    </rPh>
    <phoneticPr fontId="17"/>
  </si>
  <si>
    <t>空欄=70</t>
    <rPh sb="0" eb="2">
      <t>クウラン</t>
    </rPh>
    <phoneticPr fontId="2"/>
  </si>
  <si>
    <t>該当</t>
  </si>
  <si>
    <t>高さ3.5m未満の木</t>
  </si>
  <si>
    <t>高さ3.5m未満の木</t>
    <phoneticPr fontId="2"/>
  </si>
  <si>
    <t>乾性草地</t>
    <rPh sb="0" eb="2">
      <t>カンセイ</t>
    </rPh>
    <phoneticPr fontId="2"/>
  </si>
  <si>
    <t>⑦の観点から、上層の種=空欄の上層点数</t>
    <rPh sb="7" eb="9">
      <t>ジョウソウ</t>
    </rPh>
    <rPh sb="10" eb="11">
      <t>シュ</t>
    </rPh>
    <rPh sb="12" eb="14">
      <t>クウラン</t>
    </rPh>
    <rPh sb="15" eb="17">
      <t>ジョウソウ</t>
    </rPh>
    <rPh sb="17" eb="19">
      <t>テンスウ</t>
    </rPh>
    <phoneticPr fontId="2"/>
  </si>
  <si>
    <t>空欄=0</t>
    <rPh sb="0" eb="2">
      <t>クウラン</t>
    </rPh>
    <phoneticPr fontId="2"/>
  </si>
  <si>
    <t>点数</t>
    <rPh sb="0" eb="2">
      <t>テンスウ</t>
    </rPh>
    <phoneticPr fontId="2"/>
  </si>
  <si>
    <r>
      <t xml:space="preserve">4. </t>
    </r>
    <r>
      <rPr>
        <sz val="11"/>
        <color indexed="8"/>
        <rFont val="ＭＳ ゴシック"/>
        <family val="3"/>
        <charset val="128"/>
      </rPr>
      <t>行為を実施する場所について、過去の履歴を分かる範囲で入力してください。</t>
    </r>
    <rPh sb="3" eb="5">
      <t>コウイ</t>
    </rPh>
    <rPh sb="6" eb="8">
      <t>ジッシ</t>
    </rPh>
    <rPh sb="10" eb="12">
      <t>バショ</t>
    </rPh>
    <rPh sb="17" eb="19">
      <t>カコ</t>
    </rPh>
    <rPh sb="20" eb="22">
      <t>リレキ</t>
    </rPh>
    <rPh sb="23" eb="24">
      <t>ワ</t>
    </rPh>
    <rPh sb="26" eb="28">
      <t>ハンイ</t>
    </rPh>
    <rPh sb="29" eb="31">
      <t>ニュウリョク</t>
    </rPh>
    <phoneticPr fontId="2"/>
  </si>
  <si>
    <t>環境タイプⅠ</t>
    <rPh sb="0" eb="2">
      <t>カンキョウ</t>
    </rPh>
    <phoneticPr fontId="17"/>
  </si>
  <si>
    <t>④目標環境タイプと合致していなければ0点</t>
    <rPh sb="1" eb="5">
      <t>モクヒョウカンキョウ</t>
    </rPh>
    <rPh sb="9" eb="11">
      <t>ガッチ</t>
    </rPh>
    <rPh sb="19" eb="20">
      <t>テン</t>
    </rPh>
    <phoneticPr fontId="2"/>
  </si>
  <si>
    <t>⑦上層の植生in市町村</t>
    <rPh sb="1" eb="3">
      <t>ジョウソウ</t>
    </rPh>
    <rPh sb="4" eb="6">
      <t>ショクセイ</t>
    </rPh>
    <rPh sb="8" eb="11">
      <t>シチョウソン</t>
    </rPh>
    <phoneticPr fontId="2"/>
  </si>
  <si>
    <t>②環境タイプⅠが</t>
    <rPh sb="1" eb="3">
      <t>カンキョウ</t>
    </rPh>
    <phoneticPr fontId="2"/>
  </si>
  <si>
    <t>⑥の観点から、上層が亜高木=0.375,高木=1,草本=1</t>
    <rPh sb="2" eb="4">
      <t>カンテン</t>
    </rPh>
    <rPh sb="7" eb="9">
      <t>ジョウソウ</t>
    </rPh>
    <rPh sb="10" eb="11">
      <t>ア</t>
    </rPh>
    <rPh sb="11" eb="13">
      <t>コウボク</t>
    </rPh>
    <rPh sb="20" eb="22">
      <t>コウボク</t>
    </rPh>
    <rPh sb="25" eb="27">
      <t>ソウホン</t>
    </rPh>
    <phoneticPr fontId="2"/>
  </si>
  <si>
    <t>不明の場合：樹林＝40、草地＝45</t>
    <rPh sb="0" eb="2">
      <t>フメイ</t>
    </rPh>
    <rPh sb="3" eb="5">
      <t>バアイ</t>
    </rPh>
    <rPh sb="6" eb="8">
      <t>ジュリン</t>
    </rPh>
    <rPh sb="12" eb="14">
      <t>クサチ</t>
    </rPh>
    <phoneticPr fontId="2"/>
  </si>
  <si>
    <t>事業前</t>
    <rPh sb="0" eb="2">
      <t>ジギョウ</t>
    </rPh>
    <rPh sb="2" eb="3">
      <t>マエ</t>
    </rPh>
    <phoneticPr fontId="3"/>
  </si>
  <si>
    <t>事業後</t>
    <rPh sb="0" eb="2">
      <t>ジギョウ</t>
    </rPh>
    <rPh sb="2" eb="3">
      <t>ゴ</t>
    </rPh>
    <phoneticPr fontId="3"/>
  </si>
  <si>
    <t>不明の場合：樹林＝5、草地＝10</t>
    <rPh sb="0" eb="2">
      <t>フメイ</t>
    </rPh>
    <rPh sb="3" eb="5">
      <t>バアイ</t>
    </rPh>
    <rPh sb="6" eb="8">
      <t>ジュリン</t>
    </rPh>
    <rPh sb="11" eb="13">
      <t>クサチ</t>
    </rPh>
    <phoneticPr fontId="2"/>
  </si>
  <si>
    <t>空欄の場合：樹林＝40、草地＝45</t>
    <rPh sb="0" eb="2">
      <t>クウラン</t>
    </rPh>
    <rPh sb="3" eb="5">
      <t>バアイ</t>
    </rPh>
    <rPh sb="6" eb="8">
      <t>ジュリン</t>
    </rPh>
    <rPh sb="12" eb="14">
      <t>クサチ</t>
    </rPh>
    <phoneticPr fontId="2"/>
  </si>
  <si>
    <t>空欄の場合：樹林＝5、草地＝10</t>
    <rPh sb="0" eb="2">
      <t>クウラン</t>
    </rPh>
    <rPh sb="3" eb="5">
      <t>バアイ</t>
    </rPh>
    <rPh sb="6" eb="8">
      <t>ジュリン</t>
    </rPh>
    <rPh sb="11" eb="13">
      <t>クサチ</t>
    </rPh>
    <phoneticPr fontId="2"/>
  </si>
  <si>
    <t>ある（した）</t>
    <phoneticPr fontId="2"/>
  </si>
  <si>
    <t>ない（しなかった）</t>
    <phoneticPr fontId="2"/>
  </si>
  <si>
    <t>周辺の自然環境とのつながりを考慮して緑地や水辺を配置しましたか？</t>
    <rPh sb="5" eb="7">
      <t>カンキョウ</t>
    </rPh>
    <phoneticPr fontId="2"/>
  </si>
  <si>
    <r>
      <t>○</t>
    </r>
    <r>
      <rPr>
        <sz val="11"/>
        <color indexed="8"/>
        <rFont val="Arial"/>
        <family val="2"/>
      </rPr>
      <t xml:space="preserve"> </t>
    </r>
    <r>
      <rPr>
        <sz val="11"/>
        <color indexed="8"/>
        <rFont val="ＭＳ ゴシック"/>
        <family val="3"/>
        <charset val="128"/>
      </rPr>
      <t>このツールは、専門家でなくてもできる評価方法を用いて簡易に「点数付け」を行い、自然環境への影響の概要を把握したり、保全対策の目安を得たりすることを目的としています（一次評価）。人間の健康管理に例えれば、体温計や体重計、血圧計、視力検査表などで身体の状態を把握するようなものなので、本評価結果のみで生物多様性への影響や保全効果をすべて説明できるわけではありません。</t>
    </r>
    <phoneticPr fontId="2"/>
  </si>
  <si>
    <t>○ 評価に際しては、土地の分割・分類作業や、環境条件・面積などの入力が必要となるため、あらかじめ以下の地図や図面などをご用意ください。市民活動やＣＳＲ活動による取組を評価する場合は、手描きの簡単なものでも構いません。</t>
    <phoneticPr fontId="2"/>
  </si>
  <si>
    <t>①現況（事業前）における自然環境の状況が示された地図や図面</t>
    <phoneticPr fontId="2"/>
  </si>
  <si>
    <t>③将来（事業後）における自然環境の状況が示された地図や図面</t>
    <phoneticPr fontId="2"/>
  </si>
  <si>
    <t>自然度の高い林</t>
    <rPh sb="0" eb="2">
      <t>シゼン</t>
    </rPh>
    <rPh sb="2" eb="3">
      <t>ド</t>
    </rPh>
    <rPh sb="4" eb="5">
      <t>タカ</t>
    </rPh>
    <phoneticPr fontId="2"/>
  </si>
  <si>
    <t>自然度の高い草地</t>
    <rPh sb="0" eb="2">
      <t>シゼン</t>
    </rPh>
    <rPh sb="2" eb="3">
      <t>ド</t>
    </rPh>
    <rPh sb="4" eb="5">
      <t>タカ</t>
    </rPh>
    <rPh sb="6" eb="8">
      <t>クサチ</t>
    </rPh>
    <phoneticPr fontId="2"/>
  </si>
  <si>
    <t>その他の貴重な環境</t>
    <rPh sb="2" eb="3">
      <t>タ</t>
    </rPh>
    <rPh sb="4" eb="6">
      <t>キチョウ</t>
    </rPh>
    <rPh sb="7" eb="9">
      <t>カンキョウ</t>
    </rPh>
    <phoneticPr fontId="2"/>
  </si>
  <si>
    <t>不明</t>
    <rPh sb="0" eb="2">
      <t>フメイ</t>
    </rPh>
    <phoneticPr fontId="2"/>
  </si>
  <si>
    <t>分散せずに、まとまりを持って緑地や水辺を配置しましたか？</t>
    <phoneticPr fontId="2"/>
  </si>
  <si>
    <r>
      <t xml:space="preserve">1. </t>
    </r>
    <r>
      <rPr>
        <sz val="12"/>
        <rFont val="ＭＳ ゴシック"/>
        <family val="3"/>
        <charset val="128"/>
      </rPr>
      <t>合計面積および目標とする環境タイプについて</t>
    </r>
    <rPh sb="3" eb="5">
      <t>ゴウケイ</t>
    </rPh>
    <rPh sb="5" eb="7">
      <t>メンセキ</t>
    </rPh>
    <rPh sb="10" eb="12">
      <t>モクヒョウ</t>
    </rPh>
    <rPh sb="15" eb="17">
      <t>カンキョウ</t>
    </rPh>
    <phoneticPr fontId="2"/>
  </si>
  <si>
    <r>
      <t xml:space="preserve">4. </t>
    </r>
    <r>
      <rPr>
        <sz val="12"/>
        <rFont val="ＭＳ ゴシック"/>
        <family val="3"/>
        <charset val="128"/>
      </rPr>
      <t>貴重な環境の取り扱いについて</t>
    </r>
    <rPh sb="3" eb="5">
      <t>キチョウ</t>
    </rPh>
    <rPh sb="6" eb="8">
      <t>カンキョウ</t>
    </rPh>
    <rPh sb="9" eb="10">
      <t>ト</t>
    </rPh>
    <rPh sb="11" eb="12">
      <t>アツカ</t>
    </rPh>
    <rPh sb="13" eb="14">
      <t>カチ</t>
    </rPh>
    <phoneticPr fontId="2"/>
  </si>
  <si>
    <t>↓緑地緩和可能案件＝3、大規模行為届出制度案件＝2、その他の開発案件＝1、環境改善行為or不明行為or面積不一致＝0</t>
    <rPh sb="1" eb="3">
      <t>リョクチ</t>
    </rPh>
    <rPh sb="3" eb="5">
      <t>カンワ</t>
    </rPh>
    <rPh sb="5" eb="7">
      <t>カノウ</t>
    </rPh>
    <rPh sb="7" eb="9">
      <t>アンケン</t>
    </rPh>
    <rPh sb="12" eb="21">
      <t>ダイキボコウイトドケデセイド</t>
    </rPh>
    <rPh sb="21" eb="23">
      <t>アンケン</t>
    </rPh>
    <rPh sb="28" eb="29">
      <t>タ</t>
    </rPh>
    <rPh sb="30" eb="32">
      <t>カイハツ</t>
    </rPh>
    <rPh sb="32" eb="34">
      <t>アンケン</t>
    </rPh>
    <rPh sb="37" eb="43">
      <t>カンキョウカイゼンコウイ</t>
    </rPh>
    <rPh sb="45" eb="47">
      <t>フメイ</t>
    </rPh>
    <rPh sb="47" eb="49">
      <t>コウイ</t>
    </rPh>
    <rPh sb="51" eb="53">
      <t>メンセキ</t>
    </rPh>
    <rPh sb="53" eb="56">
      <t>フイッチ</t>
    </rPh>
    <phoneticPr fontId="2"/>
  </si>
  <si>
    <t>定量評価のねらい</t>
    <rPh sb="0" eb="2">
      <t>テイリョウ</t>
    </rPh>
    <rPh sb="2" eb="4">
      <t>ヒョウカ</t>
    </rPh>
    <phoneticPr fontId="2"/>
  </si>
  <si>
    <t>○ 自然環境の保全・再生の取組については、土地利用者、開発事業者、活動者など、地域の様々な主体の方々が、様々な場所で、様々な方法により進めていただいています。</t>
    <phoneticPr fontId="2"/>
  </si>
  <si>
    <t>○ このような様々な主体の方々の取組を、今後より効果的に進めていただくためには、取組の成果を測定し、「見える化」するための「共通のものさし」が必要です。</t>
    <phoneticPr fontId="2"/>
  </si>
  <si>
    <t>○ この「あいちミティゲーション定量評価ツール」は、このような共通のものさしとして、様々な主体の方々が自然環境の保全・再生に取り組む際の具体的な目安を得るために活用いただくものです。</t>
    <phoneticPr fontId="2"/>
  </si>
  <si>
    <t>A市</t>
    <phoneticPr fontId="20"/>
  </si>
  <si>
    <t>A市</t>
    <rPh sb="1" eb="2">
      <t>シ</t>
    </rPh>
    <phoneticPr fontId="17"/>
  </si>
  <si>
    <t>定量評価が明らかにすること</t>
    <rPh sb="0" eb="2">
      <t>テイリョウ</t>
    </rPh>
    <rPh sb="2" eb="4">
      <t>ヒョウカ</t>
    </rPh>
    <phoneticPr fontId="2"/>
  </si>
  <si>
    <t>基本情報の入力</t>
    <rPh sb="0" eb="2">
      <t>キホン</t>
    </rPh>
    <rPh sb="2" eb="4">
      <t>ジョウホウ</t>
    </rPh>
    <rPh sb="5" eb="7">
      <t>ニュウリョク</t>
    </rPh>
    <phoneticPr fontId="2"/>
  </si>
  <si>
    <t>推奨植物</t>
    <rPh sb="0" eb="2">
      <t>スイショウ</t>
    </rPh>
    <rPh sb="2" eb="4">
      <t>ショクブツ</t>
    </rPh>
    <phoneticPr fontId="2"/>
  </si>
  <si>
    <r>
      <rPr>
        <sz val="16"/>
        <color indexed="8"/>
        <rFont val="ＭＳ ゴシック"/>
        <family val="3"/>
        <charset val="128"/>
      </rPr>
      <t>評価結果シート</t>
    </r>
    <rPh sb="0" eb="2">
      <t>ヒョウカ</t>
    </rPh>
    <rPh sb="2" eb="4">
      <t>ケッカ</t>
    </rPh>
    <phoneticPr fontId="2"/>
  </si>
  <si>
    <r>
      <rPr>
        <sz val="12"/>
        <color indexed="8"/>
        <rFont val="ＭＳ ゴシック"/>
        <family val="3"/>
        <charset val="128"/>
      </rPr>
      <t>利用者</t>
    </r>
    <rPh sb="0" eb="2">
      <t>リヨウ</t>
    </rPh>
    <rPh sb="2" eb="3">
      <t>シャ</t>
    </rPh>
    <phoneticPr fontId="2"/>
  </si>
  <si>
    <r>
      <rPr>
        <sz val="12"/>
        <color indexed="8"/>
        <rFont val="ＭＳ ゴシック"/>
        <family val="3"/>
        <charset val="128"/>
      </rPr>
      <t>入力日</t>
    </r>
    <rPh sb="0" eb="2">
      <t>ニュウリョク</t>
    </rPh>
    <rPh sb="2" eb="3">
      <t>ヒ</t>
    </rPh>
    <phoneticPr fontId="2"/>
  </si>
  <si>
    <r>
      <rPr>
        <sz val="12"/>
        <color indexed="8"/>
        <rFont val="ＭＳ ゴシック"/>
        <family val="3"/>
        <charset val="128"/>
      </rPr>
      <t>着工（予定）日</t>
    </r>
    <rPh sb="0" eb="2">
      <t>チャッコウ</t>
    </rPh>
    <rPh sb="3" eb="5">
      <t>ヨテイ</t>
    </rPh>
    <rPh sb="6" eb="7">
      <t>ヒ</t>
    </rPh>
    <phoneticPr fontId="2"/>
  </si>
  <si>
    <r>
      <rPr>
        <sz val="12"/>
        <color indexed="8"/>
        <rFont val="ＭＳ ゴシック"/>
        <family val="3"/>
        <charset val="128"/>
      </rPr>
      <t>竣工（予定）日</t>
    </r>
    <rPh sb="0" eb="2">
      <t>シュンコウ</t>
    </rPh>
    <rPh sb="3" eb="5">
      <t>ヨテイ</t>
    </rPh>
    <rPh sb="6" eb="7">
      <t>ヒ</t>
    </rPh>
    <phoneticPr fontId="2"/>
  </si>
  <si>
    <r>
      <rPr>
        <sz val="12"/>
        <color indexed="8"/>
        <rFont val="ＭＳ ゴシック"/>
        <family val="3"/>
        <charset val="128"/>
      </rPr>
      <t>行為の目的</t>
    </r>
  </si>
  <si>
    <r>
      <rPr>
        <sz val="12"/>
        <color indexed="8"/>
        <rFont val="ＭＳ ゴシック"/>
        <family val="3"/>
        <charset val="128"/>
      </rPr>
      <t>行為（評価区域）の場所</t>
    </r>
    <phoneticPr fontId="2"/>
  </si>
  <si>
    <r>
      <rPr>
        <sz val="12"/>
        <color indexed="8"/>
        <rFont val="ＭＳ ゴシック"/>
        <family val="3"/>
        <charset val="128"/>
      </rPr>
      <t>緑地率の確保基準（％）</t>
    </r>
    <rPh sb="0" eb="3">
      <t>リョクチリツ</t>
    </rPh>
    <rPh sb="4" eb="8">
      <t>カクホキジュン</t>
    </rPh>
    <phoneticPr fontId="2"/>
  </si>
  <si>
    <r>
      <rPr>
        <sz val="12"/>
        <color indexed="8"/>
        <rFont val="ＭＳ ゴシック"/>
        <family val="3"/>
        <charset val="128"/>
      </rPr>
      <t>事業後</t>
    </r>
    <phoneticPr fontId="2"/>
  </si>
  <si>
    <r>
      <rPr>
        <sz val="12"/>
        <color indexed="8"/>
        <rFont val="ＭＳ ゴシック"/>
        <family val="3"/>
        <charset val="128"/>
      </rPr>
      <t>事業後の
緑地率（％）</t>
    </r>
    <rPh sb="5" eb="8">
      <t>リョクチリツ</t>
    </rPh>
    <phoneticPr fontId="2"/>
  </si>
  <si>
    <r>
      <rPr>
        <sz val="12"/>
        <color indexed="8"/>
        <rFont val="ＭＳ ゴシック"/>
        <family val="3"/>
        <charset val="128"/>
      </rPr>
      <t>最低限必要な
緑地率（％）</t>
    </r>
    <rPh sb="0" eb="3">
      <t>サイテイゲン</t>
    </rPh>
    <rPh sb="3" eb="5">
      <t>ヒツヨウ</t>
    </rPh>
    <rPh sb="7" eb="10">
      <t>リョクチリツ</t>
    </rPh>
    <phoneticPr fontId="2"/>
  </si>
  <si>
    <r>
      <rPr>
        <sz val="12"/>
        <color indexed="8"/>
        <rFont val="ＭＳ ゴシック"/>
        <family val="3"/>
        <charset val="128"/>
      </rPr>
      <t>合計</t>
    </r>
    <rPh sb="0" eb="2">
      <t>ゴウケイ</t>
    </rPh>
    <phoneticPr fontId="2"/>
  </si>
  <si>
    <r>
      <rPr>
        <sz val="12"/>
        <color indexed="8"/>
        <rFont val="ＭＳ ゴシック"/>
        <family val="3"/>
        <charset val="128"/>
      </rPr>
      <t>環境タイプ</t>
    </r>
    <phoneticPr fontId="2"/>
  </si>
  <si>
    <r>
      <rPr>
        <sz val="12"/>
        <color indexed="8"/>
        <rFont val="ＭＳ ゴシック"/>
        <family val="3"/>
        <charset val="128"/>
      </rPr>
      <t>実際の環境タイプ（㎡）</t>
    </r>
    <phoneticPr fontId="2"/>
  </si>
  <si>
    <r>
      <rPr>
        <sz val="12"/>
        <color indexed="8"/>
        <rFont val="ＭＳ ゴシック"/>
        <family val="3"/>
        <charset val="128"/>
      </rPr>
      <t>目標環境タイプ（㎡）</t>
    </r>
    <rPh sb="0" eb="2">
      <t>モクヒョウ</t>
    </rPh>
    <phoneticPr fontId="2"/>
  </si>
  <si>
    <r>
      <rPr>
        <sz val="12"/>
        <color indexed="8"/>
        <rFont val="ＭＳ ゴシック"/>
        <family val="3"/>
        <charset val="128"/>
      </rPr>
      <t>利用者調整</t>
    </r>
    <rPh sb="0" eb="3">
      <t>リヨウシャ</t>
    </rPh>
    <rPh sb="3" eb="5">
      <t>チョウセイ</t>
    </rPh>
    <phoneticPr fontId="2"/>
  </si>
  <si>
    <r>
      <rPr>
        <sz val="12"/>
        <color indexed="8"/>
        <rFont val="ＭＳ ゴシック"/>
        <family val="3"/>
        <charset val="128"/>
      </rPr>
      <t>現況（事業前）</t>
    </r>
    <rPh sb="0" eb="2">
      <t>ゲンキョウ</t>
    </rPh>
    <rPh sb="3" eb="5">
      <t>ジギョウ</t>
    </rPh>
    <rPh sb="5" eb="6">
      <t>マエ</t>
    </rPh>
    <phoneticPr fontId="2"/>
  </si>
  <si>
    <r>
      <rPr>
        <sz val="12"/>
        <color indexed="8"/>
        <rFont val="ＭＳ ゴシック"/>
        <family val="3"/>
        <charset val="128"/>
      </rPr>
      <t>計画（事業後）</t>
    </r>
    <rPh sb="0" eb="2">
      <t>ケイカク</t>
    </rPh>
    <rPh sb="3" eb="5">
      <t>ジギョウ</t>
    </rPh>
    <rPh sb="5" eb="6">
      <t>ゴ</t>
    </rPh>
    <phoneticPr fontId="2"/>
  </si>
  <si>
    <r>
      <rPr>
        <sz val="12"/>
        <color indexed="8"/>
        <rFont val="ＭＳ ゴシック"/>
        <family val="3"/>
        <charset val="128"/>
      </rPr>
      <t>自然面</t>
    </r>
    <rPh sb="0" eb="3">
      <t>シゼンメン</t>
    </rPh>
    <phoneticPr fontId="2"/>
  </si>
  <si>
    <r>
      <rPr>
        <sz val="12"/>
        <color indexed="8"/>
        <rFont val="ＭＳ ゴシック"/>
        <family val="3"/>
        <charset val="128"/>
      </rPr>
      <t>湿性環境</t>
    </r>
    <rPh sb="0" eb="2">
      <t>シッセイ</t>
    </rPh>
    <rPh sb="2" eb="4">
      <t>カンキョウ</t>
    </rPh>
    <phoneticPr fontId="2"/>
  </si>
  <si>
    <r>
      <rPr>
        <sz val="12"/>
        <color indexed="8"/>
        <rFont val="ＭＳ ゴシック"/>
        <family val="3"/>
        <charset val="128"/>
      </rPr>
      <t>樹林</t>
    </r>
    <rPh sb="0" eb="2">
      <t>ジュリン</t>
    </rPh>
    <phoneticPr fontId="2"/>
  </si>
  <si>
    <r>
      <rPr>
        <sz val="12"/>
        <color indexed="8"/>
        <rFont val="ＭＳ ゴシック"/>
        <family val="3"/>
        <charset val="128"/>
      </rPr>
      <t>低木・草地</t>
    </r>
    <rPh sb="0" eb="2">
      <t>テイボク</t>
    </rPh>
    <rPh sb="3" eb="5">
      <t>クサチ</t>
    </rPh>
    <phoneticPr fontId="2"/>
  </si>
  <si>
    <r>
      <rPr>
        <sz val="12"/>
        <color indexed="8"/>
        <rFont val="ＭＳ ゴシック"/>
        <family val="3"/>
        <charset val="128"/>
      </rPr>
      <t>人工面</t>
    </r>
    <phoneticPr fontId="2"/>
  </si>
  <si>
    <r>
      <rPr>
        <sz val="12"/>
        <color indexed="8"/>
        <rFont val="ＭＳ ゴシック"/>
        <family val="3"/>
        <charset val="128"/>
      </rPr>
      <t>評価結果コメント</t>
    </r>
    <rPh sb="0" eb="2">
      <t>ヒョウカ</t>
    </rPh>
    <rPh sb="2" eb="4">
      <t>ケッカ</t>
    </rPh>
    <phoneticPr fontId="2"/>
  </si>
  <si>
    <t>⑧外来植物
の割合</t>
    <rPh sb="1" eb="3">
      <t>ガイライ</t>
    </rPh>
    <rPh sb="3" eb="5">
      <t>ショクブツ</t>
    </rPh>
    <rPh sb="7" eb="9">
      <t>ワリアイ</t>
    </rPh>
    <phoneticPr fontId="2"/>
  </si>
  <si>
    <t>⑫外来植物
の割合</t>
    <rPh sb="1" eb="3">
      <t>ガイライ</t>
    </rPh>
    <rPh sb="3" eb="5">
      <t>ショクブツ</t>
    </rPh>
    <rPh sb="7" eb="9">
      <t>ワリアイ</t>
    </rPh>
    <phoneticPr fontId="2"/>
  </si>
  <si>
    <t>2. 面積当りの総ポイント（①）について</t>
  </si>
  <si>
    <t>3. 総ポイント比率（②）について</t>
    <phoneticPr fontId="2"/>
  </si>
  <si>
    <t>①求められる質ポイントとの差（点）</t>
    <rPh sb="1" eb="2">
      <t>モト</t>
    </rPh>
    <rPh sb="6" eb="7">
      <t>シツ</t>
    </rPh>
    <rPh sb="13" eb="14">
      <t>サ</t>
    </rPh>
    <rPh sb="15" eb="16">
      <t>テン</t>
    </rPh>
    <phoneticPr fontId="2"/>
  </si>
  <si>
    <t>事業前</t>
    <rPh sb="2" eb="3">
      <t>マエ</t>
    </rPh>
    <phoneticPr fontId="2"/>
  </si>
  <si>
    <t>竣工時</t>
    <rPh sb="0" eb="2">
      <t>シュンコウ</t>
    </rPh>
    <rPh sb="2" eb="3">
      <t>トキ</t>
    </rPh>
    <phoneticPr fontId="2"/>
  </si>
  <si>
    <t>将来</t>
    <rPh sb="0" eb="2">
      <t>ショウライ</t>
    </rPh>
    <phoneticPr fontId="2"/>
  </si>
  <si>
    <t>事業後</t>
    <phoneticPr fontId="2"/>
  </si>
  <si>
    <t>事業前後の差</t>
    <rPh sb="0" eb="4">
      <t>ジギョウゼンゴ</t>
    </rPh>
    <rPh sb="5" eb="6">
      <t>サ</t>
    </rPh>
    <phoneticPr fontId="2"/>
  </si>
  <si>
    <t>評価区域の質ポイント（点/㎡）</t>
    <rPh sb="0" eb="2">
      <t>ヒョウカ</t>
    </rPh>
    <rPh sb="2" eb="4">
      <t>クイキ</t>
    </rPh>
    <rPh sb="5" eb="6">
      <t>シツ</t>
    </rPh>
    <rPh sb="11" eb="12">
      <t>テン</t>
    </rPh>
    <phoneticPr fontId="2"/>
  </si>
  <si>
    <t>緑地の質ポイント（点/㎡）</t>
    <rPh sb="0" eb="2">
      <t>リョクチ</t>
    </rPh>
    <rPh sb="3" eb="4">
      <t>シツ</t>
    </rPh>
    <phoneticPr fontId="2"/>
  </si>
  <si>
    <t>まとまり補正（点）</t>
    <rPh sb="4" eb="6">
      <t>ホセイ</t>
    </rPh>
    <rPh sb="7" eb="8">
      <t>テン</t>
    </rPh>
    <phoneticPr fontId="2"/>
  </si>
  <si>
    <t>ネットワーク性補正（点）</t>
    <rPh sb="6" eb="7">
      <t>セイ</t>
    </rPh>
    <rPh sb="7" eb="9">
      <t>ホセイ</t>
    </rPh>
    <phoneticPr fontId="2"/>
  </si>
  <si>
    <t>維持管理補正（点）</t>
    <rPh sb="0" eb="2">
      <t>イジ</t>
    </rPh>
    <rPh sb="2" eb="4">
      <t>カンリ</t>
    </rPh>
    <rPh sb="4" eb="6">
      <t>ホセイ</t>
    </rPh>
    <phoneticPr fontId="2"/>
  </si>
  <si>
    <t>評価区域の補正前の総ポイント
（点）</t>
    <rPh sb="0" eb="2">
      <t>ヒョウカ</t>
    </rPh>
    <rPh sb="2" eb="4">
      <t>クイキ</t>
    </rPh>
    <rPh sb="5" eb="8">
      <t>ホセイマエ</t>
    </rPh>
    <rPh sb="9" eb="10">
      <t>ソウ</t>
    </rPh>
    <rPh sb="16" eb="17">
      <t>テン</t>
    </rPh>
    <phoneticPr fontId="2"/>
  </si>
  <si>
    <t>評価区域の補正後の総ポイント
（点）</t>
    <rPh sb="0" eb="2">
      <t>ヒョウカ</t>
    </rPh>
    <rPh sb="2" eb="4">
      <t>クイキ</t>
    </rPh>
    <rPh sb="5" eb="8">
      <t>ホセイゴ</t>
    </rPh>
    <rPh sb="9" eb="10">
      <t>ソウ</t>
    </rPh>
    <rPh sb="16" eb="17">
      <t>テン</t>
    </rPh>
    <phoneticPr fontId="2"/>
  </si>
  <si>
    <r>
      <rPr>
        <sz val="12"/>
        <color indexed="8"/>
        <rFont val="ＭＳ ゴシック"/>
        <family val="3"/>
        <charset val="128"/>
      </rPr>
      <t>②事業前後の総ポイント比率（％）</t>
    </r>
    <rPh sb="0" eb="1">
      <t>ジギョウ</t>
    </rPh>
    <rPh sb="2" eb="3">
      <t>マエ</t>
    </rPh>
    <rPh sb="3" eb="4">
      <t>ゴ</t>
    </rPh>
    <rPh sb="6" eb="7">
      <t>ソウ</t>
    </rPh>
    <rPh sb="11" eb="13">
      <t>ヒリツ</t>
    </rPh>
    <phoneticPr fontId="2"/>
  </si>
  <si>
    <t>③目標環境タイプ</t>
    <rPh sb="1" eb="3">
      <t>モクヒョウ</t>
    </rPh>
    <rPh sb="3" eb="5">
      <t>カンキョウ</t>
    </rPh>
    <phoneticPr fontId="2"/>
  </si>
  <si>
    <t>④目標環境タイプの変更</t>
    <rPh sb="1" eb="5">
      <t>モクヒョウカンキョウ</t>
    </rPh>
    <rPh sb="9" eb="11">
      <t>ヘンコウ</t>
    </rPh>
    <phoneticPr fontId="2"/>
  </si>
  <si>
    <t>評価区域の場所（市町村）</t>
    <phoneticPr fontId="2"/>
  </si>
  <si>
    <t>○ 評価する土地において貴重な生きもの（環境省や県のレッドリスト掲載種等）や自然度の高い湿地（ラムサール条約登録湿地や湧水のある湿地等）などの存在が確認された場合や、関係者への詳細な説明が必要な場合、社会的に大きな注目を集めるような事業などについては、別途、専門性の高い詳細な評価が必要となります（二次評価）。</t>
    <phoneticPr fontId="2"/>
  </si>
  <si>
    <t>○ 生きものの生息基盤として、植生を主な指標としているため、大河川や海洋は、評価対象外となります。</t>
    <phoneticPr fontId="2"/>
  </si>
  <si>
    <t>○ 評価対象の最小面積の目安は、植生や小動物の最低限の生息生育空間を考慮して、樹林が主体の環境では100㎡以上、低木・竹・草地で25㎡以上、湿性環境で10㎡以上とします。</t>
    <phoneticPr fontId="2"/>
  </si>
  <si>
    <t>意図する植栽環境の成立年として、将来のいつ頃を想定していますか？</t>
    <rPh sb="11" eb="12">
      <t>ネン</t>
    </rPh>
    <rPh sb="16" eb="18">
      <t>ショウライ</t>
    </rPh>
    <rPh sb="21" eb="22">
      <t>ゴロ</t>
    </rPh>
    <rPh sb="23" eb="25">
      <t>ソウテイ</t>
    </rPh>
    <phoneticPr fontId="2"/>
  </si>
  <si>
    <t>数年～5年後</t>
    <phoneticPr fontId="2"/>
  </si>
  <si>
    <t>おおむね5～20年後</t>
    <rPh sb="8" eb="10">
      <t>ネンゴ</t>
    </rPh>
    <phoneticPr fontId="2"/>
  </si>
  <si>
    <t>おおむね20～50年後</t>
    <rPh sb="9" eb="11">
      <t>ネンゴ</t>
    </rPh>
    <phoneticPr fontId="2"/>
  </si>
  <si>
    <t>50年以上先</t>
    <rPh sb="2" eb="3">
      <t>ネン</t>
    </rPh>
    <rPh sb="3" eb="5">
      <t>イジョウ</t>
    </rPh>
    <rPh sb="5" eb="6">
      <t>サキ</t>
    </rPh>
    <phoneticPr fontId="2"/>
  </si>
  <si>
    <r>
      <t xml:space="preserve">1. </t>
    </r>
    <r>
      <rPr>
        <sz val="11"/>
        <color indexed="8"/>
        <rFont val="ＭＳ ゴシック"/>
        <family val="3"/>
        <charset val="128"/>
      </rPr>
      <t>利用者名、入力日、着工（予定）日、竣工（予定）日等を入力してください。</t>
    </r>
    <rPh sb="3" eb="6">
      <t>リヨウシャ</t>
    </rPh>
    <rPh sb="6" eb="7">
      <t>メイ</t>
    </rPh>
    <rPh sb="8" eb="10">
      <t>ニュウリョク</t>
    </rPh>
    <rPh sb="10" eb="11">
      <t>ビ</t>
    </rPh>
    <rPh sb="12" eb="14">
      <t>チャッコウ</t>
    </rPh>
    <rPh sb="15" eb="17">
      <t>ヨテイ</t>
    </rPh>
    <rPh sb="18" eb="19">
      <t>ヒ</t>
    </rPh>
    <rPh sb="20" eb="22">
      <t>シュンコウ</t>
    </rPh>
    <rPh sb="23" eb="25">
      <t>ヨテイ</t>
    </rPh>
    <rPh sb="26" eb="27">
      <t>ヒ</t>
    </rPh>
    <rPh sb="27" eb="28">
      <t>トウ</t>
    </rPh>
    <rPh sb="29" eb="31">
      <t>ニュウリョク</t>
    </rPh>
    <phoneticPr fontId="2"/>
  </si>
  <si>
    <t>－</t>
    <phoneticPr fontId="2"/>
  </si>
  <si>
    <t>　　湿性環境</t>
    <rPh sb="2" eb="4">
      <t>シッセイ</t>
    </rPh>
    <rPh sb="4" eb="6">
      <t>カンキョウ</t>
    </rPh>
    <phoneticPr fontId="2"/>
  </si>
  <si>
    <t>　　樹林</t>
    <rPh sb="2" eb="4">
      <t>ジュリン</t>
    </rPh>
    <phoneticPr fontId="2"/>
  </si>
  <si>
    <t>　　低木・草地</t>
    <rPh sb="2" eb="4">
      <t>テイボク</t>
    </rPh>
    <rPh sb="5" eb="7">
      <t>ソウチ</t>
    </rPh>
    <phoneticPr fontId="2"/>
  </si>
  <si>
    <t>事業前</t>
    <rPh sb="0" eb="2">
      <t>ジギョウ</t>
    </rPh>
    <rPh sb="2" eb="3">
      <t>マエ</t>
    </rPh>
    <phoneticPr fontId="2"/>
  </si>
  <si>
    <t>事業後</t>
    <rPh sb="0" eb="2">
      <t>ジギョウ</t>
    </rPh>
    <rPh sb="2" eb="3">
      <t>ゴ</t>
    </rPh>
    <phoneticPr fontId="2"/>
  </si>
  <si>
    <t>↓環境タイプごとに、事業前後の差が0以上の場合＝1、マイナスの場合＝0</t>
    <rPh sb="1" eb="3">
      <t>カンキョウ</t>
    </rPh>
    <rPh sb="10" eb="12">
      <t>ジギョウ</t>
    </rPh>
    <rPh sb="12" eb="14">
      <t>ゼンゴ</t>
    </rPh>
    <rPh sb="15" eb="16">
      <t>サ</t>
    </rPh>
    <rPh sb="18" eb="20">
      <t>イジョウ</t>
    </rPh>
    <rPh sb="21" eb="23">
      <t>バアイ</t>
    </rPh>
    <rPh sb="31" eb="33">
      <t>バアイ</t>
    </rPh>
    <phoneticPr fontId="2"/>
  </si>
  <si>
    <t>面積（㎡）</t>
  </si>
  <si>
    <t>行為の種類</t>
    <rPh sb="0" eb="2">
      <t>コウイ</t>
    </rPh>
    <rPh sb="3" eb="5">
      <t>シュルイ</t>
    </rPh>
    <phoneticPr fontId="2"/>
  </si>
  <si>
    <t>事業前</t>
    <rPh sb="0" eb="2">
      <t>ジギョウ</t>
    </rPh>
    <rPh sb="2" eb="3">
      <t>マエ</t>
    </rPh>
    <phoneticPr fontId="20"/>
  </si>
  <si>
    <t>事業後</t>
    <rPh sb="0" eb="2">
      <t>ジギョウ</t>
    </rPh>
    <rPh sb="2" eb="3">
      <t>ゴ</t>
    </rPh>
    <phoneticPr fontId="20"/>
  </si>
  <si>
    <t>低木・草地</t>
    <rPh sb="0" eb="2">
      <t>テイボク</t>
    </rPh>
    <rPh sb="3" eb="5">
      <t>ソウチ</t>
    </rPh>
    <phoneticPr fontId="2"/>
  </si>
  <si>
    <t>評価区域の補正後の総ポイント（点）</t>
    <phoneticPr fontId="20"/>
  </si>
  <si>
    <t>人工面</t>
    <rPh sb="0" eb="3">
      <t>ジンコウメン</t>
    </rPh>
    <phoneticPr fontId="20"/>
  </si>
  <si>
    <t>実際の環境タイプ（㎡）</t>
    <phoneticPr fontId="20"/>
  </si>
  <si>
    <t>環境条件の入力　　　　　　現況（事業前）：分割した区画ごとの環境条件を入力してください。</t>
    <rPh sb="16" eb="19">
      <t>ジギョウマエ</t>
    </rPh>
    <rPh sb="21" eb="23">
      <t>ブンカツ</t>
    </rPh>
    <rPh sb="25" eb="27">
      <t>クカク</t>
    </rPh>
    <rPh sb="30" eb="34">
      <t>カンキョウジョウケン</t>
    </rPh>
    <rPh sb="35" eb="37">
      <t>ニュウリョク</t>
    </rPh>
    <phoneticPr fontId="2"/>
  </si>
  <si>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</si>
  <si>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</si>
  <si>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</si>
  <si>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</si>
  <si>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</si>
  <si>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</si>
  <si>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</si>
  <si>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</si>
  <si>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</si>
  <si>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</si>
  <si>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</si>
  <si>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</si>
  <si>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</si>
  <si>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</si>
  <si>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</si>
  <si>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</si>
  <si>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</si>
  <si>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</si>
  <si>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</si>
  <si>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</si>
  <si>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</si>
  <si>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</si>
  <si>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</si>
  <si>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</si>
  <si>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</si>
  <si>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</si>
  <si>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</si>
  <si>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</si>
  <si>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</si>
  <si>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</si>
  <si>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</si>
  <si>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</si>
  <si>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</si>
  <si>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</si>
  <si>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</si>
  <si>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</si>
  <si>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</si>
  <si>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</si>
  <si>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</si>
  <si>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</si>
  <si>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</si>
  <si>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</si>
  <si>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</si>
  <si>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</si>
  <si>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</si>
  <si>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</si>
  <si>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</si>
  <si>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</si>
  <si>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</si>
  <si>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</si>
  <si>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</si>
  <si>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</si>
  <si>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</si>
  <si>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</si>
  <si>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</si>
  <si>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</si>
  <si>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</si>
  <si>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</si>
  <si>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</si>
  <si>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</si>
  <si>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</si>
  <si>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</si>
  <si>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</si>
  <si>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</si>
  <si>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</si>
  <si>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</si>
  <si>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</si>
  <si>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</si>
  <si>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</si>
  <si>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</si>
  <si>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</si>
  <si>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</si>
  <si>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</si>
  <si>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</si>
  <si>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</si>
  <si>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</si>
  <si>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</si>
  <si>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</si>
  <si>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</si>
  <si>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</si>
  <si>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</si>
  <si>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</si>
  <si>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</si>
  <si>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</si>
  <si>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</si>
  <si>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</si>
  <si>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</si>
  <si>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</si>
  <si>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</si>
  <si>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</si>
  <si>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</si>
  <si>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</si>
  <si>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</si>
  <si>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</si>
  <si>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</si>
  <si>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</si>
  <si>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</si>
  <si>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</si>
  <si>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</si>
  <si>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</si>
  <si>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</si>
  <si>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</si>
  <si>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</si>
  <si>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</si>
  <si>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</si>
  <si>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</si>
  <si>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</si>
  <si>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</si>
  <si>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</si>
  <si>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</si>
  <si>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</si>
  <si>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</si>
  <si>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</si>
  <si>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</si>
  <si>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</si>
  <si>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</si>
  <si>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</si>
  <si>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</si>
  <si>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</si>
  <si>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</si>
  <si>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</si>
  <si>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</si>
  <si>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</si>
  <si>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</si>
  <si>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</si>
  <si>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</si>
  <si>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環境条件の入力　　　　　　竣工時（事業後）：分割した区画ごとの環境条件を入力してください。</t>
    <rPh sb="13" eb="16">
      <t>シュンコウジ</t>
    </rPh>
    <rPh sb="17" eb="19">
      <t>ジギョウ</t>
    </rPh>
    <rPh sb="19" eb="20">
      <t>ゴ</t>
    </rPh>
    <rPh sb="22" eb="24">
      <t>ブンカツ</t>
    </rPh>
    <rPh sb="26" eb="28">
      <t>クカク</t>
    </rPh>
    <rPh sb="31" eb="35">
      <t>カンキョウジョウケン</t>
    </rPh>
    <rPh sb="36" eb="38">
      <t>ニュウリョク</t>
    </rPh>
    <phoneticPr fontId="2"/>
  </si>
  <si>
    <t>環境条件の入力　　　　　　将来（事業後）：分割した区画ごとの環境条件を入力してください。</t>
    <rPh sb="13" eb="15">
      <t>ショウライ</t>
    </rPh>
    <rPh sb="16" eb="18">
      <t>ジギョウ</t>
    </rPh>
    <rPh sb="18" eb="19">
      <t>ゴ</t>
    </rPh>
    <rPh sb="21" eb="23">
      <t>ブンカツ</t>
    </rPh>
    <rPh sb="25" eb="27">
      <t>クカク</t>
    </rPh>
    <rPh sb="30" eb="34">
      <t>カンキョウジョウケン</t>
    </rPh>
    <rPh sb="35" eb="37">
      <t>ニュウリョク</t>
    </rPh>
    <phoneticPr fontId="2"/>
  </si>
  <si>
    <t>②竣工時（事業後）における自然環境の状況が示された地図や図面（植栽計画図など）</t>
    <phoneticPr fontId="2"/>
  </si>
  <si>
    <t>区域外</t>
    <rPh sb="0" eb="3">
      <t>クイキガイ</t>
    </rPh>
    <phoneticPr fontId="2"/>
  </si>
  <si>
    <t>区域外を加味したポイント</t>
    <rPh sb="0" eb="3">
      <t>クイキガイ</t>
    </rPh>
    <rPh sb="4" eb="6">
      <t>カミ</t>
    </rPh>
    <phoneticPr fontId="2"/>
  </si>
  <si>
    <t>区域外における
実際の環境タイプ（㎡）</t>
    <rPh sb="0" eb="3">
      <t>クイキガイ</t>
    </rPh>
    <phoneticPr fontId="2"/>
  </si>
  <si>
    <r>
      <t>本行為で得られたポイントを、区域外での開発の代償に充当する場合は、その開発行為について、本ツールを用いて</t>
    </r>
    <r>
      <rPr>
        <sz val="11"/>
        <color rgb="FFFF0000"/>
        <rFont val="ＭＳ Ｐゴシック"/>
        <family val="3"/>
        <charset val="128"/>
        <scheme val="minor"/>
      </rPr>
      <t>別のファイル</t>
    </r>
    <r>
      <rPr>
        <sz val="11"/>
        <color theme="1"/>
        <rFont val="ＭＳ Ｐゴシック"/>
        <family val="3"/>
        <charset val="128"/>
        <scheme val="minor"/>
      </rPr>
      <t>で評価を行い、その（開発行為の）評価結果シートの下図の位置へ、以下の値を入力してください。　　　</t>
    </r>
    <r>
      <rPr>
        <sz val="11"/>
        <color rgb="FFFF0000"/>
        <rFont val="ＭＳ Ｐゴシック"/>
        <family val="3"/>
        <charset val="128"/>
        <scheme val="minor"/>
      </rPr>
      <t>※本ファイルには入力しないでください!!</t>
    </r>
    <rPh sb="0" eb="1">
      <t>ホン</t>
    </rPh>
    <rPh sb="1" eb="3">
      <t>コウイ</t>
    </rPh>
    <rPh sb="4" eb="5">
      <t>エ</t>
    </rPh>
    <rPh sb="14" eb="15">
      <t>ク</t>
    </rPh>
    <rPh sb="15" eb="17">
      <t>イキガイ</t>
    </rPh>
    <rPh sb="19" eb="21">
      <t>カイハツ</t>
    </rPh>
    <rPh sb="22" eb="24">
      <t>ダイショウ</t>
    </rPh>
    <rPh sb="25" eb="27">
      <t>ジュウトウ</t>
    </rPh>
    <rPh sb="29" eb="31">
      <t>バアイ</t>
    </rPh>
    <rPh sb="68" eb="70">
      <t>カイハツ</t>
    </rPh>
    <rPh sb="70" eb="72">
      <t>コウイ</t>
    </rPh>
    <rPh sb="74" eb="76">
      <t>ヒョウカ</t>
    </rPh>
    <rPh sb="76" eb="78">
      <t>ケッカ</t>
    </rPh>
    <rPh sb="82" eb="84">
      <t>カズ</t>
    </rPh>
    <rPh sb="85" eb="87">
      <t>イチ</t>
    </rPh>
    <rPh sb="89" eb="91">
      <t>イカ</t>
    </rPh>
    <rPh sb="92" eb="93">
      <t>アタイ</t>
    </rPh>
    <rPh sb="94" eb="96">
      <t>ニュウリョク</t>
    </rPh>
    <rPh sb="107" eb="108">
      <t>ホン</t>
    </rPh>
    <rPh sb="114" eb="116">
      <t>ニュウリョク</t>
    </rPh>
    <phoneticPr fontId="20"/>
  </si>
  <si>
    <t>みよし市</t>
  </si>
  <si>
    <t>みよし市</t>
    <rPh sb="3" eb="4">
      <t>シ</t>
    </rPh>
    <phoneticPr fontId="2"/>
  </si>
  <si>
    <t>みよし市</t>
    <rPh sb="3" eb="4">
      <t>シ</t>
    </rPh>
    <phoneticPr fontId="17"/>
  </si>
  <si>
    <t>弥富市</t>
  </si>
  <si>
    <t>弥富市</t>
    <rPh sb="2" eb="3">
      <t>シ</t>
    </rPh>
    <phoneticPr fontId="2"/>
  </si>
  <si>
    <t>今から30年前の主な環境をひとつ入力してください</t>
    <rPh sb="0" eb="1">
      <t>イマ</t>
    </rPh>
    <rPh sb="5" eb="6">
      <t>ネン</t>
    </rPh>
    <rPh sb="6" eb="7">
      <t>マエ</t>
    </rPh>
    <phoneticPr fontId="2"/>
  </si>
  <si>
    <t>今から10年前の主な環境をひとつ入力してください</t>
    <rPh sb="0" eb="1">
      <t>イマ</t>
    </rPh>
    <rPh sb="5" eb="6">
      <t>ネン</t>
    </rPh>
    <rPh sb="6" eb="7">
      <t>マエ</t>
    </rPh>
    <phoneticPr fontId="2"/>
  </si>
  <si>
    <t>あいちミティゲーション定量評価ツール</t>
    <phoneticPr fontId="2"/>
  </si>
  <si>
    <t>↓面積が一致していない場合＝0、一致している場合＝1</t>
    <rPh sb="1" eb="3">
      <t>メンセキ</t>
    </rPh>
    <rPh sb="4" eb="6">
      <t>イッチ</t>
    </rPh>
    <rPh sb="11" eb="13">
      <t>バアイ</t>
    </rPh>
    <rPh sb="16" eb="18">
      <t>イッチ</t>
    </rPh>
    <rPh sb="22" eb="24">
      <t>バアイ</t>
    </rPh>
    <phoneticPr fontId="2"/>
  </si>
  <si>
    <t>↓全体としての評価</t>
    <rPh sb="1" eb="3">
      <t>ゼンタイ</t>
    </rPh>
    <rPh sb="7" eb="9">
      <t>ヒョウカ</t>
    </rPh>
    <phoneticPr fontId="2"/>
  </si>
  <si>
    <t>↓環境タイプごとの評価</t>
    <rPh sb="1" eb="3">
      <t>カンキョウ</t>
    </rPh>
    <rPh sb="9" eb="11">
      <t>ヒョウカ</t>
    </rPh>
    <phoneticPr fontId="2"/>
  </si>
  <si>
    <t>↓事業前の質ポイントが20点未満の場合=その値、20点以上の場合=no</t>
    <rPh sb="1" eb="3">
      <t>ジギョウ</t>
    </rPh>
    <rPh sb="3" eb="4">
      <t>マエ</t>
    </rPh>
    <rPh sb="5" eb="6">
      <t>シツ</t>
    </rPh>
    <rPh sb="13" eb="14">
      <t>テン</t>
    </rPh>
    <rPh sb="14" eb="16">
      <t>ミマン</t>
    </rPh>
    <rPh sb="17" eb="19">
      <t>バアイ</t>
    </rPh>
    <rPh sb="22" eb="23">
      <t>アタイ</t>
    </rPh>
    <rPh sb="26" eb="27">
      <t>テン</t>
    </rPh>
    <rPh sb="27" eb="29">
      <t>イジョウ</t>
    </rPh>
    <rPh sb="30" eb="32">
      <t>バアイ</t>
    </rPh>
    <phoneticPr fontId="2"/>
  </si>
  <si>
    <t>利用者調整における得点</t>
    <rPh sb="0" eb="3">
      <t>リヨウシャ</t>
    </rPh>
    <rPh sb="3" eb="5">
      <t>チョウセイ</t>
    </rPh>
    <rPh sb="9" eb="11">
      <t>トクテン</t>
    </rPh>
    <phoneticPr fontId="2"/>
  </si>
  <si>
    <t>豊田市（旧豊田市）</t>
    <rPh sb="4" eb="5">
      <t>キュウ</t>
    </rPh>
    <rPh sb="5" eb="7">
      <t>トヨタ</t>
    </rPh>
    <rPh sb="7" eb="8">
      <t>シ</t>
    </rPh>
    <phoneticPr fontId="2"/>
  </si>
  <si>
    <t>豊田市（旧藤岡町）</t>
    <rPh sb="0" eb="2">
      <t>トヨタ</t>
    </rPh>
    <rPh sb="2" eb="3">
      <t>シ</t>
    </rPh>
    <rPh sb="4" eb="5">
      <t>キュウ</t>
    </rPh>
    <rPh sb="5" eb="8">
      <t>フジオカマチ</t>
    </rPh>
    <phoneticPr fontId="2"/>
  </si>
  <si>
    <t>豊田市（旧小原村）</t>
    <rPh sb="0" eb="2">
      <t>トヨタ</t>
    </rPh>
    <rPh sb="2" eb="3">
      <t>シ</t>
    </rPh>
    <rPh sb="4" eb="5">
      <t>キュウ</t>
    </rPh>
    <rPh sb="5" eb="7">
      <t>オハラ</t>
    </rPh>
    <rPh sb="7" eb="8">
      <t>ムラ</t>
    </rPh>
    <phoneticPr fontId="2"/>
  </si>
  <si>
    <t>豊田市（旧足助町）</t>
    <rPh sb="0" eb="2">
      <t>トヨタ</t>
    </rPh>
    <rPh sb="2" eb="3">
      <t>シ</t>
    </rPh>
    <rPh sb="4" eb="5">
      <t>キュウ</t>
    </rPh>
    <rPh sb="5" eb="6">
      <t>アシ</t>
    </rPh>
    <rPh sb="6" eb="7">
      <t>スケ</t>
    </rPh>
    <rPh sb="7" eb="8">
      <t>マチ</t>
    </rPh>
    <phoneticPr fontId="2"/>
  </si>
  <si>
    <t>豊田市（旧下山村）</t>
    <rPh sb="0" eb="2">
      <t>トヨタ</t>
    </rPh>
    <rPh sb="2" eb="3">
      <t>シ</t>
    </rPh>
    <rPh sb="4" eb="5">
      <t>キュウ</t>
    </rPh>
    <rPh sb="5" eb="7">
      <t>シモヤマ</t>
    </rPh>
    <rPh sb="7" eb="8">
      <t>ムラ</t>
    </rPh>
    <phoneticPr fontId="2"/>
  </si>
  <si>
    <t>豊田市（旧旭町）</t>
    <rPh sb="0" eb="2">
      <t>トヨタ</t>
    </rPh>
    <rPh sb="2" eb="3">
      <t>シ</t>
    </rPh>
    <rPh sb="4" eb="5">
      <t>キュウ</t>
    </rPh>
    <rPh sb="5" eb="7">
      <t>アサヒチョウ</t>
    </rPh>
    <phoneticPr fontId="2"/>
  </si>
  <si>
    <t>豊田市（旧稲武町）</t>
    <rPh sb="0" eb="2">
      <t>トヨタ</t>
    </rPh>
    <rPh sb="2" eb="3">
      <t>シ</t>
    </rPh>
    <rPh sb="4" eb="5">
      <t>キュウ</t>
    </rPh>
    <rPh sb="5" eb="6">
      <t>イナ</t>
    </rPh>
    <rPh sb="6" eb="7">
      <t>タケ</t>
    </rPh>
    <rPh sb="7" eb="8">
      <t>マチ</t>
    </rPh>
    <phoneticPr fontId="2"/>
  </si>
  <si>
    <t>とよたふじおか</t>
    <phoneticPr fontId="2"/>
  </si>
  <si>
    <t>とよたとよた</t>
    <phoneticPr fontId="2"/>
  </si>
  <si>
    <t>とよたおばら</t>
    <phoneticPr fontId="2"/>
  </si>
  <si>
    <t>とよたあすけ</t>
    <phoneticPr fontId="2"/>
  </si>
  <si>
    <t>とよたしもやま</t>
    <phoneticPr fontId="2"/>
  </si>
  <si>
    <t>とよたあさひ</t>
    <phoneticPr fontId="2"/>
  </si>
  <si>
    <t>とよばいなぶ</t>
    <phoneticPr fontId="2"/>
  </si>
  <si>
    <t>豊田市（旧下山村）</t>
  </si>
  <si>
    <t>豊田市（旧豊田市）</t>
    <phoneticPr fontId="20"/>
  </si>
  <si>
    <t>豊田市（旧藤岡町）</t>
  </si>
  <si>
    <t>豊田市（旧小原村）</t>
  </si>
  <si>
    <t>豊田市（旧足助町）</t>
  </si>
  <si>
    <t>豊田市（旧旭町）</t>
  </si>
  <si>
    <t>豊田市（旧稲武町）</t>
  </si>
  <si>
    <t>【ツブラジイ】・アラカシ・タカノツメ・サカキin豊田市（旧豊田市）</t>
  </si>
  <si>
    <t>【ツブラジイ】・アラカシ・タカノツメ・サカキin豊田市（旧藤岡町）</t>
  </si>
  <si>
    <t>【ツブラジイ】・アラカシ・タカノツメ・サカキin豊田市（旧小原村）</t>
  </si>
  <si>
    <t>【ツブラジイ】・アラカシ・タカノツメ・サカキin豊田市（旧足助町）</t>
  </si>
  <si>
    <t>【ツブラジイ】・アラカシ・タカノツメ・サカキin豊田市（旧下山村）</t>
  </si>
  <si>
    <t>【ツブラジイ】・アラカシ・タカノツメ・サカキin豊田市（旧旭町）</t>
  </si>
  <si>
    <t>希少種</t>
    <rPh sb="0" eb="3">
      <t>キショウシュ</t>
    </rPh>
    <phoneticPr fontId="2"/>
  </si>
  <si>
    <t>希少種の有無</t>
    <rPh sb="0" eb="3">
      <t>キショウシュ</t>
    </rPh>
    <rPh sb="4" eb="6">
      <t>ウム</t>
    </rPh>
    <phoneticPr fontId="2"/>
  </si>
  <si>
    <t>CR</t>
    <phoneticPr fontId="2"/>
  </si>
  <si>
    <t>EN</t>
    <phoneticPr fontId="2"/>
  </si>
  <si>
    <t>VU</t>
    <phoneticPr fontId="2"/>
  </si>
  <si>
    <t>⑬レッドリストあいちのランク</t>
    <phoneticPr fontId="2"/>
  </si>
  <si>
    <t>⑭質ポイント
（点/㎡）</t>
    <rPh sb="1" eb="2">
      <t>シツ</t>
    </rPh>
    <rPh sb="8" eb="9">
      <t>テン</t>
    </rPh>
    <phoneticPr fontId="2"/>
  </si>
  <si>
    <t>⑮総ポイント
（点）</t>
    <rPh sb="1" eb="2">
      <t>ソウ</t>
    </rPh>
    <rPh sb="8" eb="9">
      <t>テン</t>
    </rPh>
    <phoneticPr fontId="2"/>
  </si>
  <si>
    <t>500ｍ以上</t>
    <rPh sb="4" eb="6">
      <t>イジョウ</t>
    </rPh>
    <phoneticPr fontId="2"/>
  </si>
  <si>
    <t>100m以上500m以内</t>
    <rPh sb="4" eb="6">
      <t>イジョウ</t>
    </rPh>
    <rPh sb="10" eb="12">
      <t>イナイ</t>
    </rPh>
    <phoneticPr fontId="2"/>
  </si>
  <si>
    <t>100m以内</t>
    <rPh sb="4" eb="6">
      <t>イナイ</t>
    </rPh>
    <phoneticPr fontId="2"/>
  </si>
  <si>
    <t>隣接している</t>
    <rPh sb="0" eb="2">
      <t>リンセツ</t>
    </rPh>
    <phoneticPr fontId="2"/>
  </si>
  <si>
    <t>環境学習補正（点）</t>
    <rPh sb="0" eb="2">
      <t>カンキョウ</t>
    </rPh>
    <rPh sb="2" eb="4">
      <t>ガクシュウ</t>
    </rPh>
    <rPh sb="4" eb="6">
      <t>ホセイ</t>
    </rPh>
    <rPh sb="7" eb="8">
      <t>テン</t>
    </rPh>
    <phoneticPr fontId="2"/>
  </si>
  <si>
    <r>
      <rPr>
        <sz val="11"/>
        <color rgb="FF000000"/>
        <rFont val="Arial"/>
        <family val="2"/>
      </rPr>
      <t xml:space="preserve">5. </t>
    </r>
    <r>
      <rPr>
        <sz val="11"/>
        <color rgb="FF000000"/>
        <rFont val="ＭＳ Ｐゴシック"/>
        <family val="2"/>
        <charset val="128"/>
      </rPr>
      <t>緑地や水辺における環境学習について</t>
    </r>
    <rPh sb="3" eb="5">
      <t>リョクチ</t>
    </rPh>
    <rPh sb="6" eb="8">
      <t>ミズベ</t>
    </rPh>
    <rPh sb="12" eb="14">
      <t>カンキョウ</t>
    </rPh>
    <rPh sb="14" eb="16">
      <t>ガクシュウ</t>
    </rPh>
    <phoneticPr fontId="2"/>
  </si>
  <si>
    <t>200902修正</t>
    <rPh sb="6" eb="8">
      <t>シュウセイ</t>
    </rPh>
    <phoneticPr fontId="20"/>
  </si>
  <si>
    <t>代償地管理補正（点）</t>
    <rPh sb="0" eb="2">
      <t>ダイショウ</t>
    </rPh>
    <rPh sb="2" eb="3">
      <t>チ</t>
    </rPh>
    <rPh sb="3" eb="5">
      <t>カンリ</t>
    </rPh>
    <rPh sb="5" eb="7">
      <t>ホセイ</t>
    </rPh>
    <rPh sb="8" eb="9">
      <t>テン</t>
    </rPh>
    <phoneticPr fontId="2"/>
  </si>
  <si>
    <r>
      <t xml:space="preserve">6. </t>
    </r>
    <r>
      <rPr>
        <sz val="11"/>
        <color indexed="8"/>
        <rFont val="ＭＳ ゴシック"/>
        <family val="3"/>
        <charset val="128"/>
      </rPr>
      <t>緑地や水辺の配置、ネットワーク形成について</t>
    </r>
    <rPh sb="3" eb="5">
      <t>リョクチ</t>
    </rPh>
    <rPh sb="6" eb="8">
      <t>ミズベ</t>
    </rPh>
    <rPh sb="9" eb="11">
      <t>ハイチ</t>
    </rPh>
    <rPh sb="18" eb="20">
      <t>ケイセイ</t>
    </rPh>
    <phoneticPr fontId="2"/>
  </si>
  <si>
    <t>将来、評価区域内の緑地や水辺で環境学習を実施しますか？</t>
    <rPh sb="0" eb="2">
      <t>ショウライ</t>
    </rPh>
    <rPh sb="3" eb="5">
      <t>ヒョウカ</t>
    </rPh>
    <rPh sb="5" eb="8">
      <t>クイキナイ</t>
    </rPh>
    <rPh sb="9" eb="11">
      <t>リョクチ</t>
    </rPh>
    <rPh sb="12" eb="14">
      <t>ミズベ</t>
    </rPh>
    <rPh sb="15" eb="17">
      <t>カンキョウ</t>
    </rPh>
    <rPh sb="17" eb="19">
      <t>ガクシュウ</t>
    </rPh>
    <rPh sb="20" eb="22">
      <t>ジッシ</t>
    </rPh>
    <phoneticPr fontId="2"/>
  </si>
  <si>
    <t>専門家アドバイス補正（点）</t>
    <rPh sb="0" eb="3">
      <t>センモンカ</t>
    </rPh>
    <rPh sb="8" eb="10">
      <t>ホセイ</t>
    </rPh>
    <rPh sb="11" eb="12">
      <t>テン</t>
    </rPh>
    <phoneticPr fontId="2"/>
  </si>
  <si>
    <t>県の派遣による専門家又はそれと同等以上の専門家から生態系ネットワーク形成に関するアドバイスを受けましたか？（又は、着工までに受けますか？）</t>
    <rPh sb="0" eb="1">
      <t>ケン</t>
    </rPh>
    <rPh sb="2" eb="4">
      <t>ハケン</t>
    </rPh>
    <rPh sb="7" eb="10">
      <t>センモンカ</t>
    </rPh>
    <rPh sb="10" eb="11">
      <t>マタ</t>
    </rPh>
    <rPh sb="15" eb="19">
      <t>ドウトウイジョウ</t>
    </rPh>
    <rPh sb="20" eb="23">
      <t>センモンカ</t>
    </rPh>
    <rPh sb="25" eb="28">
      <t>セイタイケイ</t>
    </rPh>
    <rPh sb="34" eb="36">
      <t>ケイセイ</t>
    </rPh>
    <rPh sb="37" eb="38">
      <t>カン</t>
    </rPh>
    <rPh sb="46" eb="47">
      <t>ウ</t>
    </rPh>
    <rPh sb="54" eb="55">
      <t>マタ</t>
    </rPh>
    <rPh sb="57" eb="59">
      <t>チャッコウ</t>
    </rPh>
    <rPh sb="62" eb="63">
      <t>ウ</t>
    </rPh>
    <phoneticPr fontId="2"/>
  </si>
  <si>
    <t>事業区域外に代償地を創出しましたか？</t>
    <rPh sb="0" eb="2">
      <t>ジギョウ</t>
    </rPh>
    <rPh sb="2" eb="4">
      <t>クイキ</t>
    </rPh>
    <rPh sb="4" eb="5">
      <t>ガイ</t>
    </rPh>
    <rPh sb="6" eb="8">
      <t>ダイショウ</t>
    </rPh>
    <rPh sb="8" eb="9">
      <t>チ</t>
    </rPh>
    <rPh sb="10" eb="12">
      <t>ソウシュツ</t>
    </rPh>
    <phoneticPr fontId="2"/>
  </si>
  <si>
    <r>
      <rPr>
        <sz val="11"/>
        <color indexed="8"/>
        <rFont val="Arial"/>
        <family val="2"/>
      </rPr>
      <t xml:space="preserve">8. </t>
    </r>
    <r>
      <rPr>
        <sz val="11"/>
        <color rgb="FF000000"/>
        <rFont val="ＭＳ Ｐゴシック"/>
        <family val="2"/>
        <charset val="128"/>
      </rPr>
      <t>事業区域外の</t>
    </r>
    <r>
      <rPr>
        <sz val="11"/>
        <color rgb="FF000000"/>
        <rFont val="ＭＳ ゴシック"/>
        <family val="3"/>
        <charset val="128"/>
      </rPr>
      <t>代償地について</t>
    </r>
    <rPh sb="3" eb="5">
      <t>ジギョウ</t>
    </rPh>
    <rPh sb="5" eb="7">
      <t>クイキ</t>
    </rPh>
    <rPh sb="7" eb="8">
      <t>ガイ</t>
    </rPh>
    <rPh sb="9" eb="11">
      <t>ダイショウ</t>
    </rPh>
    <rPh sb="11" eb="12">
      <t>チ</t>
    </rPh>
    <phoneticPr fontId="2"/>
  </si>
  <si>
    <r>
      <rPr>
        <sz val="11"/>
        <color indexed="8"/>
        <rFont val="Arial"/>
        <family val="2"/>
      </rPr>
      <t xml:space="preserve">7. </t>
    </r>
    <r>
      <rPr>
        <sz val="11"/>
        <color indexed="8"/>
        <rFont val="ＭＳ ゴシック"/>
        <family val="3"/>
        <charset val="128"/>
      </rPr>
      <t>維持管理について</t>
    </r>
    <rPh sb="3" eb="5">
      <t>イジ</t>
    </rPh>
    <rPh sb="5" eb="7">
      <t>カンリ</t>
    </rPh>
    <phoneticPr fontId="2"/>
  </si>
  <si>
    <t>バージョン：3.01</t>
    <phoneticPr fontId="20"/>
  </si>
  <si>
    <t>○ この定量評価手法を活用することで、生物の生息生育空間としての質と面積を掛け合わせた点数（総ポイント）を算出します。</t>
    <phoneticPr fontId="2"/>
  </si>
  <si>
    <t>○ この点数は、その区域における自然環境の保全・再生の「やり方」によって変わります。したがって、一つの事業案を入力し点数を出せば終わりというものではありません。</t>
    <phoneticPr fontId="2"/>
  </si>
  <si>
    <t>○ いくつもの事業案を検討し、それぞれについて定量評価手法で点数化を行い、その結果を比較検討することで、生態系ネットワーク形成の観点からより望ましい事業案を把握することができます。そのため、樹種を変える、改変面積を減らすなど、様々な条件で何度もトライしていただき、より良い取組内容となるよう活用していただきたいと考えています。</t>
    <phoneticPr fontId="2"/>
  </si>
  <si>
    <t>○ ただし、具体的にその区域にどんな生きものがどれだけ生息しているかは評価に反映されません。あくまでも、様々な主体の方々が自然環境の保全・再生を行うにあたって、その場所の特性に合わせたより良い方法を選択するための点数化を行うものです。</t>
    <phoneticPr fontId="2"/>
  </si>
  <si>
    <t>○ 希少種が生息・生育している場合には「質」の高い場所として、総ポイントが算出されます。ただし、希少種の生息・生育地が失われると種の絶滅に近づいてしまうため、そのような場所での開発行為は望ましくありません。可能な限り「回避」することが必要と考えられます。</t>
    <phoneticPr fontId="2"/>
  </si>
  <si>
    <t>○ 本手法では評価できませんが、自然環境の保全・再生においては、場所の景観や地域住民の生活環境（日当たり、落葉等）にも配慮した自然を創出することが重要です。</t>
    <phoneticPr fontId="2"/>
  </si>
  <si>
    <t>※区域外を加味する場合、上記のセルの左上の数式と結果が一致しません。</t>
    <rPh sb="1" eb="3">
      <t>クイキ</t>
    </rPh>
    <rPh sb="3" eb="4">
      <t>ソト</t>
    </rPh>
    <rPh sb="5" eb="7">
      <t>カミ</t>
    </rPh>
    <rPh sb="9" eb="11">
      <t>バアイ</t>
    </rPh>
    <rPh sb="12" eb="14">
      <t>ジョウキ</t>
    </rPh>
    <rPh sb="18" eb="20">
      <t>ヒダリウエ</t>
    </rPh>
    <rPh sb="21" eb="23">
      <t>スウシキ</t>
    </rPh>
    <rPh sb="24" eb="26">
      <t>ケッカ</t>
    </rPh>
    <rPh sb="27" eb="29">
      <t>イッチ</t>
    </rPh>
    <phoneticPr fontId="2"/>
  </si>
  <si>
    <t>202203修正</t>
    <rPh sb="6" eb="8">
      <t>シュウセイ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</si>
</sst>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0;[Red]\-#,##0.0"/>
    <numFmt numFmtId="179" formatCode="0.0_ "/>
    <numFmt numFmtId="180" formatCode="0.000_ "/>
    <numFmt numFmtId="181" formatCode="\+#,##0;[Red]\-#,##0"/>
    <numFmt numFmtId="182" formatCode="0.00_ "/>
    <numFmt numFmtId="183" formatCode="[$-F800]dddd\,\ mmmm\ dd\,\ yyyy"/>
  </numFmts>
  <fonts count="4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Arial"/>
      <family val="2"/>
    </font>
    <font>
      <sz val="11"/>
      <name val="Arial"/>
      <family val="2"/>
    </font>
    <font>
      <sz val="11"/>
      <color indexed="8"/>
      <name val="ＭＳ ゴシック"/>
      <family val="3"/>
      <charset val="128"/>
    </font>
    <font>
      <sz val="11"/>
      <name val="ＭＳ Ｐゴシック"/>
      <family val="3"/>
      <charset val="128"/>
    </font>
    <font>
      <sz val="11"/>
      <color indexed="8"/>
      <name val="ＭＳ Ｐゴシック"/>
      <family val="3"/>
      <charset val="128"/>
    </font>
    <font>
      <sz val="12"/>
      <color indexed="8"/>
      <name val="ＭＳ ゴシック"/>
      <family val="3"/>
      <charset val="128"/>
    </font>
    <font>
      <sz val="12"/>
      <color indexed="8"/>
      <name val="Arial"/>
      <family val="2"/>
    </font>
    <font>
      <sz val="12"/>
      <color indexed="9"/>
      <name val="Arial"/>
      <family val="2"/>
    </font>
    <font>
      <b/>
      <sz val="12"/>
      <color indexed="8"/>
      <name val="Arial"/>
      <family val="2"/>
    </font>
    <font>
      <sz val="16"/>
      <color indexed="8"/>
      <name val="ＭＳ ゴシック"/>
      <family val="3"/>
      <charset val="128"/>
    </font>
    <font>
      <sz val="16"/>
      <color indexed="8"/>
      <name val="Arial"/>
      <family val="2"/>
    </font>
    <font>
      <sz val="11"/>
      <color indexed="9"/>
      <name val="Arial"/>
      <family val="2"/>
    </font>
    <font>
      <sz val="20"/>
      <color indexed="8"/>
      <name val="ＭＳ ゴシック"/>
      <family val="3"/>
      <charset val="128"/>
    </font>
    <font>
      <sz val="6"/>
      <name val="ＭＳ Ｐゴシック"/>
      <family val="3"/>
      <charset val="128"/>
    </font>
    <font>
      <sz val="11"/>
      <color indexed="9"/>
      <name val="ＭＳ Ｐゴシック"/>
      <family val="3"/>
      <charset val="128"/>
    </font>
    <font>
      <sz val="12"/>
      <color indexed="9"/>
      <name val="Arial"/>
      <family val="2"/>
    </font>
    <font>
      <sz val="6"/>
      <name val="ＭＳ Ｐゴシック"/>
      <family val="3"/>
      <charset val="128"/>
      <scheme val="minor"/>
    </font>
    <font>
      <sz val="12"/>
      <name val="Arial"/>
      <family val="2"/>
    </font>
    <font>
      <sz val="12"/>
      <color theme="0"/>
      <name val="Arial"/>
      <family val="2"/>
    </font>
    <font>
      <sz val="12"/>
      <name val="ＭＳ ゴシック"/>
      <family val="3"/>
      <charset val="128"/>
    </font>
    <font>
      <sz val="14"/>
      <color indexed="81"/>
      <name val="ＭＳ Ｐゴシック"/>
      <family val="3"/>
      <charset val="128"/>
    </font>
    <font>
      <b/>
      <sz val="16"/>
      <color indexed="8"/>
      <name val="Arial"/>
      <family val="2"/>
    </font>
    <font>
      <sz val="14"/>
      <color indexed="8"/>
      <name val="ＭＳ Ｐゴシック"/>
      <family val="3"/>
      <charset val="128"/>
    </font>
    <font>
      <sz val="12"/>
      <color theme="1"/>
      <name val="Arial"/>
      <family val="2"/>
    </font>
    <font>
      <sz val="12"/>
      <color indexed="8"/>
      <name val="ＭＳ Ｐゴシック"/>
      <family val="3"/>
      <charset val="128"/>
    </font>
    <font>
      <sz val="12"/>
      <color theme="0" tint="-0.499984740745262"/>
      <name val="Arial"/>
      <family val="2"/>
    </font>
    <font>
      <sz val="12"/>
      <color theme="1" tint="0.499984740745262"/>
      <name val="Arial"/>
      <family val="2"/>
    </font>
    <font>
      <sz val="12"/>
      <name val="ＭＳ Ｐゴシック"/>
      <family val="3"/>
      <charset val="128"/>
      <scheme val="minor"/>
    </font>
    <font>
      <sz val="11"/>
      <color rgb="FFFF0000"/>
      <name val="ＭＳ Ｐゴシック"/>
      <family val="3"/>
      <charset val="128"/>
      <scheme val="minor"/>
    </font>
    <font>
      <u/>
      <sz val="12"/>
      <name val="ＭＳ Ｐゴシック"/>
      <family val="3"/>
      <charset val="128"/>
    </font>
    <font>
      <sz val="12"/>
      <name val="ＭＳ Ｐゴシック"/>
      <family val="3"/>
      <charset val="128"/>
    </font>
    <font>
      <sz val="12"/>
      <color theme="0"/>
      <name val="ＭＳ Ｐゴシック"/>
      <family val="3"/>
      <charset val="128"/>
      <scheme val="minor"/>
    </font>
    <font>
      <sz val="11"/>
      <name val="ＭＳ ゴシック"/>
      <family val="3"/>
      <charset val="128"/>
    </font>
    <font>
      <u/>
      <sz val="12"/>
      <color rgb="FFFFC000"/>
      <name val="ＭＳ Ｐゴシック"/>
      <family val="3"/>
      <charset val="128"/>
    </font>
    <font>
      <sz val="12"/>
      <color rgb="FFFFC000"/>
      <name val="Arial"/>
      <family val="2"/>
    </font>
    <font>
      <sz val="11"/>
      <color rgb="FF000000"/>
      <name val="ＭＳ Ｐゴシック"/>
      <family val="2"/>
      <charset val="128"/>
    </font>
    <font>
      <sz val="12"/>
      <color rgb="FFFF0000"/>
      <name val="ＭＳ Ｐゴシック"/>
      <family val="2"/>
      <charset val="128"/>
    </font>
    <font>
      <sz val="11"/>
      <color rgb="FF000000"/>
      <name val="Arial"/>
      <family val="2"/>
    </font>
    <font>
      <sz val="11"/>
      <color rgb="FFFF0000"/>
      <name val="ＭＳ Ｐゴシック"/>
      <family val="2"/>
      <charset val="128"/>
    </font>
    <font>
      <sz val="11"/>
      <color indexed="8"/>
      <name val="Arial"/>
      <family val="2"/>
      <charset val="128"/>
    </font>
    <font>
      <sz val="11"/>
      <color rgb="FF000000"/>
      <name val="ＭＳ ゴシック"/>
      <family val="3"/>
      <charset val="128"/>
    </font>
    <font>
      <sz val="8"/>
      <color rgb="FF000000"/>
      <name val="ＭＳ Ｐゴシック"/>
      <family val="2"/>
      <charset val="128"/>
    </font>
    <font>
      <sz val="11"/>
      <color theme="1"/>
      <name val="ＭＳ ゴシック"/>
      <family val="3"/>
      <charset val="128"/>
    </font>
  </fonts>
  <fills count="1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5"/>
        <bgColor indexed="64"/>
      </patternFill>
    </fill>
    <fill>
      <patternFill patternType="solid">
        <fgColor indexed="50"/>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s>
  <borders count="9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3"/>
      </left>
      <right/>
      <top style="thin">
        <color indexed="63"/>
      </top>
      <bottom style="thin">
        <color indexed="63"/>
      </bottom>
      <diagonal/>
    </border>
    <border>
      <left style="thin">
        <color indexed="63"/>
      </left>
      <right style="thin">
        <color indexed="63"/>
      </right>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3"/>
      </left>
      <right style="thin">
        <color indexed="63"/>
      </right>
      <top style="thin">
        <color indexed="63"/>
      </top>
      <bottom/>
      <diagonal/>
    </border>
    <border diagonalUp="1">
      <left style="thin">
        <color indexed="63"/>
      </left>
      <right style="thin">
        <color indexed="63"/>
      </right>
      <top style="thin">
        <color indexed="63"/>
      </top>
      <bottom style="thin">
        <color indexed="63"/>
      </bottom>
      <diagonal style="thin">
        <color indexed="63"/>
      </diagonal>
    </border>
    <border>
      <left/>
      <right/>
      <top style="dashed">
        <color indexed="63"/>
      </top>
      <bottom/>
      <diagonal/>
    </border>
    <border>
      <left/>
      <right/>
      <top/>
      <bottom style="dashed">
        <color indexed="63"/>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3"/>
      </left>
      <right/>
      <top/>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auto="1"/>
      </left>
      <right style="thin">
        <color auto="1"/>
      </right>
      <top style="thin">
        <color auto="1"/>
      </top>
      <bottom style="thin">
        <color auto="1"/>
      </bottom>
      <diagonal/>
    </border>
    <border diagonalUp="1">
      <left/>
      <right style="thin">
        <color indexed="63"/>
      </right>
      <top style="thin">
        <color indexed="63"/>
      </top>
      <bottom style="thin">
        <color indexed="63"/>
      </bottom>
      <diagonal style="thin">
        <color indexed="63"/>
      </diagonal>
    </border>
    <border diagonalUp="1">
      <left style="thin">
        <color indexed="63"/>
      </left>
      <right style="thin">
        <color indexed="63"/>
      </right>
      <top style="thin">
        <color indexed="63"/>
      </top>
      <bottom/>
      <diagonal style="thin">
        <color indexed="63"/>
      </diagonal>
    </border>
    <border>
      <left style="thick">
        <color rgb="FFC00000"/>
      </left>
      <right style="thick">
        <color rgb="FFC00000"/>
      </right>
      <top style="thick">
        <color rgb="FFC00000"/>
      </top>
      <bottom style="thin">
        <color auto="1"/>
      </bottom>
      <diagonal/>
    </border>
    <border>
      <left style="thick">
        <color rgb="FFC00000"/>
      </left>
      <right style="thick">
        <color rgb="FFC00000"/>
      </right>
      <top style="thin">
        <color auto="1"/>
      </top>
      <bottom style="thick">
        <color rgb="FFC00000"/>
      </bottom>
      <diagonal/>
    </border>
    <border>
      <left style="thin">
        <color indexed="63"/>
      </left>
      <right style="thin">
        <color indexed="63"/>
      </right>
      <top style="thin">
        <color indexed="63"/>
      </top>
      <bottom style="thin">
        <color indexed="64"/>
      </bottom>
      <diagonal/>
    </border>
    <border>
      <left style="thin">
        <color indexed="63"/>
      </left>
      <right style="thin">
        <color indexed="63"/>
      </right>
      <top style="thin">
        <color indexed="64"/>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C00000"/>
      </left>
      <right style="thick">
        <color rgb="FFC00000"/>
      </right>
      <top/>
      <bottom/>
      <diagonal/>
    </border>
    <border>
      <left style="thick">
        <color rgb="FFC00000"/>
      </left>
      <right style="thick">
        <color rgb="FFC00000"/>
      </right>
      <top style="thick">
        <color rgb="FFC00000"/>
      </top>
      <bottom/>
      <diagonal/>
    </border>
    <border>
      <left style="thick">
        <color rgb="FFC00000"/>
      </left>
      <right style="thick">
        <color rgb="FFC00000"/>
      </right>
      <top/>
      <bottom style="thick">
        <color rgb="FFC00000"/>
      </bottom>
      <diagonal/>
    </border>
    <border diagonalUp="1">
      <left style="thin">
        <color indexed="63"/>
      </left>
      <right style="thin">
        <color indexed="63"/>
      </right>
      <top/>
      <bottom style="thin">
        <color indexed="63"/>
      </bottom>
      <diagonal style="thin">
        <color indexed="63"/>
      </diagonal>
    </border>
    <border>
      <left style="thick">
        <color rgb="FFC00000"/>
      </left>
      <right style="thick">
        <color rgb="FFC00000"/>
      </right>
      <top style="thin">
        <color auto="1"/>
      </top>
      <bottom/>
      <diagonal/>
    </border>
    <border>
      <left/>
      <right style="thin">
        <color auto="1"/>
      </right>
      <top style="thin">
        <color indexed="63"/>
      </top>
      <bottom style="thin">
        <color indexed="63"/>
      </bottom>
      <diagonal/>
    </border>
    <border>
      <left/>
      <right style="thin">
        <color auto="1"/>
      </right>
      <top/>
      <bottom/>
      <diagonal/>
    </border>
    <border>
      <left style="thin">
        <color indexed="64"/>
      </left>
      <right/>
      <top style="thin">
        <color indexed="64"/>
      </top>
      <bottom style="dashed">
        <color indexed="63"/>
      </bottom>
      <diagonal/>
    </border>
    <border>
      <left/>
      <right/>
      <top style="thin">
        <color indexed="64"/>
      </top>
      <bottom style="dashed">
        <color indexed="63"/>
      </bottom>
      <diagonal/>
    </border>
    <border>
      <left/>
      <right style="thin">
        <color indexed="64"/>
      </right>
      <top style="thin">
        <color indexed="64"/>
      </top>
      <bottom style="dashed">
        <color indexed="63"/>
      </bottom>
      <diagonal/>
    </border>
    <border>
      <left style="thin">
        <color indexed="64"/>
      </left>
      <right/>
      <top style="dashed">
        <color indexed="63"/>
      </top>
      <bottom/>
      <diagonal/>
    </border>
    <border>
      <left/>
      <right style="thin">
        <color indexed="64"/>
      </right>
      <top style="dashed">
        <color indexed="63"/>
      </top>
      <bottom/>
      <diagonal/>
    </border>
    <border>
      <left style="thin">
        <color indexed="64"/>
      </left>
      <right/>
      <top/>
      <bottom/>
      <diagonal/>
    </border>
    <border>
      <left style="thin">
        <color indexed="64"/>
      </left>
      <right/>
      <top/>
      <bottom style="dashed">
        <color indexed="63"/>
      </bottom>
      <diagonal/>
    </border>
    <border>
      <left/>
      <right style="thin">
        <color indexed="64"/>
      </right>
      <top/>
      <bottom style="dashed">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3"/>
      </top>
      <bottom style="thin">
        <color indexed="63"/>
      </bottom>
      <diagonal/>
    </border>
    <border>
      <left/>
      <right style="thin">
        <color indexed="63"/>
      </right>
      <top style="thin">
        <color indexed="63"/>
      </top>
      <bottom/>
      <diagonal/>
    </border>
    <border>
      <left style="thin">
        <color indexed="63"/>
      </left>
      <right/>
      <top style="thin">
        <color indexed="6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rgb="FFC00000"/>
      </right>
      <top style="medium">
        <color rgb="FFC00000"/>
      </top>
      <bottom style="thin">
        <color auto="1"/>
      </bottom>
      <diagonal/>
    </border>
    <border>
      <left/>
      <right style="medium">
        <color rgb="FFC00000"/>
      </right>
      <top style="thin">
        <color auto="1"/>
      </top>
      <bottom style="thin">
        <color auto="1"/>
      </bottom>
      <diagonal/>
    </border>
    <border>
      <left/>
      <right style="medium">
        <color rgb="FFC00000"/>
      </right>
      <top style="thin">
        <color auto="1"/>
      </top>
      <bottom style="medium">
        <color rgb="FFC00000"/>
      </bottom>
      <diagonal/>
    </border>
    <border>
      <left style="medium">
        <color rgb="FF0070C0"/>
      </left>
      <right style="medium">
        <color rgb="FF0070C0"/>
      </right>
      <top style="medium">
        <color rgb="FF0070C0"/>
      </top>
      <bottom style="thin">
        <color indexed="64"/>
      </bottom>
      <diagonal/>
    </border>
    <border>
      <left style="medium">
        <color rgb="FF0070C0"/>
      </left>
      <right style="medium">
        <color rgb="FF0070C0"/>
      </right>
      <top style="thin">
        <color indexed="64"/>
      </top>
      <bottom style="thin">
        <color indexed="64"/>
      </bottom>
      <diagonal/>
    </border>
    <border>
      <left style="medium">
        <color rgb="FF0070C0"/>
      </left>
      <right style="medium">
        <color rgb="FF0070C0"/>
      </right>
      <top style="thin">
        <color indexed="64"/>
      </top>
      <bottom style="medium">
        <color rgb="FF0070C0"/>
      </bottom>
      <diagonal/>
    </border>
    <border>
      <left style="thin">
        <color indexed="63"/>
      </left>
      <right style="thin">
        <color indexed="63"/>
      </right>
      <top/>
      <bottom/>
      <diagonal/>
    </border>
    <border diagonalUp="1">
      <left style="thin">
        <color indexed="63"/>
      </left>
      <right/>
      <top style="thin">
        <color indexed="63"/>
      </top>
      <bottom style="thin">
        <color indexed="63"/>
      </bottom>
      <diagonal style="thin">
        <color indexed="63"/>
      </diagonal>
    </border>
    <border>
      <left/>
      <right style="medium">
        <color rgb="FFC00000"/>
      </right>
      <top style="medium">
        <color rgb="FFC00000"/>
      </top>
      <bottom style="thin">
        <color indexed="63"/>
      </bottom>
      <diagonal/>
    </border>
    <border>
      <left/>
      <right style="medium">
        <color rgb="FFC00000"/>
      </right>
      <top style="thin">
        <color indexed="63"/>
      </top>
      <bottom style="thin">
        <color indexed="63"/>
      </bottom>
      <diagonal/>
    </border>
    <border>
      <left/>
      <right style="medium">
        <color rgb="FFC00000"/>
      </right>
      <top style="thin">
        <color indexed="63"/>
      </top>
      <bottom style="medium">
        <color rgb="FFC00000"/>
      </bottom>
      <diagonal/>
    </border>
    <border>
      <left style="medium">
        <color rgb="FF0070C0"/>
      </left>
      <right style="medium">
        <color rgb="FF0070C0"/>
      </right>
      <top style="medium">
        <color rgb="FF0070C0"/>
      </top>
      <bottom style="thin">
        <color indexed="63"/>
      </bottom>
      <diagonal/>
    </border>
    <border>
      <left style="medium">
        <color rgb="FF0070C0"/>
      </left>
      <right style="medium">
        <color rgb="FF0070C0"/>
      </right>
      <top style="thin">
        <color indexed="63"/>
      </top>
      <bottom style="thin">
        <color indexed="63"/>
      </bottom>
      <diagonal/>
    </border>
    <border>
      <left style="medium">
        <color rgb="FF0070C0"/>
      </left>
      <right style="medium">
        <color rgb="FF0070C0"/>
      </right>
      <top style="thin">
        <color indexed="63"/>
      </top>
      <bottom style="medium">
        <color rgb="FF0070C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3"/>
      </left>
      <right style="thin">
        <color indexed="63"/>
      </right>
      <top/>
      <bottom style="thin">
        <color indexed="63"/>
      </bottom>
      <diagonal style="thin">
        <color indexed="64"/>
      </diagonal>
    </border>
    <border diagonalUp="1">
      <left style="thin">
        <color indexed="63"/>
      </left>
      <right style="thin">
        <color indexed="63"/>
      </right>
      <top style="thin">
        <color indexed="63"/>
      </top>
      <bottom style="thin">
        <color indexed="63"/>
      </bottom>
      <diagonal style="thin">
        <color indexed="64"/>
      </diagonal>
    </border>
    <border diagonalUp="1">
      <left style="thin">
        <color indexed="63"/>
      </left>
      <right/>
      <top style="thin">
        <color indexed="63"/>
      </top>
      <bottom style="thin">
        <color indexed="63"/>
      </bottom>
      <diagonal style="thin">
        <color indexed="64"/>
      </diagonal>
    </border>
    <border>
      <left style="thin">
        <color indexed="63"/>
      </left>
      <right style="thin">
        <color indexed="63"/>
      </right>
      <top style="thin">
        <color indexed="63"/>
      </top>
      <bottom style="thin">
        <color indexed="63"/>
      </bottom>
      <diagonal/>
    </border>
    <border>
      <left/>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4"/>
      </bottom>
      <diagonal/>
    </border>
    <border diagonalUp="1">
      <left style="thin">
        <color indexed="63"/>
      </left>
      <right/>
      <top style="thin">
        <color indexed="63"/>
      </top>
      <bottom/>
      <diagonal style="thin">
        <color indexed="63"/>
      </diagonal>
    </border>
    <border diagonalUp="1">
      <left style="thin">
        <color indexed="64"/>
      </left>
      <right style="thick">
        <color rgb="FFC00000"/>
      </right>
      <top style="thin">
        <color indexed="63"/>
      </top>
      <bottom style="thin">
        <color indexed="63"/>
      </bottom>
      <diagonal style="thin">
        <color indexed="64"/>
      </diagonal>
    </border>
    <border>
      <left/>
      <right style="thin">
        <color auto="1"/>
      </right>
      <top style="thin">
        <color indexed="63"/>
      </top>
      <bottom style="thin">
        <color indexed="63"/>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364">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7" fillId="0" borderId="0" xfId="0" applyFont="1" applyFill="1" applyBorder="1" applyAlignment="1">
      <alignment vertical="center" wrapText="1"/>
    </xf>
    <xf numFmtId="0" fontId="0" fillId="3" borderId="0" xfId="0" applyFill="1">
      <alignment vertical="center"/>
    </xf>
    <xf numFmtId="176" fontId="0" fillId="0" borderId="0" xfId="0" applyNumberFormat="1" applyFill="1">
      <alignment vertical="center"/>
    </xf>
    <xf numFmtId="0" fontId="0" fillId="0" borderId="0" xfId="0" applyProtection="1">
      <alignment vertical="center"/>
      <protection hidden="1"/>
    </xf>
    <xf numFmtId="0" fontId="0" fillId="4" borderId="0" xfId="0" applyFill="1">
      <alignment vertical="center"/>
    </xf>
    <xf numFmtId="0" fontId="0" fillId="0" borderId="0" xfId="0" applyAlignment="1">
      <alignment vertical="center" wrapText="1"/>
    </xf>
    <xf numFmtId="176" fontId="0" fillId="0" borderId="0" xfId="0" applyNumberFormat="1" applyAlignment="1">
      <alignment vertical="center" wrapText="1"/>
    </xf>
    <xf numFmtId="176" fontId="0" fillId="0" borderId="0" xfId="0" applyNumberFormat="1" applyFill="1" applyAlignment="1">
      <alignment vertical="center" wrapText="1"/>
    </xf>
    <xf numFmtId="0" fontId="0" fillId="5" borderId="0" xfId="0" applyFill="1">
      <alignment vertical="center"/>
    </xf>
    <xf numFmtId="0" fontId="10" fillId="0" borderId="0" xfId="0" applyFont="1" applyProtection="1">
      <alignment vertical="center"/>
    </xf>
    <xf numFmtId="0" fontId="31" fillId="0" borderId="0" xfId="0" applyFont="1" applyProtection="1">
      <alignment vertical="center"/>
    </xf>
    <xf numFmtId="0" fontId="15" fillId="0" borderId="0" xfId="0" applyFont="1" applyProtection="1">
      <alignment vertical="center"/>
      <protection hidden="1"/>
    </xf>
    <xf numFmtId="176" fontId="21" fillId="0" borderId="0" xfId="0" applyNumberFormat="1" applyFont="1" applyFill="1" applyBorder="1" applyProtection="1">
      <alignment vertical="center"/>
      <protection hidden="1"/>
    </xf>
    <xf numFmtId="176" fontId="21" fillId="0" borderId="0" xfId="0" applyNumberFormat="1" applyFont="1" applyBorder="1" applyProtection="1">
      <alignment vertical="center"/>
      <protection hidden="1"/>
    </xf>
    <xf numFmtId="179" fontId="21" fillId="0" borderId="0" xfId="0" applyNumberFormat="1" applyFont="1" applyBorder="1" applyProtection="1">
      <alignment vertical="center"/>
      <protection hidden="1"/>
    </xf>
    <xf numFmtId="0" fontId="34" fillId="0" borderId="0" xfId="0" applyFont="1" applyFill="1" applyProtection="1">
      <alignment vertical="center"/>
      <protection hidden="1"/>
    </xf>
    <xf numFmtId="0" fontId="31" fillId="2" borderId="1" xfId="0" applyFont="1" applyFill="1" applyBorder="1" applyProtection="1">
      <alignment vertical="center"/>
      <protection locked="0"/>
    </xf>
    <xf numFmtId="0" fontId="31" fillId="2" borderId="3" xfId="0" applyFont="1" applyFill="1" applyBorder="1" applyProtection="1">
      <alignment vertical="center"/>
      <protection locked="0"/>
    </xf>
    <xf numFmtId="0" fontId="31" fillId="0" borderId="1" xfId="0" applyFont="1" applyFill="1" applyBorder="1" applyProtection="1">
      <alignment vertical="center"/>
      <protection locked="0"/>
    </xf>
    <xf numFmtId="0" fontId="31" fillId="0" borderId="1" xfId="0" applyFont="1" applyBorder="1" applyAlignment="1" applyProtection="1">
      <alignment vertical="center" wrapText="1"/>
      <protection locked="0"/>
    </xf>
    <xf numFmtId="0" fontId="31" fillId="0" borderId="1" xfId="0" applyFont="1" applyFill="1" applyBorder="1" applyAlignment="1" applyProtection="1">
      <alignment vertical="center" wrapText="1"/>
      <protection locked="0"/>
    </xf>
    <xf numFmtId="0" fontId="34" fillId="0" borderId="0" xfId="0" applyFont="1" applyFill="1" applyBorder="1" applyAlignment="1" applyProtection="1">
      <alignment horizontal="center" vertical="center"/>
      <protection hidden="1"/>
    </xf>
    <xf numFmtId="0" fontId="34" fillId="0" borderId="0" xfId="0" applyFont="1" applyFill="1" applyBorder="1" applyProtection="1">
      <alignment vertical="center"/>
      <protection hidden="1"/>
    </xf>
    <xf numFmtId="0" fontId="31" fillId="0" borderId="1" xfId="0" applyFont="1" applyFill="1" applyBorder="1" applyAlignment="1" applyProtection="1">
      <alignment horizontal="center" vertical="center"/>
      <protection locked="0"/>
    </xf>
    <xf numFmtId="0" fontId="4" fillId="0" borderId="0" xfId="0" applyFont="1" applyProtection="1">
      <alignment vertical="center"/>
      <protection hidden="1"/>
    </xf>
    <xf numFmtId="0" fontId="6" fillId="0" borderId="0" xfId="0" applyFont="1" applyProtection="1">
      <alignment vertical="center"/>
      <protection hidden="1"/>
    </xf>
    <xf numFmtId="0" fontId="31" fillId="0" borderId="19" xfId="0" applyFont="1" applyBorder="1" applyProtection="1">
      <alignment vertical="center"/>
    </xf>
    <xf numFmtId="0" fontId="31" fillId="3" borderId="2" xfId="0" applyFont="1" applyFill="1" applyBorder="1" applyAlignment="1" applyProtection="1">
      <alignment horizontal="center" vertical="center"/>
    </xf>
    <xf numFmtId="0" fontId="31" fillId="3" borderId="2" xfId="0" applyFont="1" applyFill="1" applyBorder="1" applyProtection="1">
      <alignment vertical="center"/>
    </xf>
    <xf numFmtId="0" fontId="31" fillId="3" borderId="6" xfId="0" applyFont="1" applyFill="1" applyBorder="1" applyProtection="1">
      <alignment vertical="center"/>
    </xf>
    <xf numFmtId="0" fontId="31" fillId="3" borderId="36" xfId="0" applyFont="1" applyFill="1" applyBorder="1" applyProtection="1">
      <alignment vertical="center"/>
    </xf>
    <xf numFmtId="0" fontId="31" fillId="3" borderId="36" xfId="0" applyFont="1" applyFill="1" applyBorder="1" applyAlignment="1" applyProtection="1">
      <alignment horizontal="left" vertical="center"/>
    </xf>
    <xf numFmtId="0" fontId="31" fillId="6" borderId="1" xfId="0" applyFont="1" applyFill="1" applyBorder="1" applyProtection="1">
      <alignment vertical="center"/>
    </xf>
    <xf numFmtId="0" fontId="31" fillId="7" borderId="5" xfId="0" applyFont="1" applyFill="1" applyBorder="1" applyProtection="1">
      <alignment vertical="center"/>
    </xf>
    <xf numFmtId="0" fontId="31" fillId="7" borderId="7" xfId="0" applyFont="1" applyFill="1" applyBorder="1" applyProtection="1">
      <alignment vertical="center"/>
    </xf>
    <xf numFmtId="0" fontId="31" fillId="7" borderId="8" xfId="0" applyFont="1" applyFill="1" applyBorder="1" applyProtection="1">
      <alignment vertical="center"/>
    </xf>
    <xf numFmtId="0" fontId="31" fillId="3" borderId="5" xfId="0" applyFont="1" applyFill="1" applyBorder="1" applyProtection="1">
      <alignment vertical="center"/>
    </xf>
    <xf numFmtId="0" fontId="31" fillId="3" borderId="1" xfId="0" applyFont="1" applyFill="1" applyBorder="1" applyProtection="1">
      <alignment vertical="center"/>
    </xf>
    <xf numFmtId="0" fontId="31" fillId="3" borderId="1" xfId="0" applyFont="1" applyFill="1" applyBorder="1" applyAlignment="1" applyProtection="1">
      <alignment horizontal="left" vertical="center"/>
    </xf>
    <xf numFmtId="0" fontId="10" fillId="0" borderId="9" xfId="0" applyFont="1" applyBorder="1" applyProtection="1">
      <alignment vertical="center"/>
    </xf>
    <xf numFmtId="0" fontId="10" fillId="0" borderId="10" xfId="0" applyFont="1" applyBorder="1" applyProtection="1">
      <alignment vertical="center"/>
    </xf>
    <xf numFmtId="0" fontId="10" fillId="0" borderId="11" xfId="0" applyFont="1" applyFill="1" applyBorder="1" applyProtection="1">
      <alignment vertical="center"/>
    </xf>
    <xf numFmtId="0" fontId="10" fillId="0" borderId="12" xfId="0" applyFont="1" applyBorder="1" applyProtection="1">
      <alignment vertical="center"/>
    </xf>
    <xf numFmtId="0" fontId="10" fillId="0" borderId="13" xfId="0" applyFont="1" applyFill="1" applyBorder="1" applyProtection="1">
      <alignment vertical="center"/>
    </xf>
    <xf numFmtId="0" fontId="10" fillId="0" borderId="0" xfId="0" applyFont="1" applyBorder="1" applyProtection="1">
      <alignment vertical="center"/>
    </xf>
    <xf numFmtId="0" fontId="10" fillId="0" borderId="0" xfId="0" applyFont="1" applyFill="1" applyBorder="1" applyProtection="1">
      <alignment vertical="center"/>
    </xf>
    <xf numFmtId="14" fontId="10" fillId="0" borderId="0" xfId="0" applyNumberFormat="1" applyFont="1" applyFill="1" applyBorder="1" applyAlignment="1" applyProtection="1">
      <alignment vertical="center"/>
    </xf>
    <xf numFmtId="38" fontId="28" fillId="10" borderId="59" xfId="1" applyFont="1" applyFill="1" applyBorder="1" applyAlignment="1" applyProtection="1">
      <alignment vertical="center"/>
    </xf>
    <xf numFmtId="38" fontId="10" fillId="0" borderId="0" xfId="1"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0" xfId="0" applyFont="1" applyBorder="1" applyAlignment="1" applyProtection="1">
      <alignment horizontal="left" vertical="center"/>
    </xf>
    <xf numFmtId="0" fontId="10" fillId="0" borderId="12" xfId="0" applyFont="1" applyFill="1" applyBorder="1" applyProtection="1">
      <alignment vertical="center"/>
    </xf>
    <xf numFmtId="38" fontId="10" fillId="0" borderId="0" xfId="1" applyFont="1" applyFill="1" applyBorder="1" applyAlignment="1" applyProtection="1">
      <alignment horizontal="center" vertical="center"/>
    </xf>
    <xf numFmtId="0" fontId="28" fillId="3" borderId="5"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38" fontId="10" fillId="0" borderId="42" xfId="1" applyFont="1" applyFill="1" applyBorder="1" applyAlignment="1" applyProtection="1">
      <alignment horizontal="center" vertical="center"/>
    </xf>
    <xf numFmtId="38" fontId="10" fillId="0" borderId="15" xfId="1" applyFont="1" applyFill="1" applyBorder="1" applyAlignment="1" applyProtection="1">
      <alignment horizontal="center" vertical="center"/>
    </xf>
    <xf numFmtId="177" fontId="10" fillId="0" borderId="13" xfId="0" applyNumberFormat="1" applyFont="1" applyFill="1" applyBorder="1" applyAlignment="1" applyProtection="1">
      <alignment horizontal="center" vertical="center"/>
    </xf>
    <xf numFmtId="0" fontId="10" fillId="3" borderId="33" xfId="0" quotePrefix="1" applyFont="1" applyFill="1" applyBorder="1" applyAlignment="1" applyProtection="1">
      <alignment horizontal="center" vertical="center" wrapText="1"/>
    </xf>
    <xf numFmtId="177" fontId="12" fillId="0" borderId="13" xfId="0" applyNumberFormat="1" applyFont="1" applyFill="1" applyBorder="1" applyAlignment="1" applyProtection="1">
      <alignment horizontal="center" vertical="center"/>
    </xf>
    <xf numFmtId="38" fontId="29" fillId="0" borderId="32" xfId="1" applyFont="1" applyFill="1" applyBorder="1" applyAlignment="1" applyProtection="1">
      <alignment horizontal="center" vertical="center"/>
    </xf>
    <xf numFmtId="38" fontId="10" fillId="0" borderId="32" xfId="1" applyFont="1" applyFill="1" applyBorder="1" applyAlignment="1" applyProtection="1">
      <alignment horizontal="center" vertical="center"/>
    </xf>
    <xf numFmtId="0" fontId="9" fillId="3" borderId="33" xfId="0" applyFont="1" applyFill="1" applyBorder="1" applyAlignment="1" applyProtection="1">
      <alignment horizontal="center" vertical="center" wrapText="1"/>
    </xf>
    <xf numFmtId="0" fontId="10" fillId="0" borderId="13" xfId="0" quotePrefix="1" applyFont="1" applyFill="1" applyBorder="1" applyAlignment="1" applyProtection="1">
      <alignment horizontal="center" vertical="center" wrapText="1"/>
    </xf>
    <xf numFmtId="181" fontId="10" fillId="0" borderId="8" xfId="1" applyNumberFormat="1" applyFont="1" applyFill="1" applyBorder="1" applyAlignment="1" applyProtection="1">
      <alignment horizontal="center" vertical="center"/>
    </xf>
    <xf numFmtId="38" fontId="10" fillId="0" borderId="31" xfId="1"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wrapText="1"/>
    </xf>
    <xf numFmtId="0" fontId="10" fillId="3" borderId="76" xfId="0" applyFont="1" applyFill="1" applyBorder="1" applyAlignment="1" applyProtection="1">
      <alignment horizontal="center" vertical="center"/>
    </xf>
    <xf numFmtId="0" fontId="10" fillId="3" borderId="76" xfId="0" applyFont="1" applyFill="1" applyBorder="1" applyAlignment="1" applyProtection="1">
      <alignment horizontal="center" vertical="center" wrapText="1"/>
    </xf>
    <xf numFmtId="38" fontId="10" fillId="0" borderId="77"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0" fillId="3" borderId="46" xfId="0" applyFont="1" applyFill="1" applyBorder="1" applyAlignment="1" applyProtection="1">
      <alignment horizontal="left" vertical="center"/>
    </xf>
    <xf numFmtId="0" fontId="10" fillId="3" borderId="47" xfId="0" applyFont="1" applyFill="1" applyBorder="1" applyAlignment="1" applyProtection="1">
      <alignment horizontal="left" vertical="center"/>
    </xf>
    <xf numFmtId="0" fontId="10" fillId="3" borderId="48" xfId="0" applyFont="1" applyFill="1" applyBorder="1" applyAlignment="1" applyProtection="1">
      <alignment horizontal="left" vertical="center"/>
    </xf>
    <xf numFmtId="0" fontId="21" fillId="3" borderId="49" xfId="0" applyFont="1" applyFill="1" applyBorder="1" applyAlignment="1" applyProtection="1">
      <alignment horizontal="left" vertical="center"/>
    </xf>
    <xf numFmtId="0" fontId="21" fillId="3" borderId="16" xfId="0" applyFont="1" applyFill="1" applyBorder="1" applyAlignment="1" applyProtection="1">
      <alignment horizontal="left" vertical="center"/>
    </xf>
    <xf numFmtId="0" fontId="21" fillId="3" borderId="50" xfId="0" applyFont="1" applyFill="1" applyBorder="1" applyAlignment="1" applyProtection="1">
      <alignment horizontal="left" vertical="center"/>
    </xf>
    <xf numFmtId="0" fontId="10" fillId="0" borderId="13" xfId="0" applyFont="1" applyFill="1" applyBorder="1" applyAlignment="1" applyProtection="1">
      <alignment vertical="center" wrapText="1"/>
    </xf>
    <xf numFmtId="0" fontId="10" fillId="0" borderId="13" xfId="0" applyFont="1" applyFill="1" applyBorder="1" applyAlignment="1" applyProtection="1">
      <alignment horizontal="center" vertical="center"/>
    </xf>
    <xf numFmtId="0" fontId="21" fillId="0" borderId="51"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45"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53" xfId="0" applyFont="1" applyFill="1" applyBorder="1" applyAlignment="1" applyProtection="1">
      <alignment vertical="center"/>
    </xf>
    <xf numFmtId="0" fontId="10" fillId="0" borderId="54" xfId="0" applyFont="1" applyFill="1" applyBorder="1" applyAlignment="1" applyProtection="1">
      <alignment vertical="center"/>
    </xf>
    <xf numFmtId="0" fontId="10" fillId="0" borderId="55" xfId="0" applyFont="1" applyFill="1" applyBorder="1" applyAlignment="1" applyProtection="1">
      <alignment vertical="center"/>
    </xf>
    <xf numFmtId="0" fontId="10" fillId="0" borderId="56" xfId="0" applyFont="1" applyFill="1" applyBorder="1" applyAlignment="1" applyProtection="1">
      <alignment vertical="center"/>
    </xf>
    <xf numFmtId="0" fontId="10" fillId="0" borderId="21" xfId="0" applyFont="1" applyBorder="1" applyProtection="1">
      <alignment vertical="center"/>
    </xf>
    <xf numFmtId="0" fontId="10" fillId="0" borderId="22" xfId="0" applyFont="1" applyBorder="1" applyProtection="1">
      <alignment vertical="center"/>
    </xf>
    <xf numFmtId="0" fontId="10" fillId="0" borderId="23" xfId="0" applyFont="1" applyFill="1" applyBorder="1" applyProtection="1">
      <alignment vertical="center"/>
    </xf>
    <xf numFmtId="38" fontId="10" fillId="0" borderId="73" xfId="1" applyFont="1" applyFill="1" applyBorder="1" applyAlignment="1" applyProtection="1">
      <alignment horizontal="center" vertical="center"/>
      <protection hidden="1"/>
    </xf>
    <xf numFmtId="38" fontId="10" fillId="0" borderId="70" xfId="1" applyFont="1" applyFill="1" applyBorder="1" applyAlignment="1" applyProtection="1">
      <alignment horizontal="center" vertical="center"/>
      <protection hidden="1"/>
    </xf>
    <xf numFmtId="38" fontId="10" fillId="0" borderId="74" xfId="1" applyFont="1" applyFill="1" applyBorder="1" applyAlignment="1" applyProtection="1">
      <alignment horizontal="center" vertical="center"/>
      <protection hidden="1"/>
    </xf>
    <xf numFmtId="38" fontId="10" fillId="0" borderId="71" xfId="1" applyFont="1" applyFill="1" applyBorder="1" applyAlignment="1" applyProtection="1">
      <alignment horizontal="center" vertical="center"/>
      <protection hidden="1"/>
    </xf>
    <xf numFmtId="38" fontId="10" fillId="0" borderId="75" xfId="1" applyFont="1" applyFill="1" applyBorder="1" applyAlignment="1" applyProtection="1">
      <alignment horizontal="center" vertical="center"/>
      <protection hidden="1"/>
    </xf>
    <xf numFmtId="38" fontId="10" fillId="0" borderId="72" xfId="1" applyFont="1" applyFill="1" applyBorder="1" applyAlignment="1" applyProtection="1">
      <alignment horizontal="center" vertical="center"/>
      <protection hidden="1"/>
    </xf>
    <xf numFmtId="38" fontId="10" fillId="0" borderId="81" xfId="1" applyFont="1" applyFill="1" applyBorder="1" applyProtection="1">
      <alignment vertical="center"/>
      <protection hidden="1"/>
    </xf>
    <xf numFmtId="38" fontId="10" fillId="0" borderId="78" xfId="1" applyFont="1" applyFill="1" applyBorder="1" applyProtection="1">
      <alignment vertical="center"/>
      <protection hidden="1"/>
    </xf>
    <xf numFmtId="38" fontId="10" fillId="0" borderId="82" xfId="1" applyFont="1" applyFill="1" applyBorder="1" applyProtection="1">
      <alignment vertical="center"/>
      <protection hidden="1"/>
    </xf>
    <xf numFmtId="38" fontId="10" fillId="0" borderId="79" xfId="1" applyFont="1" applyFill="1" applyBorder="1" applyProtection="1">
      <alignment vertical="center"/>
      <protection hidden="1"/>
    </xf>
    <xf numFmtId="38" fontId="10" fillId="0" borderId="83" xfId="1" applyFont="1" applyFill="1" applyBorder="1" applyProtection="1">
      <alignment vertical="center"/>
      <protection hidden="1"/>
    </xf>
    <xf numFmtId="38" fontId="10" fillId="0" borderId="80" xfId="1" applyFont="1" applyFill="1" applyBorder="1" applyProtection="1">
      <alignment vertical="center"/>
      <protection hidden="1"/>
    </xf>
    <xf numFmtId="0" fontId="5" fillId="0" borderId="0" xfId="0" applyFont="1" applyProtection="1">
      <alignment vertical="center"/>
      <protection hidden="1"/>
    </xf>
    <xf numFmtId="0" fontId="7" fillId="0" borderId="0" xfId="0" applyFont="1" applyBorder="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Border="1" applyProtection="1">
      <alignment vertical="center"/>
      <protection hidden="1"/>
    </xf>
    <xf numFmtId="0" fontId="5" fillId="0" borderId="0" xfId="0" applyFont="1" applyFill="1" applyBorder="1" applyProtection="1">
      <alignment vertical="center"/>
      <protection hidden="1"/>
    </xf>
    <xf numFmtId="0" fontId="5" fillId="0" borderId="0" xfId="0" applyFont="1" applyFill="1" applyBorder="1" applyAlignment="1" applyProtection="1">
      <alignment horizontal="left" vertical="center"/>
      <protection hidden="1"/>
    </xf>
    <xf numFmtId="0" fontId="36" fillId="0" borderId="0" xfId="0" applyFont="1" applyFill="1" applyBorder="1" applyAlignment="1" applyProtection="1">
      <alignment horizontal="left" vertical="center"/>
      <protection hidden="1"/>
    </xf>
    <xf numFmtId="0" fontId="36"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0" fontId="18" fillId="0" borderId="0" xfId="0" applyFont="1" applyProtection="1">
      <alignment vertical="center"/>
      <protection hidden="1"/>
    </xf>
    <xf numFmtId="0" fontId="16" fillId="0" borderId="0" xfId="0" applyFont="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vertical="center" wrapText="1"/>
    </xf>
    <xf numFmtId="0" fontId="6" fillId="3" borderId="0" xfId="0" applyFont="1" applyFill="1" applyAlignment="1" applyProtection="1">
      <alignment vertical="center" wrapText="1"/>
    </xf>
    <xf numFmtId="0" fontId="6" fillId="0" borderId="0" xfId="0" applyFont="1" applyAlignment="1" applyProtection="1">
      <alignment vertical="center" wrapText="1"/>
    </xf>
    <xf numFmtId="0" fontId="0" fillId="0" borderId="0" xfId="0" applyProtection="1">
      <alignment vertical="center"/>
    </xf>
    <xf numFmtId="0" fontId="4" fillId="0" borderId="0" xfId="0" applyFont="1" applyAlignment="1" applyProtection="1">
      <alignment horizontal="left" vertical="center"/>
    </xf>
    <xf numFmtId="14" fontId="6" fillId="0" borderId="2" xfId="0" applyNumberFormat="1" applyFont="1" applyFill="1" applyBorder="1" applyAlignment="1" applyProtection="1">
      <alignment horizontal="left" vertical="center"/>
      <protection locked="0"/>
    </xf>
    <xf numFmtId="14" fontId="4" fillId="0" borderId="2" xfId="0" applyNumberFormat="1" applyFont="1" applyFill="1" applyBorder="1" applyAlignment="1" applyProtection="1">
      <alignment horizontal="left" vertical="center"/>
      <protection locked="0"/>
    </xf>
    <xf numFmtId="14" fontId="4" fillId="0" borderId="30" xfId="0" applyNumberFormat="1"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3" fontId="4" fillId="0" borderId="1"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0" fillId="0" borderId="1" xfId="0" applyFont="1" applyBorder="1" applyProtection="1">
      <alignment vertical="center"/>
      <protection locked="0"/>
    </xf>
    <xf numFmtId="0" fontId="6" fillId="8" borderId="1" xfId="0" applyFont="1" applyFill="1" applyBorder="1" applyAlignment="1" applyProtection="1">
      <alignment horizontal="left" vertical="center"/>
      <protection locked="0"/>
    </xf>
    <xf numFmtId="0" fontId="0" fillId="8" borderId="1" xfId="0" applyFont="1" applyFill="1" applyBorder="1" applyAlignment="1" applyProtection="1">
      <alignment vertical="center" wrapText="1"/>
      <protection locked="0"/>
    </xf>
    <xf numFmtId="0" fontId="1" fillId="0" borderId="1" xfId="0" applyNumberFormat="1" applyFont="1" applyBorder="1" applyAlignment="1" applyProtection="1">
      <alignment horizontal="left" vertical="center"/>
      <protection locked="0"/>
    </xf>
    <xf numFmtId="0" fontId="0" fillId="8" borderId="1" xfId="1" applyNumberFormat="1" applyFont="1" applyFill="1" applyBorder="1" applyAlignment="1" applyProtection="1">
      <alignment horizontal="left" vertical="center"/>
      <protection locked="0"/>
    </xf>
    <xf numFmtId="182" fontId="0" fillId="0" borderId="0" xfId="0" applyNumberFormat="1">
      <alignment vertical="center"/>
    </xf>
    <xf numFmtId="176" fontId="38" fillId="0" borderId="0" xfId="0" applyNumberFormat="1" applyFont="1" applyBorder="1" applyProtection="1">
      <alignment vertical="center"/>
      <protection hidden="1"/>
    </xf>
    <xf numFmtId="38" fontId="9" fillId="0" borderId="26" xfId="1" applyFont="1" applyFill="1" applyBorder="1" applyAlignment="1" applyProtection="1">
      <alignment vertical="center" wrapText="1"/>
    </xf>
    <xf numFmtId="38" fontId="9" fillId="0" borderId="0" xfId="1" applyFont="1" applyFill="1" applyBorder="1" applyAlignment="1" applyProtection="1">
      <alignment vertical="center" wrapText="1"/>
    </xf>
    <xf numFmtId="0" fontId="10" fillId="3" borderId="85" xfId="0" applyFont="1" applyFill="1" applyBorder="1" applyAlignment="1" applyProtection="1">
      <alignment horizontal="center" vertical="center"/>
    </xf>
    <xf numFmtId="0" fontId="10" fillId="3" borderId="85" xfId="0" applyFont="1" applyFill="1" applyBorder="1" applyAlignment="1" applyProtection="1">
      <alignment horizontal="center" vertical="center" wrapText="1"/>
    </xf>
    <xf numFmtId="0" fontId="0" fillId="0" borderId="0" xfId="0" applyFill="1" applyAlignment="1">
      <alignment vertical="center" wrapText="1"/>
    </xf>
    <xf numFmtId="0" fontId="31" fillId="0" borderId="88" xfId="0" applyFont="1" applyFill="1" applyBorder="1" applyAlignment="1" applyProtection="1">
      <alignment vertical="center" wrapText="1"/>
      <protection locked="0"/>
    </xf>
    <xf numFmtId="0" fontId="31" fillId="7" borderId="89" xfId="0" applyFont="1" applyFill="1" applyBorder="1" applyProtection="1">
      <alignment vertical="center"/>
    </xf>
    <xf numFmtId="0" fontId="31" fillId="12" borderId="88" xfId="0" applyFont="1" applyFill="1" applyBorder="1" applyAlignment="1" applyProtection="1">
      <alignment horizontal="center" vertical="center" wrapText="1"/>
    </xf>
    <xf numFmtId="0" fontId="42" fillId="0" borderId="0" xfId="0" applyFont="1" applyProtection="1">
      <alignment vertical="center"/>
      <protection hidden="1"/>
    </xf>
    <xf numFmtId="38" fontId="29" fillId="0" borderId="93" xfId="1" applyFont="1" applyFill="1" applyBorder="1" applyAlignment="1" applyProtection="1">
      <alignment horizontal="center" vertical="center"/>
    </xf>
    <xf numFmtId="38" fontId="10" fillId="0" borderId="94" xfId="1" applyFont="1" applyFill="1" applyBorder="1" applyAlignment="1" applyProtection="1">
      <alignment horizontal="center" vertical="center"/>
    </xf>
    <xf numFmtId="0" fontId="6"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6" fillId="0" borderId="88" xfId="0" applyFont="1" applyFill="1" applyBorder="1" applyAlignment="1" applyProtection="1">
      <alignment horizontal="left" vertical="center"/>
      <protection locked="0"/>
    </xf>
    <xf numFmtId="38" fontId="10" fillId="0" borderId="59" xfId="1" applyFont="1" applyFill="1" applyBorder="1" applyAlignment="1" applyProtection="1">
      <alignment horizontal="center" vertical="center"/>
    </xf>
    <xf numFmtId="3" fontId="4" fillId="0" borderId="1" xfId="1" applyNumberFormat="1" applyFont="1" applyBorder="1" applyAlignment="1" applyProtection="1">
      <alignment horizontal="left" vertical="center"/>
      <protection locked="0"/>
    </xf>
    <xf numFmtId="178" fontId="45" fillId="0" borderId="0" xfId="1" applyNumberFormat="1" applyFont="1" applyFill="1" applyBorder="1" applyAlignment="1" applyProtection="1">
      <alignment horizontal="left" vertical="center" wrapText="1"/>
    </xf>
    <xf numFmtId="0" fontId="46" fillId="0" borderId="0" xfId="0" applyFont="1" applyAlignment="1" applyProtection="1">
      <alignment vertical="center" wrapText="1"/>
    </xf>
    <xf numFmtId="0" fontId="31" fillId="7" borderId="1" xfId="0" applyFont="1" applyFill="1" applyBorder="1" applyAlignment="1" applyProtection="1">
      <alignment horizontal="center" vertical="center" wrapText="1"/>
    </xf>
    <xf numFmtId="0" fontId="31" fillId="3" borderId="1" xfId="0" applyFont="1" applyFill="1" applyBorder="1" applyAlignment="1" applyProtection="1">
      <alignment horizontal="center" vertical="center"/>
    </xf>
    <xf numFmtId="0" fontId="31" fillId="6" borderId="1" xfId="0" applyFont="1" applyFill="1" applyBorder="1" applyAlignment="1" applyProtection="1">
      <alignment horizontal="center" vertical="center" wrapText="1"/>
    </xf>
    <xf numFmtId="0" fontId="10" fillId="3" borderId="1" xfId="0" applyFont="1" applyFill="1" applyBorder="1" applyAlignment="1" applyProtection="1">
      <alignment vertical="center"/>
    </xf>
    <xf numFmtId="0" fontId="10" fillId="3" borderId="1" xfId="0" applyFont="1" applyFill="1" applyBorder="1" applyAlignment="1" applyProtection="1">
      <alignment horizontal="center" vertical="center"/>
    </xf>
    <xf numFmtId="176" fontId="28" fillId="3" borderId="2" xfId="0" applyNumberFormat="1" applyFont="1" applyFill="1" applyBorder="1" applyAlignment="1" applyProtection="1">
      <alignment horizontal="center" vertical="center" wrapText="1"/>
    </xf>
    <xf numFmtId="0" fontId="28" fillId="3" borderId="1" xfId="0" applyFont="1" applyFill="1" applyBorder="1" applyAlignment="1" applyProtection="1">
      <alignment horizontal="center" vertical="center" wrapText="1"/>
    </xf>
    <xf numFmtId="0" fontId="0" fillId="0" borderId="0" xfId="0" applyAlignment="1" applyProtection="1">
      <alignment horizontal="center" vertical="center"/>
      <protection hidden="1"/>
    </xf>
    <xf numFmtId="0" fontId="4" fillId="0" borderId="0" xfId="0" applyFont="1" applyAlignment="1" applyProtection="1">
      <alignment horizontal="left" vertical="center"/>
      <protection hidden="1"/>
    </xf>
    <xf numFmtId="0" fontId="6" fillId="3" borderId="2" xfId="0" applyFont="1" applyFill="1" applyBorder="1" applyAlignment="1" applyProtection="1">
      <alignment vertical="center"/>
    </xf>
    <xf numFmtId="0" fontId="6" fillId="3" borderId="2" xfId="0" applyFont="1" applyFill="1" applyBorder="1" applyAlignment="1" applyProtection="1">
      <alignment horizontal="center" vertical="center"/>
    </xf>
    <xf numFmtId="0" fontId="6" fillId="0" borderId="0" xfId="0" applyFont="1" applyAlignment="1" applyProtection="1">
      <alignment horizontal="center" vertical="center"/>
    </xf>
    <xf numFmtId="0" fontId="41" fillId="0" borderId="0" xfId="0" applyFont="1" applyProtection="1">
      <alignment vertical="center"/>
    </xf>
    <xf numFmtId="0" fontId="43" fillId="0" borderId="0" xfId="0" applyFont="1" applyProtection="1">
      <alignment vertical="center"/>
    </xf>
    <xf numFmtId="0" fontId="4" fillId="0" borderId="0" xfId="0" applyFont="1" applyAlignment="1" applyProtection="1">
      <alignment horizontal="left" vertical="center"/>
      <protection locked="0"/>
    </xf>
    <xf numFmtId="0" fontId="0" fillId="3" borderId="2" xfId="0" applyFill="1" applyBorder="1" applyAlignment="1" applyProtection="1">
      <alignment horizontal="center" vertical="center"/>
    </xf>
    <xf numFmtId="0" fontId="0" fillId="3" borderId="2" xfId="0" applyFill="1" applyBorder="1" applyProtection="1">
      <alignment vertical="center"/>
    </xf>
    <xf numFmtId="0" fontId="31" fillId="0" borderId="0" xfId="0" applyFont="1" applyProtection="1">
      <alignment vertical="center"/>
      <protection hidden="1"/>
    </xf>
    <xf numFmtId="0" fontId="35" fillId="0" borderId="0" xfId="0" applyFont="1" applyProtection="1">
      <alignment vertical="center"/>
      <protection hidden="1"/>
    </xf>
    <xf numFmtId="0" fontId="34" fillId="0" borderId="0" xfId="0" applyFont="1" applyFill="1" applyAlignment="1" applyProtection="1">
      <alignment vertical="center" wrapText="1"/>
      <protection hidden="1"/>
    </xf>
    <xf numFmtId="0" fontId="34" fillId="0" borderId="0" xfId="0" applyFont="1" applyFill="1" applyBorder="1" applyAlignment="1" applyProtection="1">
      <alignment vertical="center" wrapText="1"/>
      <protection hidden="1"/>
    </xf>
    <xf numFmtId="0" fontId="34" fillId="0" borderId="0" xfId="0" applyFont="1" applyFill="1" applyBorder="1" applyAlignment="1" applyProtection="1">
      <alignment horizontal="center" vertical="center" wrapText="1"/>
      <protection hidden="1"/>
    </xf>
    <xf numFmtId="2" fontId="34" fillId="0" borderId="0" xfId="0" applyNumberFormat="1" applyFont="1" applyFill="1" applyBorder="1" applyAlignment="1" applyProtection="1">
      <alignment vertical="center" wrapText="1"/>
      <protection hidden="1"/>
    </xf>
    <xf numFmtId="0" fontId="31" fillId="0" borderId="0" xfId="0" applyFont="1" applyAlignment="1" applyProtection="1">
      <alignment horizontal="left" vertical="center"/>
      <protection hidden="1"/>
    </xf>
    <xf numFmtId="0" fontId="31" fillId="3" borderId="1" xfId="0" applyFont="1" applyFill="1" applyBorder="1" applyAlignment="1" applyProtection="1">
      <alignment vertical="center"/>
    </xf>
    <xf numFmtId="0" fontId="31" fillId="3" borderId="8" xfId="0" applyFont="1" applyFill="1" applyBorder="1" applyProtection="1">
      <alignment vertical="center"/>
    </xf>
    <xf numFmtId="176" fontId="22" fillId="0" borderId="0" xfId="0" applyNumberFormat="1" applyFont="1" applyBorder="1" applyProtection="1">
      <alignment vertical="center"/>
      <protection hidden="1"/>
    </xf>
    <xf numFmtId="176" fontId="22" fillId="0" borderId="0" xfId="0" applyNumberFormat="1" applyFont="1" applyProtection="1">
      <alignment vertical="center"/>
      <protection hidden="1"/>
    </xf>
    <xf numFmtId="176" fontId="11" fillId="0" borderId="0" xfId="0" applyNumberFormat="1" applyFont="1" applyProtection="1">
      <alignment vertical="center"/>
      <protection hidden="1"/>
    </xf>
    <xf numFmtId="0" fontId="10" fillId="0" borderId="0" xfId="0" applyFont="1" applyProtection="1">
      <alignment vertical="center"/>
      <protection hidden="1"/>
    </xf>
    <xf numFmtId="14" fontId="21" fillId="0" borderId="0" xfId="0" applyNumberFormat="1" applyFont="1" applyBorder="1" applyProtection="1">
      <alignment vertical="center"/>
      <protection hidden="1"/>
    </xf>
    <xf numFmtId="176" fontId="21" fillId="0" borderId="0" xfId="0" applyNumberFormat="1" applyFont="1" applyBorder="1" applyAlignment="1" applyProtection="1">
      <alignment horizontal="center" vertical="center"/>
      <protection hidden="1"/>
    </xf>
    <xf numFmtId="176" fontId="40" fillId="0" borderId="0" xfId="0" applyNumberFormat="1" applyFont="1" applyProtection="1">
      <alignment vertical="center"/>
      <protection hidden="1"/>
    </xf>
    <xf numFmtId="176" fontId="21" fillId="0" borderId="0" xfId="0" applyNumberFormat="1" applyFont="1" applyFill="1" applyBorder="1" applyAlignment="1" applyProtection="1">
      <alignment horizontal="center" vertical="center"/>
      <protection hidden="1"/>
    </xf>
    <xf numFmtId="176" fontId="22" fillId="0" borderId="0" xfId="0" applyNumberFormat="1" applyFont="1" applyFill="1" applyBorder="1" applyProtection="1">
      <alignment vertical="center"/>
      <protection hidden="1"/>
    </xf>
    <xf numFmtId="176" fontId="22" fillId="0" borderId="0" xfId="0" applyNumberFormat="1" applyFont="1" applyFill="1" applyProtection="1">
      <alignment vertical="center"/>
      <protection hidden="1"/>
    </xf>
    <xf numFmtId="176" fontId="11" fillId="0" borderId="0" xfId="0" applyNumberFormat="1" applyFont="1" applyFill="1" applyProtection="1">
      <alignment vertical="center"/>
      <protection hidden="1"/>
    </xf>
    <xf numFmtId="0" fontId="10" fillId="0" borderId="0" xfId="0" applyFont="1" applyFill="1" applyProtection="1">
      <alignment vertical="center"/>
      <protection hidden="1"/>
    </xf>
    <xf numFmtId="176" fontId="40" fillId="13" borderId="0" xfId="0" applyNumberFormat="1" applyFont="1" applyFill="1" applyBorder="1" applyProtection="1">
      <alignment vertical="center"/>
      <protection hidden="1"/>
    </xf>
    <xf numFmtId="176" fontId="37" fillId="0" borderId="0" xfId="0" applyNumberFormat="1" applyFont="1" applyBorder="1" applyProtection="1">
      <alignment vertical="center"/>
      <protection hidden="1"/>
    </xf>
    <xf numFmtId="179" fontId="38" fillId="0" borderId="0" xfId="0" applyNumberFormat="1" applyFont="1" applyBorder="1" applyProtection="1">
      <alignment vertical="center"/>
      <protection hidden="1"/>
    </xf>
    <xf numFmtId="0" fontId="40" fillId="0" borderId="0" xfId="0" applyFont="1" applyProtection="1">
      <alignment vertical="center"/>
      <protection hidden="1"/>
    </xf>
    <xf numFmtId="176" fontId="33" fillId="0" borderId="0" xfId="0" applyNumberFormat="1" applyFont="1" applyBorder="1" applyProtection="1">
      <alignment vertical="center"/>
      <protection hidden="1"/>
    </xf>
    <xf numFmtId="182" fontId="21" fillId="0" borderId="0" xfId="0" applyNumberFormat="1" applyFont="1" applyBorder="1" applyProtection="1">
      <alignment vertical="center"/>
      <protection hidden="1"/>
    </xf>
    <xf numFmtId="176" fontId="19" fillId="0" borderId="0" xfId="0" applyNumberFormat="1" applyFont="1" applyProtection="1">
      <alignment vertical="center"/>
      <protection hidden="1"/>
    </xf>
    <xf numFmtId="176" fontId="40" fillId="0" borderId="0" xfId="0" applyNumberFormat="1" applyFont="1" applyBorder="1" applyProtection="1">
      <alignment vertical="center"/>
      <protection hidden="1"/>
    </xf>
    <xf numFmtId="180" fontId="21" fillId="0" borderId="0" xfId="0" applyNumberFormat="1" applyFont="1" applyBorder="1" applyProtection="1">
      <alignment vertical="center"/>
      <protection hidden="1"/>
    </xf>
    <xf numFmtId="0" fontId="11" fillId="0" borderId="0" xfId="0" applyFont="1" applyProtection="1">
      <alignment vertical="center"/>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wrapText="1"/>
      <protection hidden="1"/>
    </xf>
    <xf numFmtId="0" fontId="21" fillId="0" borderId="0" xfId="0" applyFont="1" applyProtection="1">
      <alignment vertical="center"/>
      <protection hidden="1"/>
    </xf>
    <xf numFmtId="176" fontId="23" fillId="0" borderId="0" xfId="0" applyNumberFormat="1" applyFont="1" applyBorder="1" applyProtection="1">
      <alignment vertical="center"/>
      <protection hidden="1"/>
    </xf>
    <xf numFmtId="176" fontId="34" fillId="0" borderId="0" xfId="0" applyNumberFormat="1" applyFont="1" applyBorder="1" applyProtection="1">
      <alignment vertical="center"/>
      <protection hidden="1"/>
    </xf>
    <xf numFmtId="176" fontId="21" fillId="0" borderId="0" xfId="0" applyNumberFormat="1" applyFont="1" applyBorder="1" applyAlignment="1" applyProtection="1">
      <alignment vertical="center" wrapText="1"/>
      <protection hidden="1"/>
    </xf>
    <xf numFmtId="0" fontId="21" fillId="0" borderId="0" xfId="0" applyFont="1" applyBorder="1" applyProtection="1">
      <alignment vertical="center"/>
      <protection hidden="1"/>
    </xf>
    <xf numFmtId="0" fontId="22" fillId="0" borderId="0" xfId="0" applyFont="1" applyBorder="1" applyProtection="1">
      <alignment vertical="center"/>
      <protection hidden="1"/>
    </xf>
    <xf numFmtId="0" fontId="22" fillId="0" borderId="0" xfId="0" applyFont="1" applyProtection="1">
      <alignment vertical="center"/>
      <protection hidden="1"/>
    </xf>
    <xf numFmtId="176" fontId="34" fillId="0" borderId="0" xfId="0" applyNumberFormat="1" applyFont="1" applyBorder="1" applyAlignment="1" applyProtection="1">
      <alignment vertical="center" wrapText="1"/>
      <protection hidden="1"/>
    </xf>
    <xf numFmtId="38" fontId="10" fillId="0" borderId="57" xfId="1" applyFont="1" applyFill="1" applyBorder="1" applyAlignment="1" applyProtection="1">
      <alignment horizontal="center" vertical="center"/>
    </xf>
    <xf numFmtId="38" fontId="10" fillId="0" borderId="1" xfId="1" applyFont="1" applyFill="1" applyBorder="1" applyAlignment="1" applyProtection="1">
      <alignment horizontal="center" vertical="center"/>
    </xf>
    <xf numFmtId="38" fontId="29" fillId="0" borderId="1" xfId="1" applyFont="1" applyFill="1" applyBorder="1" applyAlignment="1" applyProtection="1">
      <alignment horizontal="center" vertical="center"/>
    </xf>
    <xf numFmtId="177" fontId="10" fillId="0" borderId="92" xfId="0" applyNumberFormat="1" applyFont="1" applyFill="1" applyBorder="1" applyAlignment="1" applyProtection="1">
      <alignment horizontal="center" vertical="center"/>
    </xf>
    <xf numFmtId="177" fontId="10" fillId="0" borderId="0" xfId="0" applyNumberFormat="1" applyFont="1" applyFill="1" applyBorder="1" applyAlignment="1" applyProtection="1">
      <alignment horizontal="center" vertical="center"/>
    </xf>
    <xf numFmtId="38" fontId="27" fillId="0" borderId="14" xfId="1" applyFont="1" applyFill="1" applyBorder="1" applyAlignment="1" applyProtection="1">
      <alignment horizontal="center" vertical="center"/>
    </xf>
    <xf numFmtId="177" fontId="25" fillId="9" borderId="34" xfId="0" applyNumberFormat="1" applyFont="1" applyFill="1" applyBorder="1" applyAlignment="1" applyProtection="1">
      <alignment horizontal="center" vertical="center"/>
    </xf>
    <xf numFmtId="38" fontId="10" fillId="0" borderId="30" xfId="1" applyFont="1" applyFill="1" applyBorder="1" applyAlignment="1" applyProtection="1">
      <alignment horizontal="center" vertical="center"/>
    </xf>
    <xf numFmtId="38" fontId="29" fillId="0" borderId="30" xfId="1" applyFont="1" applyFill="1" applyBorder="1" applyAlignment="1" applyProtection="1">
      <alignment horizontal="center" vertical="center"/>
    </xf>
    <xf numFmtId="38" fontId="10" fillId="0" borderId="69" xfId="1" applyFont="1" applyFill="1" applyBorder="1" applyAlignment="1" applyProtection="1">
      <alignment horizontal="center" vertical="center"/>
    </xf>
    <xf numFmtId="38" fontId="30" fillId="0" borderId="30" xfId="1" applyFont="1" applyFill="1" applyBorder="1" applyAlignment="1" applyProtection="1">
      <alignment horizontal="center" vertical="center"/>
    </xf>
    <xf numFmtId="38" fontId="10" fillId="0" borderId="73" xfId="1" applyFont="1" applyFill="1" applyBorder="1" applyAlignment="1" applyProtection="1">
      <alignment horizontal="center" vertical="center"/>
    </xf>
    <xf numFmtId="38" fontId="10" fillId="0" borderId="70" xfId="1" applyFont="1" applyFill="1" applyBorder="1" applyAlignment="1" applyProtection="1">
      <alignment horizontal="center" vertical="center"/>
    </xf>
    <xf numFmtId="178" fontId="25" fillId="9" borderId="34" xfId="0" applyNumberFormat="1" applyFont="1" applyFill="1" applyBorder="1" applyAlignment="1" applyProtection="1">
      <alignment horizontal="center" vertical="center"/>
    </xf>
    <xf numFmtId="38" fontId="10" fillId="0" borderId="74" xfId="1" applyFont="1" applyFill="1" applyBorder="1" applyAlignment="1" applyProtection="1">
      <alignment horizontal="center" vertical="center"/>
    </xf>
    <xf numFmtId="38" fontId="10" fillId="0" borderId="71" xfId="1" applyFont="1" applyFill="1" applyBorder="1" applyAlignment="1" applyProtection="1">
      <alignment horizontal="center" vertical="center"/>
    </xf>
    <xf numFmtId="38" fontId="10" fillId="0" borderId="75" xfId="1" applyFont="1" applyFill="1" applyBorder="1" applyAlignment="1" applyProtection="1">
      <alignment horizontal="center" vertical="center"/>
    </xf>
    <xf numFmtId="38" fontId="10" fillId="0" borderId="72" xfId="1" applyFont="1" applyFill="1" applyBorder="1" applyAlignment="1" applyProtection="1">
      <alignment horizontal="center" vertical="center"/>
    </xf>
    <xf numFmtId="177" fontId="21" fillId="0" borderId="30" xfId="0" applyNumberFormat="1" applyFont="1" applyFill="1" applyBorder="1" applyAlignment="1" applyProtection="1">
      <alignment horizontal="center" vertical="center"/>
    </xf>
    <xf numFmtId="177" fontId="21" fillId="0" borderId="2" xfId="0" applyNumberFormat="1" applyFont="1" applyFill="1" applyBorder="1" applyAlignment="1" applyProtection="1">
      <alignment horizontal="center" vertical="center"/>
    </xf>
    <xf numFmtId="177" fontId="30" fillId="0" borderId="2" xfId="0" applyNumberFormat="1" applyFont="1" applyFill="1" applyBorder="1" applyAlignment="1" applyProtection="1">
      <alignment horizontal="center" vertical="center"/>
    </xf>
    <xf numFmtId="178" fontId="10" fillId="0" borderId="8" xfId="1" applyNumberFormat="1" applyFont="1" applyFill="1" applyBorder="1" applyAlignment="1" applyProtection="1">
      <alignment horizontal="center" vertical="center"/>
    </xf>
    <xf numFmtId="177" fontId="27" fillId="0" borderId="30" xfId="0" applyNumberFormat="1" applyFont="1" applyFill="1" applyBorder="1" applyAlignment="1" applyProtection="1">
      <alignment horizontal="center" vertical="center"/>
    </xf>
    <xf numFmtId="177" fontId="29" fillId="0" borderId="30" xfId="0" applyNumberFormat="1" applyFont="1" applyFill="1" applyBorder="1" applyAlignment="1" applyProtection="1">
      <alignment horizontal="center" vertical="center"/>
    </xf>
    <xf numFmtId="177" fontId="10" fillId="0" borderId="30" xfId="0" applyNumberFormat="1" applyFont="1" applyFill="1" applyBorder="1" applyAlignment="1" applyProtection="1">
      <alignment horizontal="center" vertical="center"/>
    </xf>
    <xf numFmtId="177" fontId="10" fillId="0" borderId="2" xfId="0" applyNumberFormat="1" applyFont="1" applyFill="1" applyBorder="1" applyAlignment="1" applyProtection="1">
      <alignment horizontal="center" vertical="center"/>
    </xf>
    <xf numFmtId="38" fontId="10" fillId="0" borderId="1" xfId="1" applyFont="1" applyFill="1" applyBorder="1" applyProtection="1">
      <alignment vertical="center"/>
    </xf>
    <xf numFmtId="38" fontId="10" fillId="0" borderId="86" xfId="1" applyFont="1" applyFill="1" applyBorder="1" applyProtection="1">
      <alignment vertical="center"/>
    </xf>
    <xf numFmtId="38" fontId="10" fillId="0" borderId="81" xfId="1" applyFont="1" applyFill="1" applyBorder="1" applyProtection="1">
      <alignment vertical="center"/>
    </xf>
    <xf numFmtId="38" fontId="10" fillId="0" borderId="78" xfId="1" applyFont="1" applyFill="1" applyBorder="1" applyProtection="1">
      <alignment vertical="center"/>
    </xf>
    <xf numFmtId="38" fontId="10" fillId="0" borderId="82" xfId="1" applyFont="1" applyFill="1" applyBorder="1" applyProtection="1">
      <alignment vertical="center"/>
    </xf>
    <xf numFmtId="38" fontId="10" fillId="0" borderId="79" xfId="1" applyFont="1" applyFill="1" applyBorder="1" applyProtection="1">
      <alignment vertical="center"/>
    </xf>
    <xf numFmtId="38" fontId="10" fillId="0" borderId="87" xfId="1" applyFont="1" applyFill="1" applyBorder="1" applyProtection="1">
      <alignment vertical="center"/>
    </xf>
    <xf numFmtId="38" fontId="10" fillId="0" borderId="83" xfId="1" applyFont="1" applyFill="1" applyBorder="1" applyProtection="1">
      <alignment vertical="center"/>
    </xf>
    <xf numFmtId="38" fontId="10" fillId="0" borderId="80" xfId="1" applyFont="1" applyFill="1" applyBorder="1" applyProtection="1">
      <alignment vertical="center"/>
    </xf>
    <xf numFmtId="38" fontId="10" fillId="0" borderId="1" xfId="1" applyFont="1" applyFill="1" applyBorder="1" applyAlignment="1" applyProtection="1">
      <alignment vertical="center"/>
    </xf>
    <xf numFmtId="38" fontId="10" fillId="0" borderId="6" xfId="1" applyFont="1" applyFill="1" applyBorder="1" applyAlignment="1" applyProtection="1">
      <alignment vertical="center"/>
    </xf>
    <xf numFmtId="0" fontId="21" fillId="0" borderId="52" xfId="0" applyFont="1" applyFill="1" applyBorder="1" applyAlignment="1" applyProtection="1">
      <alignment vertical="center"/>
    </xf>
    <xf numFmtId="0" fontId="4" fillId="0" borderId="0" xfId="0" applyFont="1" applyAlignment="1" applyProtection="1">
      <alignment horizontal="left" vertical="center" wrapText="1"/>
      <protection hidden="1"/>
    </xf>
    <xf numFmtId="0" fontId="6" fillId="3" borderId="5"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6" fillId="3" borderId="90" xfId="0" applyFont="1" applyFill="1" applyBorder="1" applyAlignment="1" applyProtection="1">
      <alignment horizontal="left" vertical="center" wrapText="1"/>
    </xf>
    <xf numFmtId="0" fontId="6" fillId="3" borderId="91"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6" fillId="3" borderId="2"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6" fillId="3" borderId="37" xfId="0" applyFont="1" applyFill="1" applyBorder="1" applyAlignment="1" applyProtection="1">
      <alignment horizontal="left" vertical="center" wrapText="1"/>
    </xf>
    <xf numFmtId="0" fontId="0" fillId="0" borderId="38" xfId="0" applyBorder="1" applyAlignment="1" applyProtection="1">
      <alignment horizontal="left" vertical="center" wrapText="1"/>
    </xf>
    <xf numFmtId="0" fontId="6" fillId="3" borderId="57" xfId="0" applyFont="1" applyFill="1" applyBorder="1" applyAlignment="1" applyProtection="1">
      <alignment horizontal="left" vertical="center" wrapText="1"/>
    </xf>
    <xf numFmtId="0" fontId="6" fillId="3" borderId="58" xfId="0" applyFont="1" applyFill="1" applyBorder="1" applyAlignment="1" applyProtection="1">
      <alignment horizontal="left" vertical="center" wrapText="1"/>
    </xf>
    <xf numFmtId="0" fontId="0" fillId="3" borderId="24" xfId="0" applyFill="1" applyBorder="1" applyAlignment="1" applyProtection="1">
      <alignment horizontal="center" vertical="center"/>
    </xf>
    <xf numFmtId="0" fontId="0" fillId="3" borderId="25" xfId="0" applyFill="1" applyBorder="1" applyAlignment="1" applyProtection="1">
      <alignment horizontal="center" vertical="center"/>
    </xf>
    <xf numFmtId="0" fontId="0" fillId="3" borderId="4" xfId="0" applyFill="1" applyBorder="1" applyAlignment="1" applyProtection="1">
      <alignment horizontal="center" vertical="center"/>
    </xf>
    <xf numFmtId="0" fontId="26" fillId="0" borderId="0" xfId="0" applyFont="1" applyAlignment="1" applyProtection="1">
      <alignment horizontal="center" vertical="center"/>
    </xf>
    <xf numFmtId="0" fontId="31" fillId="3" borderId="14" xfId="0" applyFont="1" applyFill="1" applyBorder="1" applyAlignment="1" applyProtection="1">
      <alignment horizontal="center" vertical="center" wrapText="1"/>
    </xf>
    <xf numFmtId="0" fontId="31" fillId="3" borderId="6" xfId="0" applyFont="1" applyFill="1" applyBorder="1" applyAlignment="1" applyProtection="1">
      <alignment horizontal="center" vertical="center"/>
    </xf>
    <xf numFmtId="0" fontId="31"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31" fillId="0" borderId="1" xfId="0" applyFont="1" applyBorder="1" applyAlignment="1" applyProtection="1">
      <alignment horizontal="center" vertical="center" wrapText="1"/>
    </xf>
    <xf numFmtId="0" fontId="31" fillId="3" borderId="35" xfId="0" applyFont="1" applyFill="1" applyBorder="1" applyAlignment="1" applyProtection="1">
      <alignment horizontal="center" vertical="center" wrapText="1"/>
    </xf>
    <xf numFmtId="0" fontId="31" fillId="3" borderId="1" xfId="0" applyFont="1" applyFill="1" applyBorder="1" applyAlignment="1" applyProtection="1">
      <alignment horizontal="center" vertical="center"/>
    </xf>
    <xf numFmtId="0" fontId="31" fillId="6" borderId="1" xfId="0" applyFont="1" applyFill="1" applyBorder="1" applyAlignment="1" applyProtection="1">
      <alignment horizontal="center" vertical="center" wrapText="1"/>
    </xf>
    <xf numFmtId="0" fontId="31" fillId="0" borderId="14" xfId="0" applyFont="1" applyBorder="1" applyAlignment="1" applyProtection="1">
      <alignment horizontal="center" vertical="center" wrapText="1"/>
    </xf>
    <xf numFmtId="0" fontId="21" fillId="0" borderId="51" xfId="0" applyFont="1" applyFill="1" applyBorder="1" applyAlignment="1" applyProtection="1">
      <alignment vertical="center" wrapText="1"/>
    </xf>
    <xf numFmtId="0" fontId="5" fillId="0" borderId="0" xfId="0" applyFont="1" applyBorder="1" applyAlignment="1" applyProtection="1">
      <alignment vertical="center" wrapText="1"/>
    </xf>
    <xf numFmtId="0" fontId="5" fillId="0" borderId="45" xfId="0" applyFont="1" applyBorder="1" applyAlignment="1" applyProtection="1">
      <alignment vertical="center" wrapText="1"/>
    </xf>
    <xf numFmtId="0" fontId="9" fillId="3" borderId="5" xfId="0" applyFont="1" applyFill="1" applyBorder="1" applyAlignment="1" applyProtection="1">
      <alignment horizontal="left" vertical="center" wrapText="1"/>
    </xf>
    <xf numFmtId="0" fontId="10" fillId="0" borderId="7" xfId="0" applyFont="1" applyBorder="1" applyAlignment="1" applyProtection="1">
      <alignment horizontal="left" vertical="center"/>
    </xf>
    <xf numFmtId="178" fontId="25" fillId="10" borderId="40" xfId="0" applyNumberFormat="1" applyFont="1" applyFill="1" applyBorder="1" applyAlignment="1" applyProtection="1">
      <alignment horizontal="center" vertical="center" wrapText="1"/>
    </xf>
    <xf numFmtId="178" fontId="25" fillId="10" borderId="39" xfId="0" applyNumberFormat="1" applyFont="1" applyFill="1" applyBorder="1" applyAlignment="1" applyProtection="1">
      <alignment horizontal="center" vertical="center" wrapText="1"/>
    </xf>
    <xf numFmtId="177" fontId="25" fillId="9" borderId="43" xfId="0" applyNumberFormat="1" applyFont="1" applyFill="1" applyBorder="1" applyAlignment="1" applyProtection="1">
      <alignment horizontal="center" vertical="center"/>
    </xf>
    <xf numFmtId="177" fontId="25" fillId="9" borderId="41" xfId="0" applyNumberFormat="1" applyFont="1" applyFill="1" applyBorder="1" applyAlignment="1" applyProtection="1">
      <alignment horizontal="center" vertical="center"/>
    </xf>
    <xf numFmtId="38" fontId="9" fillId="3" borderId="1" xfId="1" applyFont="1" applyFill="1" applyBorder="1" applyAlignment="1" applyProtection="1">
      <alignment horizontal="left" vertical="center" wrapText="1"/>
    </xf>
    <xf numFmtId="0" fontId="10" fillId="0" borderId="1" xfId="0" applyFont="1" applyBorder="1" applyAlignment="1" applyProtection="1">
      <alignment horizontal="left" vertical="center"/>
    </xf>
    <xf numFmtId="0" fontId="9" fillId="3" borderId="44" xfId="0" applyFont="1" applyFill="1" applyBorder="1" applyAlignment="1" applyProtection="1">
      <alignment horizontal="left" vertical="center" wrapText="1"/>
    </xf>
    <xf numFmtId="38" fontId="9" fillId="3" borderId="5" xfId="1" applyFont="1" applyFill="1" applyBorder="1" applyAlignment="1" applyProtection="1">
      <alignment horizontal="left" vertical="center"/>
    </xf>
    <xf numFmtId="0" fontId="10" fillId="0" borderId="8" xfId="0" applyFont="1" applyBorder="1" applyProtection="1">
      <alignment vertical="center"/>
    </xf>
    <xf numFmtId="38" fontId="28" fillId="11" borderId="54" xfId="1" applyFont="1" applyFill="1" applyBorder="1" applyAlignment="1" applyProtection="1">
      <alignment horizontal="center" vertical="center"/>
    </xf>
    <xf numFmtId="38" fontId="28" fillId="11" borderId="56" xfId="1" applyFont="1" applyFill="1" applyBorder="1" applyAlignment="1" applyProtection="1">
      <alignment horizontal="center" vertical="center"/>
    </xf>
    <xf numFmtId="38" fontId="23" fillId="0" borderId="55" xfId="1" applyFont="1" applyFill="1" applyBorder="1" applyAlignment="1" applyProtection="1">
      <alignment horizontal="left" vertical="center" wrapText="1"/>
    </xf>
    <xf numFmtId="38" fontId="23" fillId="0" borderId="56" xfId="1" applyFont="1" applyFill="1" applyBorder="1" applyAlignment="1" applyProtection="1">
      <alignment horizontal="left" vertical="center" wrapText="1"/>
    </xf>
    <xf numFmtId="38" fontId="9" fillId="3" borderId="90" xfId="1" applyFont="1" applyFill="1" applyBorder="1" applyAlignment="1" applyProtection="1">
      <alignment horizontal="left" vertical="center" wrapText="1"/>
    </xf>
    <xf numFmtId="38" fontId="9" fillId="3" borderId="91" xfId="1" applyFont="1" applyFill="1" applyBorder="1" applyAlignment="1" applyProtection="1">
      <alignment horizontal="left" vertical="center" wrapText="1"/>
    </xf>
    <xf numFmtId="0" fontId="21" fillId="0" borderId="0" xfId="0" applyFont="1" applyBorder="1" applyAlignment="1" applyProtection="1">
      <alignment vertical="center" wrapText="1"/>
    </xf>
    <xf numFmtId="0" fontId="21" fillId="0" borderId="45" xfId="0" applyFont="1" applyBorder="1" applyAlignment="1" applyProtection="1">
      <alignment vertical="center" wrapText="1"/>
    </xf>
    <xf numFmtId="0" fontId="10" fillId="3" borderId="1" xfId="0" applyFont="1" applyFill="1" applyBorder="1" applyAlignment="1" applyProtection="1">
      <alignment vertical="center"/>
    </xf>
    <xf numFmtId="0" fontId="10" fillId="3" borderId="84"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0" borderId="1" xfId="0" applyFont="1" applyBorder="1" applyAlignment="1" applyProtection="1">
      <alignment vertical="center"/>
    </xf>
    <xf numFmtId="0" fontId="10" fillId="3"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21" fillId="0" borderId="51" xfId="0" applyFont="1" applyFill="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45" xfId="0" applyFont="1" applyBorder="1" applyAlignment="1" applyProtection="1">
      <alignment horizontal="left" vertical="center" wrapText="1"/>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45" xfId="0" applyFont="1" applyBorder="1" applyAlignment="1" applyProtection="1">
      <alignment horizontal="left" vertical="center" wrapText="1"/>
    </xf>
    <xf numFmtId="0" fontId="10" fillId="3" borderId="63"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8" fillId="3" borderId="67" xfId="0" applyFont="1" applyFill="1" applyBorder="1" applyAlignment="1" applyProtection="1">
      <alignment horizontal="center" vertical="center" wrapText="1"/>
    </xf>
    <xf numFmtId="0" fontId="28" fillId="3" borderId="68" xfId="0" applyFont="1" applyFill="1" applyBorder="1" applyAlignment="1" applyProtection="1">
      <alignment horizontal="center" vertical="center"/>
    </xf>
    <xf numFmtId="0" fontId="28" fillId="3" borderId="54" xfId="0" applyFont="1" applyFill="1" applyBorder="1" applyAlignment="1" applyProtection="1">
      <alignment horizontal="center" vertical="center"/>
    </xf>
    <xf numFmtId="0" fontId="28" fillId="3" borderId="56" xfId="0" applyFont="1" applyFill="1" applyBorder="1" applyAlignment="1" applyProtection="1">
      <alignment horizontal="center" vertical="center"/>
    </xf>
    <xf numFmtId="0" fontId="14" fillId="0" borderId="0" xfId="0" applyFont="1" applyBorder="1" applyAlignment="1" applyProtection="1">
      <alignment horizontal="center" vertical="center" wrapText="1"/>
    </xf>
    <xf numFmtId="0" fontId="14" fillId="0" borderId="0" xfId="0" applyFont="1" applyBorder="1" applyAlignment="1" applyProtection="1">
      <alignment vertical="center"/>
    </xf>
    <xf numFmtId="0" fontId="10" fillId="0" borderId="65" xfId="1" applyNumberFormat="1" applyFont="1" applyFill="1" applyBorder="1" applyAlignment="1" applyProtection="1">
      <alignment horizontal="center" vertical="center"/>
    </xf>
    <xf numFmtId="0" fontId="10" fillId="0" borderId="58" xfId="1" applyNumberFormat="1" applyFont="1" applyFill="1" applyBorder="1" applyAlignment="1" applyProtection="1">
      <alignment horizontal="center" vertical="center"/>
    </xf>
    <xf numFmtId="0" fontId="10" fillId="3" borderId="5" xfId="0" applyFont="1" applyFill="1" applyBorder="1" applyAlignment="1" applyProtection="1">
      <alignment vertical="center" wrapText="1"/>
    </xf>
    <xf numFmtId="0" fontId="4" fillId="0" borderId="8" xfId="0" applyFont="1" applyBorder="1" applyAlignment="1" applyProtection="1">
      <alignment vertical="center"/>
    </xf>
    <xf numFmtId="0" fontId="9" fillId="3" borderId="5" xfId="0" applyFont="1" applyFill="1" applyBorder="1" applyAlignment="1" applyProtection="1">
      <alignment vertical="center"/>
    </xf>
    <xf numFmtId="0" fontId="4" fillId="3" borderId="60" xfId="0" applyFont="1" applyFill="1" applyBorder="1" applyAlignment="1" applyProtection="1">
      <alignment vertical="center"/>
    </xf>
    <xf numFmtId="0" fontId="10" fillId="3" borderId="60" xfId="0" applyFont="1" applyFill="1" applyBorder="1" applyAlignment="1" applyProtection="1">
      <alignment vertical="center"/>
    </xf>
    <xf numFmtId="0" fontId="4" fillId="3" borderId="8" xfId="0" applyFont="1" applyFill="1" applyBorder="1" applyAlignment="1" applyProtection="1">
      <alignment vertical="center"/>
    </xf>
    <xf numFmtId="0" fontId="10" fillId="3" borderId="5" xfId="0" applyFont="1" applyFill="1" applyBorder="1" applyAlignment="1" applyProtection="1">
      <alignment vertical="center"/>
    </xf>
    <xf numFmtId="0" fontId="10" fillId="3" borderId="8" xfId="0" applyFont="1" applyFill="1" applyBorder="1" applyAlignment="1" applyProtection="1">
      <alignment vertical="center"/>
    </xf>
    <xf numFmtId="0" fontId="10" fillId="0" borderId="62" xfId="0" applyNumberFormat="1" applyFont="1" applyFill="1" applyBorder="1" applyAlignment="1" applyProtection="1">
      <alignment horizontal="left" vertical="center"/>
    </xf>
    <xf numFmtId="0" fontId="10" fillId="0" borderId="61" xfId="0" applyNumberFormat="1" applyFont="1" applyFill="1" applyBorder="1" applyAlignment="1" applyProtection="1">
      <alignment horizontal="left" vertical="center"/>
    </xf>
    <xf numFmtId="0" fontId="10" fillId="0" borderId="5" xfId="0" applyNumberFormat="1" applyFont="1" applyFill="1" applyBorder="1" applyAlignment="1" applyProtection="1">
      <alignment horizontal="left" vertical="center"/>
    </xf>
    <xf numFmtId="0" fontId="10" fillId="0" borderId="5" xfId="0" applyNumberFormat="1" applyFont="1" applyFill="1" applyBorder="1" applyAlignment="1" applyProtection="1">
      <alignment vertical="center"/>
    </xf>
    <xf numFmtId="0" fontId="10" fillId="0" borderId="8" xfId="0" applyNumberFormat="1" applyFont="1" applyFill="1" applyBorder="1" applyAlignment="1" applyProtection="1">
      <alignment vertical="center"/>
    </xf>
    <xf numFmtId="183" fontId="10" fillId="0" borderId="5" xfId="0" applyNumberFormat="1" applyFont="1" applyFill="1" applyBorder="1" applyAlignment="1" applyProtection="1">
      <alignment horizontal="left" vertical="center"/>
    </xf>
    <xf numFmtId="183" fontId="10" fillId="0" borderId="8" xfId="0" applyNumberFormat="1" applyFont="1" applyFill="1" applyBorder="1" applyAlignment="1" applyProtection="1">
      <alignment horizontal="left" vertical="center"/>
    </xf>
    <xf numFmtId="0" fontId="10" fillId="0" borderId="63" xfId="0" applyFont="1" applyBorder="1" applyAlignment="1" applyProtection="1">
      <alignment horizontal="left" vertical="center"/>
    </xf>
    <xf numFmtId="0" fontId="10" fillId="0" borderId="64" xfId="0" applyFont="1" applyBorder="1" applyAlignment="1" applyProtection="1">
      <alignment horizontal="left" vertical="center"/>
    </xf>
    <xf numFmtId="0" fontId="23"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176" fontId="28" fillId="3" borderId="29" xfId="0" applyNumberFormat="1" applyFont="1" applyFill="1" applyBorder="1" applyAlignment="1" applyProtection="1">
      <alignment horizontal="center" vertical="center" wrapText="1"/>
    </xf>
    <xf numFmtId="176" fontId="10" fillId="3" borderId="20" xfId="0" applyNumberFormat="1" applyFont="1" applyFill="1" applyBorder="1" applyAlignment="1" applyProtection="1">
      <alignment vertical="center" wrapText="1"/>
    </xf>
    <xf numFmtId="38" fontId="9" fillId="3" borderId="95" xfId="1" applyFont="1" applyFill="1" applyBorder="1" applyAlignment="1" applyProtection="1">
      <alignment horizontal="left" vertical="center" wrapText="1"/>
    </xf>
    <xf numFmtId="176" fontId="28" fillId="3" borderId="2" xfId="0" applyNumberFormat="1" applyFont="1" applyFill="1" applyBorder="1" applyAlignment="1" applyProtection="1">
      <alignment horizontal="center" vertical="center" wrapText="1"/>
    </xf>
    <xf numFmtId="0" fontId="28" fillId="3" borderId="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xf>
    <xf numFmtId="0" fontId="10" fillId="3" borderId="7" xfId="0" applyFont="1" applyFill="1" applyBorder="1" applyAlignment="1" applyProtection="1">
      <alignment vertical="center"/>
    </xf>
    <xf numFmtId="0" fontId="4" fillId="0" borderId="7" xfId="0" applyFont="1" applyBorder="1" applyAlignment="1" applyProtection="1">
      <alignment vertical="center"/>
    </xf>
    <xf numFmtId="0" fontId="10" fillId="3" borderId="1" xfId="0" applyFont="1" applyFill="1" applyBorder="1" applyAlignment="1" applyProtection="1">
      <alignment vertical="top"/>
    </xf>
    <xf numFmtId="38" fontId="9" fillId="3" borderId="90" xfId="1" applyFont="1" applyFill="1" applyBorder="1" applyAlignment="1" applyProtection="1">
      <alignment horizontal="left" vertical="center"/>
    </xf>
    <xf numFmtId="38" fontId="9" fillId="3" borderId="91" xfId="1" applyFont="1" applyFill="1" applyBorder="1" applyAlignment="1" applyProtection="1">
      <alignment horizontal="left" vertical="center"/>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center" vertical="center"/>
      <protection hidden="1"/>
    </xf>
  </cellXfs>
  <cellStyles count="3">
    <cellStyle name="桁区切り" xfId="1" builtinId="6"/>
    <cellStyle name="標準" xfId="0" builtinId="0"/>
    <cellStyle name="標準 4_潜在自然植生ゾーン別樹種（引用資料追加）_潜在自然植生ゾーン別樹種_KS_121129_01" xfId="2" xr:uid="{00000000-0005-0000-0000-000002000000}"/>
  </cellStyles>
  <dxfs count="0"/>
  <tableStyles count="0" defaultTableStyle="TableStyleMedium2" defaultPivotStyle="PivotStyleLight16"/>
  <colors>
    <mruColors>
      <color rgb="FF99CCFF"/>
      <color rgb="FF0099FF"/>
      <color rgb="FFFF5050"/>
      <color rgb="FFFFFF99"/>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555334</xdr:colOff>
      <xdr:row>18</xdr:row>
      <xdr:rowOff>170460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956384" y="3389910"/>
          <a:ext cx="184730" cy="937629"/>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ja-JP" alt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1</xdr:col>
      <xdr:colOff>21705</xdr:colOff>
      <xdr:row>6</xdr:row>
      <xdr:rowOff>152399</xdr:rowOff>
    </xdr:from>
    <xdr:ext cx="7762510" cy="692562"/>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07505" y="1314449"/>
          <a:ext cx="7762510" cy="69256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3600" b="1" cap="none" spc="50">
              <a:ln w="11430"/>
              <a:solidFill>
                <a:srgbClr val="00B050"/>
              </a:solidFill>
              <a:effectLst>
                <a:outerShdw blurRad="76200" dist="50800" dir="5400000" algn="tl" rotWithShape="0">
                  <a:srgbClr val="000000">
                    <a:alpha val="65000"/>
                  </a:srgbClr>
                </a:outerShdw>
                <a:reflection blurRad="6350" stA="55000" endA="300" endPos="45500" dir="5400000" sy="-100000" algn="bl" rotWithShape="0"/>
              </a:effectLst>
            </a:rPr>
            <a:t>あいちミティゲーション定量評価ツール</a:t>
          </a:r>
        </a:p>
      </xdr:txBody>
    </xdr:sp>
    <xdr:clientData/>
  </xdr:oneCellAnchor>
  <xdr:oneCellAnchor>
    <xdr:from>
      <xdr:col>1</xdr:col>
      <xdr:colOff>21705</xdr:colOff>
      <xdr:row>6</xdr:row>
      <xdr:rowOff>152399</xdr:rowOff>
    </xdr:from>
    <xdr:ext cx="7762510" cy="692562"/>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07505" y="1314449"/>
          <a:ext cx="7762510" cy="69256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3600" b="1" cap="none" spc="50">
              <a:ln w="11430"/>
              <a:solidFill>
                <a:srgbClr val="00B050"/>
              </a:solidFill>
              <a:effectLst>
                <a:outerShdw blurRad="76200" dist="50800" dir="5400000" algn="tl" rotWithShape="0">
                  <a:srgbClr val="000000">
                    <a:alpha val="65000"/>
                  </a:srgbClr>
                </a:outerShdw>
                <a:reflection blurRad="6350" stA="55000" endA="300" endPos="45500" dir="5400000" sy="-100000" algn="bl" rotWithShape="0"/>
              </a:effectLst>
            </a:rPr>
            <a:t>あいちミティゲーション定量評価ツール</a:t>
          </a:r>
          <a:endParaRPr lang="en-US" altLang="ja-JP" sz="3600" b="1" cap="none" spc="50">
            <a:ln w="11430"/>
            <a:solidFill>
              <a:srgbClr val="00B050"/>
            </a:solidFill>
            <a:effectLst>
              <a:outerShdw blurRad="76200" dist="50800" dir="5400000" algn="tl" rotWithShape="0">
                <a:srgbClr val="000000">
                  <a:alpha val="65000"/>
                </a:srgbClr>
              </a:outerShdw>
              <a:reflection blurRad="6350" stA="55000" endA="300" endPos="45500" dir="5400000" sy="-100000" algn="bl" rotWithShape="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1781175</xdr:colOff>
      <xdr:row>40</xdr:row>
      <xdr:rowOff>0</xdr:rowOff>
    </xdr:from>
    <xdr:to>
      <xdr:col>12</xdr:col>
      <xdr:colOff>1171575</xdr:colOff>
      <xdr:row>40</xdr:row>
      <xdr:rowOff>0</xdr:rowOff>
    </xdr:to>
    <xdr:pic>
      <xdr:nvPicPr>
        <xdr:cNvPr id="5121" name="図 17" descr="現存植生.jpg">
          <a:extLst>
            <a:ext uri="{FF2B5EF4-FFF2-40B4-BE49-F238E27FC236}">
              <a16:creationId xmlns:a16="http://schemas.microsoft.com/office/drawing/2014/main" id="{00000000-0008-0000-0200-000001140000}"/>
            </a:ext>
          </a:extLst>
        </xdr:cNvPr>
        <xdr:cNvPicPr>
          <a:picLocks noChangeAspect="1" noChangeArrowheads="1"/>
        </xdr:cNvPicPr>
      </xdr:nvPicPr>
      <xdr:blipFill>
        <a:blip xmlns:r="http://schemas.openxmlformats.org/officeDocument/2006/relationships" r:embed="rId1"/>
        <a:srcRect l="69554" t="85382" r="5714" b="6326"/>
        <a:stretch>
          <a:fillRect/>
        </a:stretch>
      </xdr:blipFill>
      <xdr:spPr bwMode="auto">
        <a:xfrm>
          <a:off x="16459200" y="16154400"/>
          <a:ext cx="11715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66675</xdr:colOff>
      <xdr:row>18</xdr:row>
      <xdr:rowOff>0</xdr:rowOff>
    </xdr:from>
    <xdr:to>
      <xdr:col>3</xdr:col>
      <xdr:colOff>247650</xdr:colOff>
      <xdr:row>18</xdr:row>
      <xdr:rowOff>142875</xdr:rowOff>
    </xdr:to>
    <xdr:sp macro="" textlink="">
      <xdr:nvSpPr>
        <xdr:cNvPr id="2063" name="Text Box 3">
          <a:extLst>
            <a:ext uri="{FF2B5EF4-FFF2-40B4-BE49-F238E27FC236}">
              <a16:creationId xmlns:a16="http://schemas.microsoft.com/office/drawing/2014/main" id="{00000000-0008-0000-0B00-00000F080000}"/>
            </a:ext>
          </a:extLst>
        </xdr:cNvPr>
        <xdr:cNvSpPr txBox="1">
          <a:spLocks noChangeArrowheads="1"/>
        </xdr:cNvSpPr>
      </xdr:nvSpPr>
      <xdr:spPr bwMode="auto">
        <a:xfrm>
          <a:off x="2819400" y="5010150"/>
          <a:ext cx="180975" cy="142875"/>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A</a:t>
          </a:r>
        </a:p>
      </xdr:txBody>
    </xdr:sp>
    <xdr:clientData/>
  </xdr:twoCellAnchor>
  <xdr:twoCellAnchor editAs="oneCell">
    <xdr:from>
      <xdr:col>4</xdr:col>
      <xdr:colOff>66675</xdr:colOff>
      <xdr:row>18</xdr:row>
      <xdr:rowOff>0</xdr:rowOff>
    </xdr:from>
    <xdr:to>
      <xdr:col>4</xdr:col>
      <xdr:colOff>247650</xdr:colOff>
      <xdr:row>18</xdr:row>
      <xdr:rowOff>142875</xdr:rowOff>
    </xdr:to>
    <xdr:sp macro="" textlink="">
      <xdr:nvSpPr>
        <xdr:cNvPr id="2064" name="Text Box 3">
          <a:extLst>
            <a:ext uri="{FF2B5EF4-FFF2-40B4-BE49-F238E27FC236}">
              <a16:creationId xmlns:a16="http://schemas.microsoft.com/office/drawing/2014/main" id="{00000000-0008-0000-0B00-000010080000}"/>
            </a:ext>
          </a:extLst>
        </xdr:cNvPr>
        <xdr:cNvSpPr txBox="1">
          <a:spLocks noChangeArrowheads="1"/>
        </xdr:cNvSpPr>
      </xdr:nvSpPr>
      <xdr:spPr bwMode="auto">
        <a:xfrm>
          <a:off x="4086225" y="5010150"/>
          <a:ext cx="180975" cy="142875"/>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B</a:t>
          </a:r>
        </a:p>
      </xdr:txBody>
    </xdr:sp>
    <xdr:clientData/>
  </xdr:twoCellAnchor>
  <xdr:twoCellAnchor editAs="oneCell">
    <xdr:from>
      <xdr:col>5</xdr:col>
      <xdr:colOff>66675</xdr:colOff>
      <xdr:row>18</xdr:row>
      <xdr:rowOff>0</xdr:rowOff>
    </xdr:from>
    <xdr:to>
      <xdr:col>5</xdr:col>
      <xdr:colOff>247650</xdr:colOff>
      <xdr:row>18</xdr:row>
      <xdr:rowOff>142875</xdr:rowOff>
    </xdr:to>
    <xdr:sp macro="" textlink="">
      <xdr:nvSpPr>
        <xdr:cNvPr id="2065" name="Text Box 3">
          <a:extLst>
            <a:ext uri="{FF2B5EF4-FFF2-40B4-BE49-F238E27FC236}">
              <a16:creationId xmlns:a16="http://schemas.microsoft.com/office/drawing/2014/main" id="{00000000-0008-0000-0B00-000011080000}"/>
            </a:ext>
          </a:extLst>
        </xdr:cNvPr>
        <xdr:cNvSpPr txBox="1">
          <a:spLocks noChangeArrowheads="1"/>
        </xdr:cNvSpPr>
      </xdr:nvSpPr>
      <xdr:spPr bwMode="auto">
        <a:xfrm>
          <a:off x="5353050" y="5010150"/>
          <a:ext cx="180975" cy="142875"/>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C</a:t>
          </a:r>
        </a:p>
      </xdr:txBody>
    </xdr:sp>
    <xdr:clientData/>
  </xdr:twoCellAnchor>
  <xdr:twoCellAnchor editAs="oneCell">
    <xdr:from>
      <xdr:col>3</xdr:col>
      <xdr:colOff>66675</xdr:colOff>
      <xdr:row>23</xdr:row>
      <xdr:rowOff>0</xdr:rowOff>
    </xdr:from>
    <xdr:to>
      <xdr:col>3</xdr:col>
      <xdr:colOff>247650</xdr:colOff>
      <xdr:row>23</xdr:row>
      <xdr:rowOff>152400</xdr:rowOff>
    </xdr:to>
    <xdr:sp macro="" textlink="">
      <xdr:nvSpPr>
        <xdr:cNvPr id="2074" name="Text Box 3">
          <a:extLst>
            <a:ext uri="{FF2B5EF4-FFF2-40B4-BE49-F238E27FC236}">
              <a16:creationId xmlns:a16="http://schemas.microsoft.com/office/drawing/2014/main" id="{00000000-0008-0000-0B00-00001A080000}"/>
            </a:ext>
          </a:extLst>
        </xdr:cNvPr>
        <xdr:cNvSpPr txBox="1">
          <a:spLocks noChangeArrowheads="1"/>
        </xdr:cNvSpPr>
      </xdr:nvSpPr>
      <xdr:spPr bwMode="auto">
        <a:xfrm>
          <a:off x="2819400" y="5514975"/>
          <a:ext cx="180975" cy="142875"/>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D</a:t>
          </a:r>
        </a:p>
      </xdr:txBody>
    </xdr:sp>
    <xdr:clientData/>
  </xdr:twoCellAnchor>
  <xdr:twoCellAnchor editAs="oneCell">
    <xdr:from>
      <xdr:col>4</xdr:col>
      <xdr:colOff>66675</xdr:colOff>
      <xdr:row>23</xdr:row>
      <xdr:rowOff>0</xdr:rowOff>
    </xdr:from>
    <xdr:to>
      <xdr:col>4</xdr:col>
      <xdr:colOff>247650</xdr:colOff>
      <xdr:row>23</xdr:row>
      <xdr:rowOff>152400</xdr:rowOff>
    </xdr:to>
    <xdr:sp macro="" textlink="">
      <xdr:nvSpPr>
        <xdr:cNvPr id="2075" name="Text Box 3">
          <a:extLst>
            <a:ext uri="{FF2B5EF4-FFF2-40B4-BE49-F238E27FC236}">
              <a16:creationId xmlns:a16="http://schemas.microsoft.com/office/drawing/2014/main" id="{00000000-0008-0000-0B00-00001B080000}"/>
            </a:ext>
          </a:extLst>
        </xdr:cNvPr>
        <xdr:cNvSpPr txBox="1">
          <a:spLocks noChangeArrowheads="1"/>
        </xdr:cNvSpPr>
      </xdr:nvSpPr>
      <xdr:spPr bwMode="auto">
        <a:xfrm>
          <a:off x="4086225" y="5514975"/>
          <a:ext cx="180975" cy="142875"/>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E</a:t>
          </a:r>
        </a:p>
      </xdr:txBody>
    </xdr:sp>
    <xdr:clientData/>
  </xdr:twoCellAnchor>
  <xdr:twoCellAnchor editAs="oneCell">
    <xdr:from>
      <xdr:col>5</xdr:col>
      <xdr:colOff>66675</xdr:colOff>
      <xdr:row>23</xdr:row>
      <xdr:rowOff>0</xdr:rowOff>
    </xdr:from>
    <xdr:to>
      <xdr:col>5</xdr:col>
      <xdr:colOff>247650</xdr:colOff>
      <xdr:row>23</xdr:row>
      <xdr:rowOff>152400</xdr:rowOff>
    </xdr:to>
    <xdr:sp macro="" textlink="">
      <xdr:nvSpPr>
        <xdr:cNvPr id="2076" name="Text Box 3">
          <a:extLst>
            <a:ext uri="{FF2B5EF4-FFF2-40B4-BE49-F238E27FC236}">
              <a16:creationId xmlns:a16="http://schemas.microsoft.com/office/drawing/2014/main" id="{00000000-0008-0000-0B00-00001C080000}"/>
            </a:ext>
          </a:extLst>
        </xdr:cNvPr>
        <xdr:cNvSpPr txBox="1">
          <a:spLocks noChangeArrowheads="1"/>
        </xdr:cNvSpPr>
      </xdr:nvSpPr>
      <xdr:spPr bwMode="auto">
        <a:xfrm>
          <a:off x="5353050" y="5514975"/>
          <a:ext cx="180975" cy="142875"/>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F</a:t>
          </a:r>
        </a:p>
      </xdr:txBody>
    </xdr:sp>
    <xdr:clientData/>
  </xdr:twoCellAnchor>
  <xdr:twoCellAnchor editAs="oneCell">
    <xdr:from>
      <xdr:col>6</xdr:col>
      <xdr:colOff>1076325</xdr:colOff>
      <xdr:row>7</xdr:row>
      <xdr:rowOff>9525</xdr:rowOff>
    </xdr:from>
    <xdr:to>
      <xdr:col>6</xdr:col>
      <xdr:colOff>1257300</xdr:colOff>
      <xdr:row>7</xdr:row>
      <xdr:rowOff>152400</xdr:rowOff>
    </xdr:to>
    <xdr:sp macro="" textlink="">
      <xdr:nvSpPr>
        <xdr:cNvPr id="5195" name="Text Box 3">
          <a:extLst>
            <a:ext uri="{FF2B5EF4-FFF2-40B4-BE49-F238E27FC236}">
              <a16:creationId xmlns:a16="http://schemas.microsoft.com/office/drawing/2014/main" id="{00000000-0008-0000-0B00-00004B140000}"/>
            </a:ext>
          </a:extLst>
        </xdr:cNvPr>
        <xdr:cNvSpPr txBox="1">
          <a:spLocks noChangeArrowheads="1"/>
        </xdr:cNvSpPr>
      </xdr:nvSpPr>
      <xdr:spPr bwMode="auto">
        <a:xfrm>
          <a:off x="7658100" y="2419350"/>
          <a:ext cx="180975" cy="142875"/>
        </a:xfrm>
        <a:prstGeom prst="rect">
          <a:avLst/>
        </a:prstGeom>
        <a:noFill/>
        <a:ln>
          <a:noFill/>
        </a:ln>
      </xdr:spPr>
      <xdr:txBody>
        <a:bodyPr vertOverflow="clip" wrap="square" lIns="0" tIns="18288" rIns="27432" bIns="0" anchor="t"/>
        <a:lstStyle/>
        <a:p>
          <a:pPr algn="r" rtl="0">
            <a:defRPr sz="1000"/>
          </a:pPr>
          <a:r>
            <a:rPr lang="ja-JP" altLang="en-US" sz="900" b="0" i="0" u="none" strike="noStrike" baseline="0">
              <a:solidFill>
                <a:srgbClr val="000000"/>
              </a:solidFill>
              <a:latin typeface="Arial"/>
              <a:cs typeface="Arial"/>
            </a:rPr>
            <a:t>G</a:t>
          </a:r>
          <a:endParaRPr lang="ja-JP" altLang="en-US"/>
        </a:p>
      </xdr:txBody>
    </xdr:sp>
    <xdr:clientData/>
  </xdr:twoCellAnchor>
  <xdr:twoCellAnchor editAs="oneCell">
    <xdr:from>
      <xdr:col>4</xdr:col>
      <xdr:colOff>66675</xdr:colOff>
      <xdr:row>24</xdr:row>
      <xdr:rowOff>0</xdr:rowOff>
    </xdr:from>
    <xdr:to>
      <xdr:col>4</xdr:col>
      <xdr:colOff>247650</xdr:colOff>
      <xdr:row>24</xdr:row>
      <xdr:rowOff>152400</xdr:rowOff>
    </xdr:to>
    <xdr:sp macro="" textlink="">
      <xdr:nvSpPr>
        <xdr:cNvPr id="26" name="Text Box 3">
          <a:extLst>
            <a:ext uri="{FF2B5EF4-FFF2-40B4-BE49-F238E27FC236}">
              <a16:creationId xmlns:a16="http://schemas.microsoft.com/office/drawing/2014/main" id="{00000000-0008-0000-0B00-00001A000000}"/>
            </a:ext>
          </a:extLst>
        </xdr:cNvPr>
        <xdr:cNvSpPr txBox="1">
          <a:spLocks noChangeArrowheads="1"/>
        </xdr:cNvSpPr>
      </xdr:nvSpPr>
      <xdr:spPr bwMode="auto">
        <a:xfrm>
          <a:off x="4121604" y="6245679"/>
          <a:ext cx="180975" cy="152400"/>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H</a:t>
          </a:r>
        </a:p>
      </xdr:txBody>
    </xdr:sp>
    <xdr:clientData/>
  </xdr:twoCellAnchor>
  <xdr:twoCellAnchor editAs="oneCell">
    <xdr:from>
      <xdr:col>5</xdr:col>
      <xdr:colOff>66675</xdr:colOff>
      <xdr:row>24</xdr:row>
      <xdr:rowOff>0</xdr:rowOff>
    </xdr:from>
    <xdr:to>
      <xdr:col>5</xdr:col>
      <xdr:colOff>247650</xdr:colOff>
      <xdr:row>24</xdr:row>
      <xdr:rowOff>152400</xdr:rowOff>
    </xdr:to>
    <xdr:sp macro="" textlink="">
      <xdr:nvSpPr>
        <xdr:cNvPr id="27" name="Text Box 3">
          <a:extLst>
            <a:ext uri="{FF2B5EF4-FFF2-40B4-BE49-F238E27FC236}">
              <a16:creationId xmlns:a16="http://schemas.microsoft.com/office/drawing/2014/main" id="{00000000-0008-0000-0B00-00001B000000}"/>
            </a:ext>
          </a:extLst>
        </xdr:cNvPr>
        <xdr:cNvSpPr txBox="1">
          <a:spLocks noChangeArrowheads="1"/>
        </xdr:cNvSpPr>
      </xdr:nvSpPr>
      <xdr:spPr bwMode="auto">
        <a:xfrm>
          <a:off x="5387068" y="6245679"/>
          <a:ext cx="180975" cy="152400"/>
        </a:xfrm>
        <a:prstGeom prst="rect">
          <a:avLst/>
        </a:prstGeom>
        <a:noFill/>
        <a:ln w="9525">
          <a:noFill/>
          <a:miter lim="800000"/>
          <a:headEnd/>
          <a:tailEnd/>
        </a:ln>
      </xdr:spPr>
      <xdr:txBody>
        <a:bodyPr vertOverflow="clip" wrap="square" lIns="0"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I</a:t>
          </a:r>
        </a:p>
      </xdr:txBody>
    </xdr:sp>
    <xdr:clientData/>
  </xdr:twoCellAnchor>
  <xdr:twoCellAnchor editAs="oneCell">
    <xdr:from>
      <xdr:col>9</xdr:col>
      <xdr:colOff>63305</xdr:colOff>
      <xdr:row>17</xdr:row>
      <xdr:rowOff>493054</xdr:rowOff>
    </xdr:from>
    <xdr:to>
      <xdr:col>10</xdr:col>
      <xdr:colOff>203</xdr:colOff>
      <xdr:row>18</xdr:row>
      <xdr:rowOff>198340</xdr:rowOff>
    </xdr:to>
    <xdr:sp macro="" textlink="">
      <xdr:nvSpPr>
        <xdr:cNvPr id="45" name="Text Box 3">
          <a:extLst>
            <a:ext uri="{FF2B5EF4-FFF2-40B4-BE49-F238E27FC236}">
              <a16:creationId xmlns:a16="http://schemas.microsoft.com/office/drawing/2014/main" id="{00000000-0008-0000-0B00-00002D000000}"/>
            </a:ext>
          </a:extLst>
        </xdr:cNvPr>
        <xdr:cNvSpPr txBox="1">
          <a:spLocks noChangeArrowheads="1"/>
        </xdr:cNvSpPr>
      </xdr:nvSpPr>
      <xdr:spPr bwMode="auto">
        <a:xfrm>
          <a:off x="10439952" y="6992466"/>
          <a:ext cx="1203163" cy="209550"/>
        </a:xfrm>
        <a:prstGeom prst="rect">
          <a:avLst/>
        </a:prstGeom>
        <a:noFill/>
        <a:ln w="9525">
          <a:noFill/>
          <a:miter lim="800000"/>
          <a:headEnd/>
          <a:tailEnd/>
        </a:ln>
      </xdr:spPr>
      <xdr:txBody>
        <a:bodyPr vertOverflow="clip" wrap="square" lIns="0" tIns="18288" rIns="27432" bIns="0" anchor="t" upright="1"/>
        <a:lstStyle/>
        <a:p>
          <a:pPr algn="l" rtl="0">
            <a:defRPr sz="1000"/>
          </a:pPr>
          <a:r>
            <a:rPr lang="ja-JP" altLang="en-US" sz="800" b="0" i="0" u="none" strike="noStrike" baseline="0">
              <a:solidFill>
                <a:schemeClr val="tx1"/>
              </a:solidFill>
              <a:latin typeface="Arial"/>
              <a:cs typeface="Arial"/>
            </a:rPr>
            <a:t>(B+2C)/3-A=</a:t>
          </a:r>
          <a:endParaRPr lang="ja-JP" altLang="en-US" sz="800" strike="noStrike" baseline="0">
            <a:solidFill>
              <a:schemeClr val="tx1"/>
            </a:solidFill>
          </a:endParaRPr>
        </a:p>
      </xdr:txBody>
    </xdr:sp>
    <xdr:clientData/>
  </xdr:twoCellAnchor>
  <xdr:twoCellAnchor editAs="oneCell">
    <xdr:from>
      <xdr:col>10</xdr:col>
      <xdr:colOff>60824</xdr:colOff>
      <xdr:row>22</xdr:row>
      <xdr:rowOff>0</xdr:rowOff>
    </xdr:from>
    <xdr:to>
      <xdr:col>10</xdr:col>
      <xdr:colOff>1093307</xdr:colOff>
      <xdr:row>22</xdr:row>
      <xdr:rowOff>179856</xdr:rowOff>
    </xdr:to>
    <xdr:sp macro="" textlink="">
      <xdr:nvSpPr>
        <xdr:cNvPr id="46" name="Text Box 3">
          <a:extLst>
            <a:ext uri="{FF2B5EF4-FFF2-40B4-BE49-F238E27FC236}">
              <a16:creationId xmlns:a16="http://schemas.microsoft.com/office/drawing/2014/main" id="{00000000-0008-0000-0B00-00002E000000}"/>
            </a:ext>
          </a:extLst>
        </xdr:cNvPr>
        <xdr:cNvSpPr txBox="1">
          <a:spLocks noChangeArrowheads="1"/>
        </xdr:cNvSpPr>
      </xdr:nvSpPr>
      <xdr:spPr bwMode="auto">
        <a:xfrm>
          <a:off x="10944172" y="6766891"/>
          <a:ext cx="1032483" cy="179856"/>
        </a:xfrm>
        <a:prstGeom prst="rect">
          <a:avLst/>
        </a:prstGeom>
        <a:noFill/>
        <a:ln w="9525">
          <a:noFill/>
          <a:miter lim="800000"/>
          <a:headEnd/>
          <a:tailEnd/>
        </a:ln>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Arial"/>
              <a:cs typeface="Arial"/>
            </a:rPr>
            <a:t>(B+2C)/3/A=</a:t>
          </a:r>
          <a:endParaRPr lang="ja-JP" altLang="en-US" sz="800"/>
        </a:p>
      </xdr:txBody>
    </xdr:sp>
    <xdr:clientData/>
  </xdr:twoCellAnchor>
  <xdr:twoCellAnchor editAs="oneCell">
    <xdr:from>
      <xdr:col>10</xdr:col>
      <xdr:colOff>69108</xdr:colOff>
      <xdr:row>17</xdr:row>
      <xdr:rowOff>8282</xdr:rowOff>
    </xdr:from>
    <xdr:to>
      <xdr:col>10</xdr:col>
      <xdr:colOff>1088283</xdr:colOff>
      <xdr:row>17</xdr:row>
      <xdr:rowOff>179732</xdr:rowOff>
    </xdr:to>
    <xdr:sp macro="" textlink="">
      <xdr:nvSpPr>
        <xdr:cNvPr id="47" name="Text Box 3">
          <a:extLst>
            <a:ext uri="{FF2B5EF4-FFF2-40B4-BE49-F238E27FC236}">
              <a16:creationId xmlns:a16="http://schemas.microsoft.com/office/drawing/2014/main" id="{00000000-0008-0000-0B00-00002F000000}"/>
            </a:ext>
          </a:extLst>
        </xdr:cNvPr>
        <xdr:cNvSpPr txBox="1">
          <a:spLocks noChangeArrowheads="1"/>
        </xdr:cNvSpPr>
      </xdr:nvSpPr>
      <xdr:spPr bwMode="auto">
        <a:xfrm>
          <a:off x="10952456" y="4754217"/>
          <a:ext cx="1019175" cy="171450"/>
        </a:xfrm>
        <a:prstGeom prst="rect">
          <a:avLst/>
        </a:prstGeom>
        <a:noFill/>
        <a:ln>
          <a:noFill/>
        </a:ln>
      </xdr:spPr>
      <xdr:txBody>
        <a:bodyPr vertOverflow="clip" wrap="square" lIns="0" tIns="18288" rIns="27432" bIns="0" anchor="t"/>
        <a:lstStyle/>
        <a:p>
          <a:pPr algn="l" rtl="0">
            <a:defRPr sz="1000"/>
          </a:pPr>
          <a:r>
            <a:rPr lang="ja-JP" altLang="en-US" sz="800" b="0" i="0" u="none" strike="noStrike" baseline="0">
              <a:solidFill>
                <a:srgbClr val="000000"/>
              </a:solidFill>
              <a:latin typeface="Arial"/>
              <a:cs typeface="Arial"/>
            </a:rPr>
            <a:t>A/((B+2C)/3)×G=</a:t>
          </a:r>
          <a:endParaRPr lang="ja-JP" altLang="en-US" sz="800"/>
        </a:p>
      </xdr:txBody>
    </xdr:sp>
    <xdr:clientData/>
  </xdr:twoCellAnchor>
  <xdr:twoCellAnchor editAs="oneCell">
    <xdr:from>
      <xdr:col>9</xdr:col>
      <xdr:colOff>63305</xdr:colOff>
      <xdr:row>23</xdr:row>
      <xdr:rowOff>0</xdr:rowOff>
    </xdr:from>
    <xdr:to>
      <xdr:col>9</xdr:col>
      <xdr:colOff>1253930</xdr:colOff>
      <xdr:row>23</xdr:row>
      <xdr:rowOff>152400</xdr:rowOff>
    </xdr:to>
    <xdr:sp macro="" textlink="">
      <xdr:nvSpPr>
        <xdr:cNvPr id="48" name="Text Box 3">
          <a:extLst>
            <a:ext uri="{FF2B5EF4-FFF2-40B4-BE49-F238E27FC236}">
              <a16:creationId xmlns:a16="http://schemas.microsoft.com/office/drawing/2014/main" id="{00000000-0008-0000-0B00-000030000000}"/>
            </a:ext>
          </a:extLst>
        </xdr:cNvPr>
        <xdr:cNvSpPr txBox="1">
          <a:spLocks noChangeArrowheads="1"/>
        </xdr:cNvSpPr>
      </xdr:nvSpPr>
      <xdr:spPr bwMode="auto">
        <a:xfrm>
          <a:off x="7915218" y="6261652"/>
          <a:ext cx="1190625" cy="152400"/>
        </a:xfrm>
        <a:prstGeom prst="rect">
          <a:avLst/>
        </a:prstGeom>
        <a:noFill/>
        <a:ln w="9525">
          <a:noFill/>
          <a:miter lim="800000"/>
          <a:headEnd/>
          <a:tailEnd/>
        </a:ln>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Arial"/>
              <a:cs typeface="Arial"/>
            </a:rPr>
            <a:t>(E+2F)/3-D=</a:t>
          </a:r>
          <a:endParaRPr lang="ja-JP" altLang="en-US" sz="800"/>
        </a:p>
      </xdr:txBody>
    </xdr:sp>
    <xdr:clientData/>
  </xdr:twoCellAnchor>
  <xdr:twoCellAnchor editAs="oneCell">
    <xdr:from>
      <xdr:col>6</xdr:col>
      <xdr:colOff>49698</xdr:colOff>
      <xdr:row>18</xdr:row>
      <xdr:rowOff>7930</xdr:rowOff>
    </xdr:from>
    <xdr:to>
      <xdr:col>6</xdr:col>
      <xdr:colOff>668823</xdr:colOff>
      <xdr:row>18</xdr:row>
      <xdr:rowOff>159529</xdr:rowOff>
    </xdr:to>
    <xdr:sp macro="" textlink="">
      <xdr:nvSpPr>
        <xdr:cNvPr id="49" name="Text Box 3">
          <a:extLst>
            <a:ext uri="{FF2B5EF4-FFF2-40B4-BE49-F238E27FC236}">
              <a16:creationId xmlns:a16="http://schemas.microsoft.com/office/drawing/2014/main" id="{00000000-0008-0000-0B00-000031000000}"/>
            </a:ext>
          </a:extLst>
        </xdr:cNvPr>
        <xdr:cNvSpPr txBox="1">
          <a:spLocks noChangeArrowheads="1"/>
        </xdr:cNvSpPr>
      </xdr:nvSpPr>
      <xdr:spPr bwMode="auto">
        <a:xfrm>
          <a:off x="6634372" y="5764343"/>
          <a:ext cx="619125" cy="151599"/>
        </a:xfrm>
        <a:prstGeom prst="rect">
          <a:avLst/>
        </a:prstGeom>
        <a:noFill/>
        <a:ln w="9525">
          <a:noFill/>
          <a:miter lim="800000"/>
          <a:headEnd/>
          <a:tailEnd/>
        </a:ln>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Arial"/>
              <a:cs typeface="Arial"/>
            </a:rPr>
            <a:t>(B+2C)/3=</a:t>
          </a:r>
          <a:endParaRPr lang="ja-JP" altLang="en-US" sz="800"/>
        </a:p>
      </xdr:txBody>
    </xdr:sp>
    <xdr:clientData/>
  </xdr:twoCellAnchor>
  <xdr:twoCellAnchor editAs="oneCell">
    <xdr:from>
      <xdr:col>6</xdr:col>
      <xdr:colOff>63305</xdr:colOff>
      <xdr:row>23</xdr:row>
      <xdr:rowOff>13847</xdr:rowOff>
    </xdr:from>
    <xdr:to>
      <xdr:col>6</xdr:col>
      <xdr:colOff>644330</xdr:colOff>
      <xdr:row>23</xdr:row>
      <xdr:rowOff>164849</xdr:rowOff>
    </xdr:to>
    <xdr:sp macro="" textlink="">
      <xdr:nvSpPr>
        <xdr:cNvPr id="50" name="Text Box 3">
          <a:extLst>
            <a:ext uri="{FF2B5EF4-FFF2-40B4-BE49-F238E27FC236}">
              <a16:creationId xmlns:a16="http://schemas.microsoft.com/office/drawing/2014/main" id="{00000000-0008-0000-0B00-000032000000}"/>
            </a:ext>
          </a:extLst>
        </xdr:cNvPr>
        <xdr:cNvSpPr txBox="1">
          <a:spLocks noChangeArrowheads="1"/>
        </xdr:cNvSpPr>
      </xdr:nvSpPr>
      <xdr:spPr bwMode="auto">
        <a:xfrm>
          <a:off x="6649162" y="7511383"/>
          <a:ext cx="581025" cy="151002"/>
        </a:xfrm>
        <a:prstGeom prst="rect">
          <a:avLst/>
        </a:prstGeom>
        <a:noFill/>
        <a:ln w="9525">
          <a:noFill/>
          <a:miter lim="800000"/>
          <a:headEnd/>
          <a:tailEnd/>
        </a:ln>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Arial"/>
              <a:cs typeface="Arial"/>
            </a:rPr>
            <a:t>(E+2F)/3=</a:t>
          </a:r>
          <a:endParaRPr lang="ja-JP" altLang="en-US" sz="800"/>
        </a:p>
      </xdr:txBody>
    </xdr:sp>
    <xdr:clientData/>
  </xdr:twoCellAnchor>
  <xdr:twoCellAnchor editAs="oneCell">
    <xdr:from>
      <xdr:col>10</xdr:col>
      <xdr:colOff>38412</xdr:colOff>
      <xdr:row>18</xdr:row>
      <xdr:rowOff>481854</xdr:rowOff>
    </xdr:from>
    <xdr:to>
      <xdr:col>10</xdr:col>
      <xdr:colOff>1057587</xdr:colOff>
      <xdr:row>19</xdr:row>
      <xdr:rowOff>149039</xdr:rowOff>
    </xdr:to>
    <xdr:sp macro="" textlink="">
      <xdr:nvSpPr>
        <xdr:cNvPr id="51" name="Text Box 3">
          <a:extLst>
            <a:ext uri="{FF2B5EF4-FFF2-40B4-BE49-F238E27FC236}">
              <a16:creationId xmlns:a16="http://schemas.microsoft.com/office/drawing/2014/main" id="{00000000-0008-0000-0B00-000033000000}"/>
            </a:ext>
          </a:extLst>
        </xdr:cNvPr>
        <xdr:cNvSpPr txBox="1">
          <a:spLocks noChangeArrowheads="1"/>
        </xdr:cNvSpPr>
      </xdr:nvSpPr>
      <xdr:spPr bwMode="auto">
        <a:xfrm>
          <a:off x="11681324" y="7485530"/>
          <a:ext cx="1019175" cy="171450"/>
        </a:xfrm>
        <a:prstGeom prst="rect">
          <a:avLst/>
        </a:prstGeom>
        <a:noFill/>
        <a:ln>
          <a:noFill/>
        </a:ln>
      </xdr:spPr>
      <xdr:txBody>
        <a:bodyPr vertOverflow="clip" wrap="square" lIns="0" tIns="18288" rIns="27432" bIns="0" anchor="t"/>
        <a:lstStyle/>
        <a:p>
          <a:pPr algn="l" rtl="0">
            <a:defRPr sz="1000"/>
          </a:pPr>
          <a:r>
            <a:rPr lang="ja-JP" altLang="en-US" sz="800" b="0" i="0" u="none" strike="noStrike" baseline="0">
              <a:solidFill>
                <a:srgbClr val="000000"/>
              </a:solidFill>
              <a:latin typeface="Arial"/>
              <a:cs typeface="Arial"/>
            </a:rPr>
            <a:t>(</a:t>
          </a:r>
          <a:r>
            <a:rPr lang="en-US" altLang="ja-JP" sz="800" b="0" i="0" u="none" strike="noStrike" baseline="0">
              <a:solidFill>
                <a:srgbClr val="000000"/>
              </a:solidFill>
              <a:latin typeface="Arial"/>
              <a:cs typeface="Arial"/>
            </a:rPr>
            <a:t>H</a:t>
          </a:r>
          <a:r>
            <a:rPr lang="ja-JP" altLang="en-US" sz="800" b="0" i="0" u="none" strike="noStrike" baseline="0">
              <a:solidFill>
                <a:srgbClr val="000000"/>
              </a:solidFill>
              <a:latin typeface="Arial"/>
              <a:cs typeface="Arial"/>
            </a:rPr>
            <a:t>+2</a:t>
          </a:r>
          <a:r>
            <a:rPr lang="en-US" altLang="ja-JP" sz="800" b="0" i="0" u="none" strike="noStrike" baseline="0">
              <a:solidFill>
                <a:srgbClr val="000000"/>
              </a:solidFill>
              <a:latin typeface="Arial"/>
              <a:cs typeface="Arial"/>
            </a:rPr>
            <a:t>I</a:t>
          </a:r>
          <a:r>
            <a:rPr lang="ja-JP" altLang="en-US" sz="800" b="0" i="0" u="none" strike="noStrike" baseline="0">
              <a:solidFill>
                <a:srgbClr val="000000"/>
              </a:solidFill>
              <a:latin typeface="Arial"/>
              <a:cs typeface="Arial"/>
            </a:rPr>
            <a:t>)/3</a:t>
          </a:r>
          <a:r>
            <a:rPr lang="en-US" altLang="ja-JP" sz="800" b="0" i="0" u="none" strike="noStrike" baseline="0">
              <a:solidFill>
                <a:srgbClr val="000000"/>
              </a:solidFill>
              <a:latin typeface="Arial"/>
              <a:cs typeface="Arial"/>
            </a:rPr>
            <a:t>-D</a:t>
          </a:r>
          <a:r>
            <a:rPr lang="ja-JP" altLang="en-US" sz="800" b="0" i="0" u="none" strike="noStrike" baseline="0">
              <a:solidFill>
                <a:srgbClr val="000000"/>
              </a:solidFill>
              <a:latin typeface="Arial"/>
              <a:cs typeface="Arial"/>
            </a:rPr>
            <a:t>=</a:t>
          </a:r>
          <a:endParaRPr lang="ja-JP" altLang="en-US" sz="800"/>
        </a:p>
      </xdr:txBody>
    </xdr:sp>
    <xdr:clientData/>
  </xdr:twoCellAnchor>
  <xdr:twoCellAnchor editAs="oneCell">
    <xdr:from>
      <xdr:col>6</xdr:col>
      <xdr:colOff>55022</xdr:colOff>
      <xdr:row>23</xdr:row>
      <xdr:rowOff>503704</xdr:rowOff>
    </xdr:from>
    <xdr:to>
      <xdr:col>6</xdr:col>
      <xdr:colOff>636047</xdr:colOff>
      <xdr:row>24</xdr:row>
      <xdr:rowOff>151245</xdr:rowOff>
    </xdr:to>
    <xdr:sp macro="" textlink="">
      <xdr:nvSpPr>
        <xdr:cNvPr id="52" name="Text Box 3">
          <a:extLst>
            <a:ext uri="{FF2B5EF4-FFF2-40B4-BE49-F238E27FC236}">
              <a16:creationId xmlns:a16="http://schemas.microsoft.com/office/drawing/2014/main" id="{00000000-0008-0000-0B00-000034000000}"/>
            </a:ext>
          </a:extLst>
        </xdr:cNvPr>
        <xdr:cNvSpPr txBox="1">
          <a:spLocks noChangeArrowheads="1"/>
        </xdr:cNvSpPr>
      </xdr:nvSpPr>
      <xdr:spPr bwMode="auto">
        <a:xfrm>
          <a:off x="6639696" y="6765356"/>
          <a:ext cx="581025" cy="152779"/>
        </a:xfrm>
        <a:prstGeom prst="rect">
          <a:avLst/>
        </a:prstGeom>
        <a:noFill/>
        <a:ln w="9525">
          <a:noFill/>
          <a:miter lim="800000"/>
          <a:headEnd/>
          <a:tailEnd/>
        </a:ln>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Arial"/>
              <a:cs typeface="Arial"/>
            </a:rPr>
            <a:t>(</a:t>
          </a:r>
          <a:r>
            <a:rPr lang="en-US" altLang="ja-JP" sz="800" b="0" i="0" u="none" strike="noStrike" baseline="0">
              <a:solidFill>
                <a:srgbClr val="000000"/>
              </a:solidFill>
              <a:latin typeface="Arial"/>
              <a:cs typeface="Arial"/>
            </a:rPr>
            <a:t>H</a:t>
          </a:r>
          <a:r>
            <a:rPr lang="ja-JP" altLang="en-US" sz="800" b="0" i="0" u="none" strike="noStrike" baseline="0">
              <a:solidFill>
                <a:srgbClr val="000000"/>
              </a:solidFill>
              <a:latin typeface="Arial"/>
              <a:cs typeface="Arial"/>
            </a:rPr>
            <a:t>+2</a:t>
          </a:r>
          <a:r>
            <a:rPr lang="en-US" altLang="ja-JP" sz="800" b="0" i="0" u="none" strike="noStrike" baseline="0">
              <a:solidFill>
                <a:srgbClr val="000000"/>
              </a:solidFill>
              <a:latin typeface="Arial"/>
              <a:cs typeface="Arial"/>
            </a:rPr>
            <a:t>I</a:t>
          </a:r>
          <a:r>
            <a:rPr lang="ja-JP" altLang="en-US" sz="800" b="0" i="0" u="none" strike="noStrike" baseline="0">
              <a:solidFill>
                <a:srgbClr val="000000"/>
              </a:solidFill>
              <a:latin typeface="Arial"/>
              <a:cs typeface="Arial"/>
            </a:rPr>
            <a:t>)/3=</a:t>
          </a:r>
          <a:endParaRPr lang="ja-JP" altLang="en-US" sz="8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316209</xdr:colOff>
      <xdr:row>3</xdr:row>
      <xdr:rowOff>54429</xdr:rowOff>
    </xdr:from>
    <xdr:to>
      <xdr:col>15</xdr:col>
      <xdr:colOff>406854</xdr:colOff>
      <xdr:row>38</xdr:row>
      <xdr:rowOff>85724</xdr:rowOff>
    </xdr:to>
    <xdr:pic>
      <xdr:nvPicPr>
        <xdr:cNvPr id="3" name="図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786" t="3440" r="48803" b="18773"/>
        <a:stretch/>
      </xdr:blipFill>
      <xdr:spPr>
        <a:xfrm>
          <a:off x="4488159" y="873579"/>
          <a:ext cx="7634445" cy="6508295"/>
        </a:xfrm>
        <a:prstGeom prst="rect">
          <a:avLst/>
        </a:prstGeom>
      </xdr:spPr>
    </xdr:pic>
    <xdr:clientData/>
  </xdr:twoCellAnchor>
  <xdr:twoCellAnchor>
    <xdr:from>
      <xdr:col>11</xdr:col>
      <xdr:colOff>60367</xdr:colOff>
      <xdr:row>20</xdr:row>
      <xdr:rowOff>57759</xdr:rowOff>
    </xdr:from>
    <xdr:to>
      <xdr:col>12</xdr:col>
      <xdr:colOff>107657</xdr:colOff>
      <xdr:row>23</xdr:row>
      <xdr:rowOff>16665</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9032917" y="4267809"/>
          <a:ext cx="733090" cy="473256"/>
        </a:xfrm>
        <a:prstGeom prst="rect">
          <a:avLst/>
        </a:prstGeom>
        <a:noFill/>
        <a:ln>
          <a:solidFill>
            <a:srgbClr val="00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136007</xdr:colOff>
      <xdr:row>20</xdr:row>
      <xdr:rowOff>57759</xdr:rowOff>
    </xdr:from>
    <xdr:to>
      <xdr:col>13</xdr:col>
      <xdr:colOff>183297</xdr:colOff>
      <xdr:row>23</xdr:row>
      <xdr:rowOff>16665</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9794357" y="4267809"/>
          <a:ext cx="733090" cy="473256"/>
        </a:xfrm>
        <a:prstGeom prst="rect">
          <a:avLst/>
        </a:prstGeom>
        <a:no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923925</xdr:colOff>
      <xdr:row>8</xdr:row>
      <xdr:rowOff>28575</xdr:rowOff>
    </xdr:from>
    <xdr:to>
      <xdr:col>11</xdr:col>
      <xdr:colOff>361950</xdr:colOff>
      <xdr:row>20</xdr:row>
      <xdr:rowOff>19050</xdr:rowOff>
    </xdr:to>
    <xdr:sp macro="" textlink="">
      <xdr:nvSpPr>
        <xdr:cNvPr id="10" name="フリーフォーム 9">
          <a:extLst>
            <a:ext uri="{FF2B5EF4-FFF2-40B4-BE49-F238E27FC236}">
              <a16:creationId xmlns:a16="http://schemas.microsoft.com/office/drawing/2014/main" id="{00000000-0008-0000-0C00-00000A000000}"/>
            </a:ext>
          </a:extLst>
        </xdr:cNvPr>
        <xdr:cNvSpPr/>
      </xdr:nvSpPr>
      <xdr:spPr>
        <a:xfrm>
          <a:off x="1819275" y="2085975"/>
          <a:ext cx="7515225" cy="2143125"/>
        </a:xfrm>
        <a:custGeom>
          <a:avLst/>
          <a:gdLst>
            <a:gd name="connsiteX0" fmla="*/ 0 w 7153275"/>
            <a:gd name="connsiteY0" fmla="*/ 0 h 3009900"/>
            <a:gd name="connsiteX1" fmla="*/ 7153275 w 7153275"/>
            <a:gd name="connsiteY1" fmla="*/ 3009900 h 3009900"/>
          </a:gdLst>
          <a:ahLst/>
          <a:cxnLst>
            <a:cxn ang="0">
              <a:pos x="connsiteX0" y="connsiteY0"/>
            </a:cxn>
            <a:cxn ang="0">
              <a:pos x="connsiteX1" y="connsiteY1"/>
            </a:cxn>
          </a:cxnLst>
          <a:rect l="l" t="t" r="r" b="b"/>
          <a:pathLst>
            <a:path w="7153275" h="3009900">
              <a:moveTo>
                <a:pt x="0" y="0"/>
              </a:moveTo>
              <a:lnTo>
                <a:pt x="7153275" y="3009900"/>
              </a:lnTo>
            </a:path>
          </a:pathLst>
        </a:custGeom>
        <a:noFill/>
        <a:ln>
          <a:solidFill>
            <a:srgbClr val="0099FF"/>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188590</xdr:colOff>
      <xdr:row>31</xdr:row>
      <xdr:rowOff>135930</xdr:rowOff>
    </xdr:from>
    <xdr:to>
      <xdr:col>14</xdr:col>
      <xdr:colOff>235880</xdr:colOff>
      <xdr:row>37</xdr:row>
      <xdr:rowOff>6046</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10532740" y="6231930"/>
          <a:ext cx="733090" cy="898816"/>
        </a:xfrm>
        <a:prstGeom prst="rect">
          <a:avLst/>
        </a:prstGeom>
        <a:noFill/>
        <a:ln>
          <a:solidFill>
            <a:srgbClr val="00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264230</xdr:colOff>
      <xdr:row>31</xdr:row>
      <xdr:rowOff>135930</xdr:rowOff>
    </xdr:from>
    <xdr:to>
      <xdr:col>15</xdr:col>
      <xdr:colOff>311519</xdr:colOff>
      <xdr:row>37</xdr:row>
      <xdr:rowOff>6046</xdr:rowOff>
    </xdr:to>
    <xdr:sp macro="" textlink="">
      <xdr:nvSpPr>
        <xdr:cNvPr id="14" name="正方形/長方形 13">
          <a:extLst>
            <a:ext uri="{FF2B5EF4-FFF2-40B4-BE49-F238E27FC236}">
              <a16:creationId xmlns:a16="http://schemas.microsoft.com/office/drawing/2014/main" id="{00000000-0008-0000-0C00-00000E000000}"/>
            </a:ext>
          </a:extLst>
        </xdr:cNvPr>
        <xdr:cNvSpPr/>
      </xdr:nvSpPr>
      <xdr:spPr>
        <a:xfrm>
          <a:off x="11294180" y="6231930"/>
          <a:ext cx="733089" cy="898816"/>
        </a:xfrm>
        <a:prstGeom prst="rect">
          <a:avLst/>
        </a:prstGeom>
        <a:no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12230</xdr:colOff>
      <xdr:row>17</xdr:row>
      <xdr:rowOff>149301</xdr:rowOff>
    </xdr:from>
    <xdr:to>
      <xdr:col>14</xdr:col>
      <xdr:colOff>571500</xdr:colOff>
      <xdr:row>31</xdr:row>
      <xdr:rowOff>95250</xdr:rowOff>
    </xdr:to>
    <xdr:sp macro="" textlink="">
      <xdr:nvSpPr>
        <xdr:cNvPr id="15" name="フリーフォーム 14">
          <a:extLst>
            <a:ext uri="{FF2B5EF4-FFF2-40B4-BE49-F238E27FC236}">
              <a16:creationId xmlns:a16="http://schemas.microsoft.com/office/drawing/2014/main" id="{00000000-0008-0000-0C00-00000F000000}"/>
            </a:ext>
          </a:extLst>
        </xdr:cNvPr>
        <xdr:cNvSpPr/>
      </xdr:nvSpPr>
      <xdr:spPr>
        <a:xfrm>
          <a:off x="3498380" y="3778326"/>
          <a:ext cx="8103070" cy="2412924"/>
        </a:xfrm>
        <a:custGeom>
          <a:avLst/>
          <a:gdLst>
            <a:gd name="connsiteX0" fmla="*/ 0 w 7191375"/>
            <a:gd name="connsiteY0" fmla="*/ 0 h 3171825"/>
            <a:gd name="connsiteX1" fmla="*/ 4181475 w 7191375"/>
            <a:gd name="connsiteY1" fmla="*/ 552450 h 3171825"/>
            <a:gd name="connsiteX2" fmla="*/ 7191375 w 7191375"/>
            <a:gd name="connsiteY2" fmla="*/ 3171825 h 3171825"/>
            <a:gd name="connsiteX0" fmla="*/ 0 w 7160244"/>
            <a:gd name="connsiteY0" fmla="*/ 0 h 3581519"/>
            <a:gd name="connsiteX1" fmla="*/ 4150344 w 7160244"/>
            <a:gd name="connsiteY1" fmla="*/ 962144 h 3581519"/>
            <a:gd name="connsiteX2" fmla="*/ 7160244 w 7160244"/>
            <a:gd name="connsiteY2" fmla="*/ 3581519 h 3581519"/>
            <a:gd name="connsiteX0" fmla="*/ 0 w 7160244"/>
            <a:gd name="connsiteY0" fmla="*/ 0 h 3581519"/>
            <a:gd name="connsiteX1" fmla="*/ 4103647 w 7160244"/>
            <a:gd name="connsiteY1" fmla="*/ 1160383 h 3581519"/>
            <a:gd name="connsiteX2" fmla="*/ 7160244 w 7160244"/>
            <a:gd name="connsiteY2" fmla="*/ 3581519 h 3581519"/>
          </a:gdLst>
          <a:ahLst/>
          <a:cxnLst>
            <a:cxn ang="0">
              <a:pos x="connsiteX0" y="connsiteY0"/>
            </a:cxn>
            <a:cxn ang="0">
              <a:pos x="connsiteX1" y="connsiteY1"/>
            </a:cxn>
            <a:cxn ang="0">
              <a:pos x="connsiteX2" y="connsiteY2"/>
            </a:cxn>
          </a:cxnLst>
          <a:rect l="l" t="t" r="r" b="b"/>
          <a:pathLst>
            <a:path w="7160244" h="3581519">
              <a:moveTo>
                <a:pt x="0" y="0"/>
              </a:moveTo>
              <a:cubicBezTo>
                <a:pt x="1491456" y="11906"/>
                <a:pt x="2910273" y="563463"/>
                <a:pt x="4103647" y="1160383"/>
              </a:cubicBezTo>
              <a:cubicBezTo>
                <a:pt x="5297021" y="1757303"/>
                <a:pt x="6254575" y="2536150"/>
                <a:pt x="7160244" y="3581519"/>
              </a:cubicBezTo>
            </a:path>
          </a:pathLst>
        </a:custGeom>
        <a:noFill/>
        <a:ln>
          <a:solidFill>
            <a:srgbClr val="FF505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733425</xdr:colOff>
      <xdr:row>20</xdr:row>
      <xdr:rowOff>19051</xdr:rowOff>
    </xdr:from>
    <xdr:to>
      <xdr:col>13</xdr:col>
      <xdr:colOff>171451</xdr:colOff>
      <xdr:row>32</xdr:row>
      <xdr:rowOff>133351</xdr:rowOff>
    </xdr:to>
    <xdr:sp macro="" textlink="">
      <xdr:nvSpPr>
        <xdr:cNvPr id="16" name="フリーフォーム 15">
          <a:extLst>
            <a:ext uri="{FF2B5EF4-FFF2-40B4-BE49-F238E27FC236}">
              <a16:creationId xmlns:a16="http://schemas.microsoft.com/office/drawing/2014/main" id="{00000000-0008-0000-0C00-000010000000}"/>
            </a:ext>
          </a:extLst>
        </xdr:cNvPr>
        <xdr:cNvSpPr/>
      </xdr:nvSpPr>
      <xdr:spPr>
        <a:xfrm>
          <a:off x="1628775" y="4229101"/>
          <a:ext cx="8886826" cy="2171700"/>
        </a:xfrm>
        <a:custGeom>
          <a:avLst/>
          <a:gdLst>
            <a:gd name="connsiteX0" fmla="*/ 0 w 7153275"/>
            <a:gd name="connsiteY0" fmla="*/ 0 h 3009900"/>
            <a:gd name="connsiteX1" fmla="*/ 7153275 w 7153275"/>
            <a:gd name="connsiteY1" fmla="*/ 3009900 h 3009900"/>
          </a:gdLst>
          <a:ahLst/>
          <a:cxnLst>
            <a:cxn ang="0">
              <a:pos x="connsiteX0" y="connsiteY0"/>
            </a:cxn>
            <a:cxn ang="0">
              <a:pos x="connsiteX1" y="connsiteY1"/>
            </a:cxn>
          </a:cxnLst>
          <a:rect l="l" t="t" r="r" b="b"/>
          <a:pathLst>
            <a:path w="7153275" h="3009900">
              <a:moveTo>
                <a:pt x="0" y="0"/>
              </a:moveTo>
              <a:lnTo>
                <a:pt x="7153275" y="3009900"/>
              </a:lnTo>
            </a:path>
          </a:pathLst>
        </a:custGeom>
        <a:noFill/>
        <a:ln>
          <a:solidFill>
            <a:srgbClr val="0099FF"/>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6</xdr:row>
      <xdr:rowOff>47625</xdr:rowOff>
    </xdr:from>
    <xdr:to>
      <xdr:col>12</xdr:col>
      <xdr:colOff>571501</xdr:colOff>
      <xdr:row>20</xdr:row>
      <xdr:rowOff>57149</xdr:rowOff>
    </xdr:to>
    <xdr:sp macro="" textlink="">
      <xdr:nvSpPr>
        <xdr:cNvPr id="8" name="フリーフォーム 7">
          <a:extLst>
            <a:ext uri="{FF2B5EF4-FFF2-40B4-BE49-F238E27FC236}">
              <a16:creationId xmlns:a16="http://schemas.microsoft.com/office/drawing/2014/main" id="{00000000-0008-0000-0C00-000008000000}"/>
            </a:ext>
          </a:extLst>
        </xdr:cNvPr>
        <xdr:cNvSpPr/>
      </xdr:nvSpPr>
      <xdr:spPr>
        <a:xfrm>
          <a:off x="3495675" y="1714500"/>
          <a:ext cx="6734176" cy="2552699"/>
        </a:xfrm>
        <a:custGeom>
          <a:avLst/>
          <a:gdLst>
            <a:gd name="connsiteX0" fmla="*/ 0 w 7191375"/>
            <a:gd name="connsiteY0" fmla="*/ 0 h 3171825"/>
            <a:gd name="connsiteX1" fmla="*/ 4181475 w 7191375"/>
            <a:gd name="connsiteY1" fmla="*/ 552450 h 3171825"/>
            <a:gd name="connsiteX2" fmla="*/ 7191375 w 7191375"/>
            <a:gd name="connsiteY2" fmla="*/ 3171825 h 3171825"/>
          </a:gdLst>
          <a:ahLst/>
          <a:cxnLst>
            <a:cxn ang="0">
              <a:pos x="connsiteX0" y="connsiteY0"/>
            </a:cxn>
            <a:cxn ang="0">
              <a:pos x="connsiteX1" y="connsiteY1"/>
            </a:cxn>
            <a:cxn ang="0">
              <a:pos x="connsiteX2" y="connsiteY2"/>
            </a:cxn>
          </a:cxnLst>
          <a:rect l="l" t="t" r="r" b="b"/>
          <a:pathLst>
            <a:path w="7191375" h="3171825">
              <a:moveTo>
                <a:pt x="0" y="0"/>
              </a:moveTo>
              <a:cubicBezTo>
                <a:pt x="1491456" y="11906"/>
                <a:pt x="2982913" y="23813"/>
                <a:pt x="4181475" y="552450"/>
              </a:cubicBezTo>
              <a:cubicBezTo>
                <a:pt x="5380037" y="1081087"/>
                <a:pt x="6285706" y="2126456"/>
                <a:pt x="7191375" y="3171825"/>
              </a:cubicBezTo>
            </a:path>
          </a:pathLst>
        </a:custGeom>
        <a:noFill/>
        <a:ln>
          <a:solidFill>
            <a:srgbClr val="FF505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
  <sheetViews>
    <sheetView showGridLines="0" tabSelected="1" zoomScale="85" zoomScaleNormal="85" workbookViewId="0"/>
  </sheetViews>
  <sheetFormatPr defaultColWidth="9" defaultRowHeight="13.5" x14ac:dyDescent="0.15"/>
  <cols>
    <col min="1" max="1" width="9" style="124"/>
    <col min="2" max="2" width="103.25" style="124" customWidth="1"/>
    <col min="3" max="16384" width="9" style="124"/>
  </cols>
  <sheetData>
    <row r="5" spans="2:2" ht="24" x14ac:dyDescent="0.15">
      <c r="B5" s="119"/>
    </row>
  </sheetData>
  <sheetProtection algorithmName="SHA-512" hashValue="9b7zO8awcV0YAx8kFKV5UJvErxYCvmO97RmPdDjMhv0sK1eUwge6kucX6qlykHFN8F9PKmBgJ+EJUMQKUJlUpg==" saltValue="z7vd3+UR986nqYDI8ZWc/Q==" spinCount="100000" sheet="1" objects="1" scenarios="1"/>
  <phoneticPr fontId="2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A75"/>
  <sheetViews>
    <sheetView view="pageBreakPreview" zoomScale="55" zoomScaleNormal="70" zoomScaleSheetLayoutView="55" workbookViewId="0">
      <pane ySplit="3" topLeftCell="A4" activePane="bottomLeft" state="frozen"/>
      <selection activeCell="M12" sqref="M12"/>
      <selection pane="bottomLeft" activeCell="G9" sqref="G9"/>
    </sheetView>
  </sheetViews>
  <sheetFormatPr defaultColWidth="9" defaultRowHeight="14.25" x14ac:dyDescent="0.15"/>
  <cols>
    <col min="1" max="1" width="6.125" style="176" customWidth="1"/>
    <col min="2" max="3" width="15.625" style="176" customWidth="1"/>
    <col min="4" max="4" width="18.375" style="176" bestFit="1" customWidth="1"/>
    <col min="5" max="5" width="25.375" style="176" bestFit="1" customWidth="1"/>
    <col min="6" max="6" width="7.5" style="176" customWidth="1"/>
    <col min="7" max="7" width="21.125" style="176" customWidth="1"/>
    <col min="8" max="8" width="50" style="176" customWidth="1"/>
    <col min="9" max="9" width="12.875" style="176" customWidth="1"/>
    <col min="10" max="10" width="8.75" style="176" customWidth="1"/>
    <col min="11" max="11" width="12.875" style="176" customWidth="1"/>
    <col min="12" max="12" width="11.375" style="176" customWidth="1"/>
    <col min="13" max="14" width="14" style="176" customWidth="1"/>
    <col min="15" max="15" width="13.125" style="176" bestFit="1" customWidth="1"/>
    <col min="16" max="16" width="14.375" style="176" customWidth="1"/>
    <col min="17" max="18" width="7.5" style="18" hidden="1" customWidth="1"/>
    <col min="19" max="19" width="10.25" style="18" hidden="1" customWidth="1"/>
    <col min="20" max="20" width="13.875" style="18" hidden="1" customWidth="1"/>
    <col min="21" max="21" width="13.75" style="18" hidden="1" customWidth="1"/>
    <col min="22" max="22" width="8.25" style="18" hidden="1" customWidth="1"/>
    <col min="23" max="23" width="14.75" style="18" hidden="1" customWidth="1"/>
    <col min="24" max="24" width="17.5" style="18" hidden="1" customWidth="1"/>
    <col min="25" max="25" width="17.125" style="18" hidden="1" customWidth="1"/>
    <col min="26" max="26" width="14.25" style="18" hidden="1" customWidth="1"/>
    <col min="27" max="27" width="14" style="18" hidden="1" customWidth="1"/>
    <col min="28" max="28" width="10.25" style="18" hidden="1" customWidth="1"/>
    <col min="29" max="39" width="7.5" style="18" hidden="1" customWidth="1"/>
    <col min="40" max="42" width="9" style="18" hidden="1" customWidth="1"/>
    <col min="43" max="43" width="17.875" style="18" hidden="1" customWidth="1"/>
    <col min="44" max="44" width="16.375" style="18" hidden="1" customWidth="1"/>
    <col min="45" max="45" width="17.5" style="18" hidden="1" customWidth="1"/>
    <col min="46" max="47" width="17.125" style="18" hidden="1" customWidth="1"/>
    <col min="48" max="48" width="14.25" style="18" hidden="1" customWidth="1"/>
    <col min="49" max="49" width="14" style="18" hidden="1" customWidth="1"/>
    <col min="50" max="50" width="10.25" style="18" hidden="1" customWidth="1"/>
    <col min="51" max="60" width="7.5" style="18" hidden="1" customWidth="1"/>
    <col min="61" max="61" width="9.125" style="18" hidden="1" customWidth="1"/>
    <col min="62" max="62" width="7.5" style="18" hidden="1" customWidth="1"/>
    <col min="63" max="63" width="9" style="18" hidden="1" customWidth="1"/>
    <col min="64" max="79" width="9" style="18"/>
    <col min="80" max="16384" width="9" style="176"/>
  </cols>
  <sheetData>
    <row r="1" spans="1:79" ht="21" customHeight="1" x14ac:dyDescent="0.15">
      <c r="A1" s="13" t="s">
        <v>566</v>
      </c>
      <c r="B1" s="13"/>
      <c r="C1" s="13"/>
      <c r="D1" s="13"/>
      <c r="E1" s="13"/>
      <c r="F1" s="13"/>
      <c r="G1" s="13"/>
      <c r="H1" s="13"/>
      <c r="I1" s="13"/>
      <c r="J1" s="13"/>
      <c r="K1" s="13"/>
      <c r="L1" s="13"/>
      <c r="M1" s="13"/>
      <c r="N1" s="13"/>
      <c r="O1" s="13"/>
      <c r="P1" s="13"/>
      <c r="V1" s="25"/>
      <c r="W1" s="25"/>
      <c r="X1" s="25"/>
      <c r="Y1" s="25"/>
      <c r="Z1" s="25"/>
      <c r="AA1" s="25"/>
      <c r="AB1" s="25"/>
      <c r="AC1" s="25"/>
      <c r="AD1" s="25"/>
      <c r="AE1" s="25"/>
      <c r="AF1" s="25"/>
      <c r="AG1" s="25"/>
      <c r="AH1" s="25"/>
      <c r="AI1" s="25"/>
      <c r="AJ1" s="25"/>
      <c r="AK1" s="25"/>
      <c r="AL1" s="25"/>
      <c r="AQ1" s="25"/>
      <c r="AR1" s="25"/>
      <c r="AS1" s="25"/>
      <c r="AT1" s="25"/>
      <c r="AU1" s="25"/>
      <c r="AV1" s="25"/>
      <c r="AW1" s="25"/>
      <c r="AX1" s="25"/>
      <c r="AY1" s="25"/>
      <c r="AZ1" s="25"/>
      <c r="BA1" s="25"/>
      <c r="BB1" s="25"/>
      <c r="BC1" s="25"/>
      <c r="BD1" s="25"/>
      <c r="BE1" s="25"/>
      <c r="BF1" s="25"/>
      <c r="BG1" s="25"/>
      <c r="BH1" s="25"/>
    </row>
    <row r="2" spans="1:79" ht="26.25" customHeight="1" x14ac:dyDescent="0.15">
      <c r="A2" s="277" t="s">
        <v>223</v>
      </c>
      <c r="B2" s="281" t="s">
        <v>71</v>
      </c>
      <c r="C2" s="277" t="s">
        <v>86</v>
      </c>
      <c r="D2" s="277" t="s">
        <v>72</v>
      </c>
      <c r="E2" s="277" t="s">
        <v>76</v>
      </c>
      <c r="F2" s="277" t="s">
        <v>92</v>
      </c>
      <c r="G2" s="277" t="s">
        <v>87</v>
      </c>
      <c r="H2" s="282" t="s">
        <v>69</v>
      </c>
      <c r="I2" s="282"/>
      <c r="J2" s="282"/>
      <c r="K2" s="278" t="s">
        <v>16</v>
      </c>
      <c r="L2" s="278"/>
      <c r="M2" s="278"/>
      <c r="N2" s="148" t="s">
        <v>614</v>
      </c>
      <c r="O2" s="277" t="s">
        <v>619</v>
      </c>
      <c r="P2" s="275" t="s">
        <v>620</v>
      </c>
      <c r="V2" s="179"/>
      <c r="W2" s="179"/>
      <c r="X2" s="179"/>
      <c r="Y2" s="179"/>
      <c r="Z2" s="179"/>
      <c r="AA2" s="179"/>
      <c r="AB2" s="179"/>
      <c r="AC2" s="180"/>
      <c r="AD2" s="180"/>
      <c r="AE2" s="180"/>
      <c r="AF2" s="180"/>
      <c r="AG2" s="180"/>
      <c r="AH2" s="180"/>
      <c r="AI2" s="180"/>
      <c r="AJ2" s="180"/>
      <c r="AK2" s="180"/>
      <c r="AL2" s="180"/>
      <c r="AQ2" s="179"/>
      <c r="AR2" s="179"/>
      <c r="AS2" s="179"/>
      <c r="AT2" s="179"/>
      <c r="AU2" s="179"/>
      <c r="AV2" s="179"/>
      <c r="AW2" s="179"/>
      <c r="AX2" s="179"/>
      <c r="AY2" s="180"/>
      <c r="AZ2" s="180"/>
      <c r="BA2" s="180"/>
      <c r="BB2" s="180"/>
      <c r="BC2" s="180"/>
      <c r="BD2" s="180"/>
      <c r="BE2" s="180"/>
      <c r="BF2" s="180"/>
      <c r="BG2" s="180"/>
      <c r="BH2" s="180"/>
      <c r="BI2" s="18" t="s">
        <v>613</v>
      </c>
    </row>
    <row r="3" spans="1:79" ht="42" customHeight="1" x14ac:dyDescent="0.15">
      <c r="A3" s="277"/>
      <c r="B3" s="281"/>
      <c r="C3" s="277"/>
      <c r="D3" s="277"/>
      <c r="E3" s="277"/>
      <c r="F3" s="279"/>
      <c r="G3" s="279"/>
      <c r="H3" s="161" t="s">
        <v>88</v>
      </c>
      <c r="I3" s="161" t="s">
        <v>394</v>
      </c>
      <c r="J3" s="161" t="s">
        <v>225</v>
      </c>
      <c r="K3" s="159" t="s">
        <v>90</v>
      </c>
      <c r="L3" s="159" t="s">
        <v>245</v>
      </c>
      <c r="M3" s="159" t="s">
        <v>395</v>
      </c>
      <c r="N3" s="148" t="s">
        <v>618</v>
      </c>
      <c r="O3" s="277"/>
      <c r="P3" s="276"/>
      <c r="U3" s="18" t="s">
        <v>332</v>
      </c>
      <c r="V3" s="179"/>
      <c r="W3" s="179"/>
      <c r="X3" s="179" t="s">
        <v>343</v>
      </c>
      <c r="Y3" s="179" t="s">
        <v>345</v>
      </c>
      <c r="Z3" s="179"/>
      <c r="AA3" s="179"/>
      <c r="AB3" s="179"/>
      <c r="AC3" s="180"/>
      <c r="AD3" s="180"/>
      <c r="AE3" s="180"/>
      <c r="AF3" s="180"/>
      <c r="AG3" s="180"/>
      <c r="AH3" s="180"/>
      <c r="AI3" s="180"/>
      <c r="AJ3" s="180"/>
      <c r="AK3" s="180"/>
      <c r="AL3" s="180"/>
      <c r="AO3" s="178" t="s">
        <v>336</v>
      </c>
      <c r="AP3" s="18" t="s">
        <v>326</v>
      </c>
      <c r="AQ3" s="179"/>
      <c r="AR3" s="181"/>
      <c r="AS3" s="179" t="s">
        <v>340</v>
      </c>
      <c r="AT3" s="179" t="s">
        <v>344</v>
      </c>
      <c r="AU3" s="179"/>
      <c r="AV3" s="179"/>
      <c r="AW3" s="179"/>
      <c r="AX3" s="180"/>
      <c r="AY3" s="180"/>
      <c r="AZ3" s="180"/>
      <c r="BA3" s="180"/>
      <c r="BB3" s="180"/>
      <c r="BC3" s="180"/>
      <c r="BD3" s="180" t="s">
        <v>23</v>
      </c>
      <c r="BE3" s="180" t="s">
        <v>24</v>
      </c>
      <c r="BF3" s="180" t="s">
        <v>25</v>
      </c>
      <c r="BG3" s="180" t="s">
        <v>26</v>
      </c>
      <c r="BH3" s="18" t="s">
        <v>27</v>
      </c>
      <c r="BJ3" s="176"/>
      <c r="BK3" s="176"/>
      <c r="BL3" s="176"/>
      <c r="BM3" s="176"/>
      <c r="BN3" s="176"/>
      <c r="BO3" s="176"/>
      <c r="BP3" s="176"/>
      <c r="BQ3" s="176"/>
      <c r="BR3" s="176"/>
      <c r="BS3" s="176"/>
      <c r="BT3" s="176"/>
      <c r="BU3" s="176"/>
      <c r="BV3" s="176"/>
      <c r="BW3" s="176"/>
      <c r="BX3" s="176"/>
      <c r="BY3" s="176"/>
      <c r="BZ3" s="176"/>
      <c r="CA3" s="176"/>
    </row>
    <row r="4" spans="1:79" ht="27" customHeight="1" x14ac:dyDescent="0.15">
      <c r="A4" s="160" t="s">
        <v>226</v>
      </c>
      <c r="B4" s="19"/>
      <c r="C4" s="19"/>
      <c r="D4" s="40" t="str">
        <f>IF(E4="",IF(C4="","",IF(C4="低木・竹・草地","低木・草地",IF(C4="人工面","－",C4))),LEFT(E4,LEN(E4)-6))</f>
        <v/>
      </c>
      <c r="E4" s="19"/>
      <c r="F4" s="26"/>
      <c r="G4" s="21"/>
      <c r="H4" s="22"/>
      <c r="I4" s="22"/>
      <c r="J4" s="22"/>
      <c r="K4" s="23"/>
      <c r="L4" s="23"/>
      <c r="M4" s="23"/>
      <c r="N4" s="146"/>
      <c r="O4" s="40">
        <f t="shared" ref="O4:O8" si="0">IF(F4="該当",AN4,S4)</f>
        <v>0</v>
      </c>
      <c r="P4" s="183" t="str">
        <f t="shared" ref="P4:P8" si="1">IF(B4="","",B4*O4)</f>
        <v/>
      </c>
      <c r="S4" s="18">
        <f>IF(T4=0,0,IF(U4="点数特定できず",SUM(AF4:AH4),U4))*BI4</f>
        <v>0</v>
      </c>
      <c r="T4" s="18">
        <f t="shared" ref="T4:T67" si="2">IF(OR($C4="人工面",$C4=""),0,IF($C4=$D4,70,IF(AND($C4="低木・竹・草地",$D4="低木・草地"),70,IF(AND($C4="湿性環境",$D4="低木・草地",$G4="整備水田"),10,0))))</f>
        <v>0</v>
      </c>
      <c r="U4" s="18">
        <f>IF(C4="人工面",0,IF(G4="",0,IF(D4="湿性環境",VLOOKUP(G4,環境タイプⅡによる点数DB!A:B,2,FALSE),IF(D4="樹林",VLOOKUP(G4,環境タイプⅡによる点数DB!A:C,3,FALSE),IF(D4="低木・草地",VLOOKUP(G4,環境タイプⅡによる点数DB!A:D,4,FALSE),0)))))</f>
        <v>0</v>
      </c>
      <c r="V4" s="24" t="str">
        <f>$H4&amp;"in"&amp;基本情報!$C$13</f>
        <v>in</v>
      </c>
      <c r="W4" s="24">
        <f t="shared" ref="W4:W67" si="3">IF($G4="乾性草地",1,IF($G4="高さ8m以上の木",1,IF($G4="高さ3.5m以上8m未満の木",0.375,0)))</f>
        <v>0</v>
      </c>
      <c r="X4" s="24">
        <f>IF($H4="",0,IF($D4="樹林",IF(ISERROR(VLOOKUP($V4,市町村・植物種ごとの樹林点数DB!$A:$G,7,FALSE))=TRUE,20,VLOOKUP($V4,市町村・植物種ごとの樹林点数DB!$A:$G,7,FALSE)),IF($D4="低木・草地",IF($H4="【ススキ】・【ネザサ】・【チガヤ】",45,10),0)))</f>
        <v>0</v>
      </c>
      <c r="Y4" s="24">
        <f t="shared" ref="Y4:Y8" si="4">IF($D4="樹林",IF(H4="",5,0),IF($D4="低木・草地",IF(H4="",10,0),0))</f>
        <v>0</v>
      </c>
      <c r="Z4" s="24">
        <f t="shared" ref="Z4:Z8" si="5">IF(OR(H4="その他の低木・草",H4="【ススキ】・【ネザサ】・【チガヤ】"),0,1)</f>
        <v>1</v>
      </c>
      <c r="AA4" s="24">
        <f t="shared" ref="AA4:AA8" si="6">IF(I4="ほぼ無し",0,IF(I4="1/4程度",0.25,IF(I4="1/2程度",0.5,IF(I4="3/4程度",0.75,IF(I4="ほぼ全て",1,1)))))</f>
        <v>1</v>
      </c>
      <c r="AB4" s="24">
        <f t="shared" ref="AB4:AB8" si="7">IF(J4="無し",0,IF(J4="有り",1,IF(J4="不明",0,0)))</f>
        <v>0</v>
      </c>
      <c r="AC4" s="25">
        <f t="shared" ref="AC4:AC8" si="8">(X4+Y4)*W4</f>
        <v>0</v>
      </c>
      <c r="AD4" s="25">
        <f t="shared" ref="AD4:AD8" si="9">IF(AC4=45,25*(1-AA4),IF(AC4=40,20*(1-AA4),IF(AC4&gt;=2.5,10*(1-AA4),IF(AC4&gt;0,5*(1-AA4),0))))</f>
        <v>0</v>
      </c>
      <c r="AE4" s="25">
        <f t="shared" ref="AE4:AE8" si="10">IF(W4=1,AB4*Z4*10,0)</f>
        <v>0</v>
      </c>
      <c r="AF4" s="25" t="str">
        <f t="shared" ref="AF4:AF8" si="11">IF(D4="低木・草地",SUM(AC4:AD4),"")</f>
        <v/>
      </c>
      <c r="AG4" s="25" t="str">
        <f t="shared" ref="AG4:AG8" si="12">IF(D4="樹林",SUM(AC4:AE4),"")</f>
        <v/>
      </c>
      <c r="AH4" s="25" t="str">
        <f t="shared" ref="AH4:AH8" si="13">IF(D4="湿性環境",IF(AL4+AM4&lt;60,0,(AL4+AM4)/2-30),"")</f>
        <v/>
      </c>
      <c r="AI4" s="25">
        <f>IF(ISERROR(VLOOKUP(K4,割合DB!$A:$B,2,FALSE))=TRUE,100,VLOOKUP(K4,割合DB!$A:$B,2,FALSE))</f>
        <v>100</v>
      </c>
      <c r="AJ4" s="25">
        <f>IF(ISERROR(VLOOKUP(L4,割合DB!$A:$B,2,FALSE))=TRUE,100,VLOOKUP(L4,割合DB!$A:$B,2,FALSE))</f>
        <v>100</v>
      </c>
      <c r="AK4" s="25">
        <f>IF(ISERROR(VLOOKUP(M4,割合DB!$A:$B,2,FALSE))=TRUE,100,VLOOKUP(M4,割合DB!$A:$B,2,FALSE))</f>
        <v>100</v>
      </c>
      <c r="AL4" s="25">
        <f t="shared" ref="AL4:AL8" si="14">((100-AI4)+(100-AJ4))/2</f>
        <v>0</v>
      </c>
      <c r="AM4" s="18">
        <f t="shared" ref="AM4:AM8" si="15">100-AK4</f>
        <v>0</v>
      </c>
      <c r="AN4" s="18">
        <f t="shared" ref="AN4:AN8" si="16">IF(AO4=0,0,IF(AP4="点数特定できず",SUM(BA4:BC4),AP4))</f>
        <v>0</v>
      </c>
      <c r="AO4" s="18">
        <f t="shared" ref="AO4:AO67" si="17">IF(OR($C4="人工面",$C4=""),0,IF($C4=$D4,70,IF(AND($C4="低木・竹・草地",$D4="低木・草地"),70,IF(AND($C4="湿性環境",$D4="低木・草地",$G4="整備水田"),10,0))))</f>
        <v>0</v>
      </c>
      <c r="AP4" s="18">
        <f>IF($C4="人工面",0,IF($G4="",70,IF($D4="湿性環境",VLOOKUP($G4,環境タイプⅡによる点数DB!$A:$B,2,FALSE),IF($D4="樹林",VLOOKUP($G4,環境タイプⅡによる点数DB!$A:$C,3,FALSE),IF($D4="低木・草地",VLOOKUP($G4,環境タイプⅡによる点数DB!$A:$D,4,FALSE),0)))))</f>
        <v>70</v>
      </c>
      <c r="AQ4" s="24" t="str">
        <f>$H4&amp;"in"&amp;基本情報!$C$13</f>
        <v>in</v>
      </c>
      <c r="AR4" s="24">
        <f t="shared" ref="AR4:AR67" si="18">IF($G4="乾性草地",1,IF($G4="高さ8m以上の木",1,IF($G4="高さ3.5m以上8m未満の木",0.375,0)))</f>
        <v>0</v>
      </c>
      <c r="AS4" s="24">
        <f>IF($H4="",0,IF($D4="樹林",IF(ISERROR(VLOOKUP($V4,市町村・植物種ごとの樹林点数DB!$A:$F,6,FALSE))=TRUE,10,VLOOKUP($V4,市町村・植物種ごとの樹林点数DB!$A:$F,6,FALSE)),IF($D4="低木・草地",IF(OR($H4="【ススキ】・【ネザサ】・【チガヤ】",$H4="不明"),45,10),0)))</f>
        <v>0</v>
      </c>
      <c r="AT4" s="24">
        <f t="shared" ref="AT4:AT67" si="19">IF($D4="樹林",IF($H4="",40,0),IF($D4="低木・草地",IF($H4="",45,0),0))</f>
        <v>0</v>
      </c>
      <c r="AU4" s="24">
        <f t="shared" ref="AU4:AU67" si="20">IF(OR($H4="その他の低木・草",$H4="【ススキ】・【ネザサ】・【チガヤ】"),0,1)</f>
        <v>1</v>
      </c>
      <c r="AV4" s="24">
        <f t="shared" ref="AV4:AV67" si="21">IF($I4="ほぼ無し",0,IF($I4="1/4程度",0.25,IF($I4="1/2程度",0.5,IF($I4="3/4程度",0.75,IF($I4="ほぼ全て",1,0)))))</f>
        <v>0</v>
      </c>
      <c r="AW4" s="24">
        <f t="shared" ref="AW4:AW67" si="22">IF($J4="無し",0,IF($J4="有り",1,IF($J4="不明",1,1)))</f>
        <v>1</v>
      </c>
      <c r="AX4" s="25">
        <f t="shared" ref="AX4:AX8" si="23">(AS4+AT4)*AR4</f>
        <v>0</v>
      </c>
      <c r="AY4" s="25">
        <f t="shared" ref="AY4:AY8" si="24">IF(AX4=45,25*(1-AV4),IF(AX4=40,20*(1-AV4),IF(AX4&gt;=2.5,10*(1-AV4),IF(AX4&gt;0,5*(1-AV4),0))))</f>
        <v>0</v>
      </c>
      <c r="AZ4" s="25">
        <f t="shared" ref="AZ4:AZ8" si="25">IF(AR4=1,AW4*AU4*10,0)</f>
        <v>0</v>
      </c>
      <c r="BA4" s="25" t="str">
        <f t="shared" ref="BA4:BA8" si="26">IF($D4="低木・草地",SUM(AX4:AY4),"")</f>
        <v/>
      </c>
      <c r="BB4" s="25" t="str">
        <f t="shared" ref="BB4:BB8" si="27">IF($D4="樹林",SUM(AX4:AZ4),"")</f>
        <v/>
      </c>
      <c r="BC4" s="25" t="str">
        <f t="shared" ref="BC4:BC8" si="28">IF($D4="湿性環境",IF(BG4+BH4&lt;60,0,(BG4+BH4)/2-30),"")</f>
        <v/>
      </c>
      <c r="BD4" s="25">
        <f>IF(ISERROR(VLOOKUP($K4,割合DB!$A:$B,2,FALSE))=TRUE,0,VLOOKUP($K4,割合DB!$A:$B,2,FALSE))</f>
        <v>0</v>
      </c>
      <c r="BE4" s="25">
        <f>IF(ISERROR(VLOOKUP($L4,割合DB!$A:$B,2,FALSE))=TRUE,0,VLOOKUP($L4,割合DB!$A:$B,2,FALSE))</f>
        <v>0</v>
      </c>
      <c r="BF4" s="25">
        <f>IF(ISERROR(VLOOKUP($M4,割合DB!$A:$B,2,FALSE))=TRUE,0,VLOOKUP($M4,割合DB!$A:$B,2,FALSE))</f>
        <v>0</v>
      </c>
      <c r="BG4" s="25">
        <f t="shared" ref="BG4:BG8" si="29">((100-BD4)+(100-BE4))/2</f>
        <v>100</v>
      </c>
      <c r="BH4" s="18">
        <f t="shared" ref="BH4:BH8" si="30">100-BF4</f>
        <v>100</v>
      </c>
      <c r="BI4" s="18">
        <f>IF(N4="",1,IF(N4="CR",30,IF(N4="EN",20,IF(N4="VU",5,1))))</f>
        <v>1</v>
      </c>
      <c r="BJ4" s="176"/>
      <c r="BK4" s="176"/>
      <c r="BL4" s="176"/>
      <c r="BM4" s="176"/>
      <c r="BN4" s="176"/>
      <c r="BO4" s="176"/>
      <c r="BP4" s="176"/>
      <c r="BQ4" s="176"/>
      <c r="BR4" s="176"/>
      <c r="BS4" s="176"/>
      <c r="BT4" s="176"/>
      <c r="BU4" s="176"/>
      <c r="BV4" s="176"/>
      <c r="BW4" s="176"/>
      <c r="BX4" s="176"/>
      <c r="BY4" s="176"/>
      <c r="BZ4" s="176"/>
      <c r="CA4" s="176"/>
    </row>
    <row r="5" spans="1:79" ht="27" customHeight="1" x14ac:dyDescent="0.15">
      <c r="A5" s="160" t="s">
        <v>227</v>
      </c>
      <c r="B5" s="19"/>
      <c r="C5" s="19"/>
      <c r="D5" s="40" t="str">
        <f t="shared" ref="D5:D68" si="31">IF(E5="",IF(C5="","",IF(C5="低木・竹・草地","低木・草地",IF(C5="人工面","－",C5))),LEFT(E5,LEN(E5)-6))</f>
        <v/>
      </c>
      <c r="E5" s="19"/>
      <c r="F5" s="26"/>
      <c r="G5" s="21"/>
      <c r="H5" s="22"/>
      <c r="I5" s="22"/>
      <c r="J5" s="22"/>
      <c r="K5" s="23"/>
      <c r="L5" s="23"/>
      <c r="M5" s="23"/>
      <c r="N5" s="146"/>
      <c r="O5" s="40">
        <f t="shared" si="0"/>
        <v>0</v>
      </c>
      <c r="P5" s="183" t="str">
        <f t="shared" si="1"/>
        <v/>
      </c>
      <c r="S5" s="18">
        <f t="shared" ref="S5:S68" si="32">IF(T5=0,0,IF(U5="点数特定できず",SUM(AF5:AH5),U5))*BI5</f>
        <v>0</v>
      </c>
      <c r="T5" s="18">
        <f t="shared" si="2"/>
        <v>0</v>
      </c>
      <c r="U5" s="18">
        <f>IF(C5="人工面",0,IF(G5="",0,IF(D5="湿性環境",VLOOKUP(G5,環境タイプⅡによる点数DB!A:B,2,FALSE),IF(D5="樹林",VLOOKUP(G5,環境タイプⅡによる点数DB!A:C,3,FALSE),IF(D5="低木・草地",VLOOKUP(G5,環境タイプⅡによる点数DB!A:D,4,FALSE),0)))))</f>
        <v>0</v>
      </c>
      <c r="V5" s="24" t="str">
        <f>$H5&amp;"in"&amp;基本情報!$C$13</f>
        <v>in</v>
      </c>
      <c r="W5" s="24">
        <f t="shared" si="3"/>
        <v>0</v>
      </c>
      <c r="X5" s="24">
        <f>IF($H5="",0,IF($D5="樹林",IF(ISERROR(VLOOKUP($V5,市町村・植物種ごとの樹林点数DB!$A:$G,7,FALSE))=TRUE,20,VLOOKUP($V5,市町村・植物種ごとの樹林点数DB!$A:$G,7,FALSE)),IF($D5="低木・草地",IF($H5="【ススキ】・【ネザサ】・【チガヤ】",45,10),0)))</f>
        <v>0</v>
      </c>
      <c r="Y5" s="24">
        <f t="shared" si="4"/>
        <v>0</v>
      </c>
      <c r="Z5" s="24">
        <f t="shared" si="5"/>
        <v>1</v>
      </c>
      <c r="AA5" s="24">
        <f t="shared" si="6"/>
        <v>1</v>
      </c>
      <c r="AB5" s="24">
        <f t="shared" si="7"/>
        <v>0</v>
      </c>
      <c r="AC5" s="25">
        <f t="shared" si="8"/>
        <v>0</v>
      </c>
      <c r="AD5" s="25">
        <f t="shared" si="9"/>
        <v>0</v>
      </c>
      <c r="AE5" s="25">
        <f t="shared" si="10"/>
        <v>0</v>
      </c>
      <c r="AF5" s="25" t="str">
        <f t="shared" si="11"/>
        <v/>
      </c>
      <c r="AG5" s="25" t="str">
        <f t="shared" si="12"/>
        <v/>
      </c>
      <c r="AH5" s="25" t="str">
        <f t="shared" si="13"/>
        <v/>
      </c>
      <c r="AI5" s="25">
        <f>IF(ISERROR(VLOOKUP(K5,割合DB!$A:$B,2,FALSE))=TRUE,100,VLOOKUP(K5,割合DB!$A:$B,2,FALSE))</f>
        <v>100</v>
      </c>
      <c r="AJ5" s="25">
        <f>IF(ISERROR(VLOOKUP(L5,割合DB!$A:$B,2,FALSE))=TRUE,100,VLOOKUP(L5,割合DB!$A:$B,2,FALSE))</f>
        <v>100</v>
      </c>
      <c r="AK5" s="25">
        <f>IF(ISERROR(VLOOKUP(M5,割合DB!$A:$B,2,FALSE))=TRUE,100,VLOOKUP(M5,割合DB!$A:$B,2,FALSE))</f>
        <v>100</v>
      </c>
      <c r="AL5" s="25">
        <f t="shared" si="14"/>
        <v>0</v>
      </c>
      <c r="AM5" s="18">
        <f t="shared" si="15"/>
        <v>0</v>
      </c>
      <c r="AN5" s="18">
        <f t="shared" si="16"/>
        <v>0</v>
      </c>
      <c r="AO5" s="18">
        <f t="shared" si="17"/>
        <v>0</v>
      </c>
      <c r="AP5" s="18">
        <f>IF($C5="人工面",0,IF($G5="",70,IF($D5="湿性環境",VLOOKUP($G5,環境タイプⅡによる点数DB!$A:$B,2,FALSE),IF($D5="樹林",VLOOKUP($G5,環境タイプⅡによる点数DB!$A:$C,3,FALSE),IF($D5="低木・草地",VLOOKUP($G5,環境タイプⅡによる点数DB!$A:$D,4,FALSE),0)))))</f>
        <v>70</v>
      </c>
      <c r="AQ5" s="24" t="str">
        <f>$H5&amp;"in"&amp;基本情報!$C$13</f>
        <v>in</v>
      </c>
      <c r="AR5" s="24">
        <f t="shared" si="18"/>
        <v>0</v>
      </c>
      <c r="AS5" s="24">
        <f>IF($H5="",0,IF($D5="樹林",IF(ISERROR(VLOOKUP($V5,市町村・植物種ごとの樹林点数DB!$A:$F,6,FALSE))=TRUE,10,VLOOKUP($V5,市町村・植物種ごとの樹林点数DB!$A:$F,6,FALSE)),IF($D5="低木・草地",IF(OR($H5="【ススキ】・【ネザサ】・【チガヤ】",$H5="不明"),45,10),0)))</f>
        <v>0</v>
      </c>
      <c r="AT5" s="24">
        <f t="shared" si="19"/>
        <v>0</v>
      </c>
      <c r="AU5" s="24">
        <f t="shared" si="20"/>
        <v>1</v>
      </c>
      <c r="AV5" s="24">
        <f t="shared" si="21"/>
        <v>0</v>
      </c>
      <c r="AW5" s="24">
        <f t="shared" si="22"/>
        <v>1</v>
      </c>
      <c r="AX5" s="25">
        <f t="shared" si="23"/>
        <v>0</v>
      </c>
      <c r="AY5" s="25">
        <f t="shared" si="24"/>
        <v>0</v>
      </c>
      <c r="AZ5" s="25">
        <f t="shared" si="25"/>
        <v>0</v>
      </c>
      <c r="BA5" s="25" t="str">
        <f t="shared" si="26"/>
        <v/>
      </c>
      <c r="BB5" s="25" t="str">
        <f t="shared" si="27"/>
        <v/>
      </c>
      <c r="BC5" s="25" t="str">
        <f t="shared" si="28"/>
        <v/>
      </c>
      <c r="BD5" s="25">
        <f>IF(ISERROR(VLOOKUP($K5,割合DB!$A:$B,2,FALSE))=TRUE,0,VLOOKUP($K5,割合DB!$A:$B,2,FALSE))</f>
        <v>0</v>
      </c>
      <c r="BE5" s="25">
        <f>IF(ISERROR(VLOOKUP($L5,割合DB!$A:$B,2,FALSE))=TRUE,0,VLOOKUP($L5,割合DB!$A:$B,2,FALSE))</f>
        <v>0</v>
      </c>
      <c r="BF5" s="25">
        <f>IF(ISERROR(VLOOKUP($M5,割合DB!$A:$B,2,FALSE))=TRUE,0,VLOOKUP($M5,割合DB!$A:$B,2,FALSE))</f>
        <v>0</v>
      </c>
      <c r="BG5" s="25">
        <f t="shared" si="29"/>
        <v>100</v>
      </c>
      <c r="BH5" s="18">
        <f t="shared" si="30"/>
        <v>100</v>
      </c>
      <c r="BI5" s="18">
        <f t="shared" ref="BI5:BI68" si="33">IF(N5="",1,IF(N5="CR",30,IF(N5="EN",20,IF(N5="VU",5,1))))</f>
        <v>1</v>
      </c>
      <c r="BJ5" s="176"/>
      <c r="BK5" s="176"/>
      <c r="BL5" s="176"/>
      <c r="BM5" s="176"/>
      <c r="BN5" s="176"/>
      <c r="BO5" s="176"/>
      <c r="BP5" s="176"/>
      <c r="BQ5" s="176"/>
      <c r="BR5" s="176"/>
      <c r="BS5" s="176"/>
      <c r="BT5" s="176"/>
      <c r="BU5" s="176"/>
      <c r="BV5" s="176"/>
      <c r="BW5" s="176"/>
      <c r="BX5" s="176"/>
      <c r="BY5" s="176"/>
      <c r="BZ5" s="176"/>
      <c r="CA5" s="176"/>
    </row>
    <row r="6" spans="1:79" ht="27" customHeight="1" x14ac:dyDescent="0.15">
      <c r="A6" s="160" t="s">
        <v>228</v>
      </c>
      <c r="B6" s="19"/>
      <c r="C6" s="19"/>
      <c r="D6" s="40" t="str">
        <f t="shared" si="31"/>
        <v/>
      </c>
      <c r="E6" s="19"/>
      <c r="F6" s="26"/>
      <c r="G6" s="21"/>
      <c r="H6" s="22"/>
      <c r="I6" s="22"/>
      <c r="J6" s="22"/>
      <c r="K6" s="23"/>
      <c r="L6" s="23"/>
      <c r="M6" s="23"/>
      <c r="N6" s="146"/>
      <c r="O6" s="40">
        <f t="shared" si="0"/>
        <v>0</v>
      </c>
      <c r="P6" s="183" t="str">
        <f t="shared" si="1"/>
        <v/>
      </c>
      <c r="S6" s="18">
        <f t="shared" si="32"/>
        <v>0</v>
      </c>
      <c r="T6" s="18">
        <f t="shared" si="2"/>
        <v>0</v>
      </c>
      <c r="U6" s="18">
        <f>IF(C6="人工面",0,IF(G6="",0,IF(D6="湿性環境",VLOOKUP(G6,環境タイプⅡによる点数DB!A:B,2,FALSE),IF(D6="樹林",VLOOKUP(G6,環境タイプⅡによる点数DB!A:C,3,FALSE),IF(D6="低木・草地",VLOOKUP(G6,環境タイプⅡによる点数DB!A:D,4,FALSE),0)))))</f>
        <v>0</v>
      </c>
      <c r="V6" s="24" t="str">
        <f>$H6&amp;"in"&amp;基本情報!$C$13</f>
        <v>in</v>
      </c>
      <c r="W6" s="24">
        <f t="shared" si="3"/>
        <v>0</v>
      </c>
      <c r="X6" s="24">
        <f>IF($H6="",0,IF($D6="樹林",IF(ISERROR(VLOOKUP($V6,市町村・植物種ごとの樹林点数DB!$A:$G,7,FALSE))=TRUE,20,VLOOKUP($V6,市町村・植物種ごとの樹林点数DB!$A:$G,7,FALSE)),IF($D6="低木・草地",IF($H6="【ススキ】・【ネザサ】・【チガヤ】",45,10),0)))</f>
        <v>0</v>
      </c>
      <c r="Y6" s="24">
        <f t="shared" si="4"/>
        <v>0</v>
      </c>
      <c r="Z6" s="24">
        <f t="shared" si="5"/>
        <v>1</v>
      </c>
      <c r="AA6" s="24">
        <f t="shared" si="6"/>
        <v>1</v>
      </c>
      <c r="AB6" s="24">
        <f t="shared" si="7"/>
        <v>0</v>
      </c>
      <c r="AC6" s="25">
        <f t="shared" si="8"/>
        <v>0</v>
      </c>
      <c r="AD6" s="25">
        <f t="shared" si="9"/>
        <v>0</v>
      </c>
      <c r="AE6" s="25">
        <f t="shared" si="10"/>
        <v>0</v>
      </c>
      <c r="AF6" s="25" t="str">
        <f t="shared" si="11"/>
        <v/>
      </c>
      <c r="AG6" s="25" t="str">
        <f t="shared" si="12"/>
        <v/>
      </c>
      <c r="AH6" s="25" t="str">
        <f t="shared" si="13"/>
        <v/>
      </c>
      <c r="AI6" s="25">
        <f>IF(ISERROR(VLOOKUP(K6,割合DB!$A:$B,2,FALSE))=TRUE,100,VLOOKUP(K6,割合DB!$A:$B,2,FALSE))</f>
        <v>100</v>
      </c>
      <c r="AJ6" s="25">
        <f>IF(ISERROR(VLOOKUP(L6,割合DB!$A:$B,2,FALSE))=TRUE,100,VLOOKUP(L6,割合DB!$A:$B,2,FALSE))</f>
        <v>100</v>
      </c>
      <c r="AK6" s="25">
        <f>IF(ISERROR(VLOOKUP(M6,割合DB!$A:$B,2,FALSE))=TRUE,100,VLOOKUP(M6,割合DB!$A:$B,2,FALSE))</f>
        <v>100</v>
      </c>
      <c r="AL6" s="25">
        <f t="shared" si="14"/>
        <v>0</v>
      </c>
      <c r="AM6" s="18">
        <f t="shared" si="15"/>
        <v>0</v>
      </c>
      <c r="AN6" s="18">
        <f t="shared" si="16"/>
        <v>0</v>
      </c>
      <c r="AO6" s="18">
        <f t="shared" si="17"/>
        <v>0</v>
      </c>
      <c r="AP6" s="18">
        <f>IF($C6="人工面",0,IF($G6="",70,IF($D6="湿性環境",VLOOKUP($G6,環境タイプⅡによる点数DB!$A:$B,2,FALSE),IF($D6="樹林",VLOOKUP($G6,環境タイプⅡによる点数DB!$A:$C,3,FALSE),IF($D6="低木・草地",VLOOKUP($G6,環境タイプⅡによる点数DB!$A:$D,4,FALSE),0)))))</f>
        <v>70</v>
      </c>
      <c r="AQ6" s="24" t="str">
        <f>$H6&amp;"in"&amp;基本情報!$C$13</f>
        <v>in</v>
      </c>
      <c r="AR6" s="24">
        <f t="shared" si="18"/>
        <v>0</v>
      </c>
      <c r="AS6" s="24">
        <f>IF($H6="",0,IF($D6="樹林",IF(ISERROR(VLOOKUP($V6,市町村・植物種ごとの樹林点数DB!$A:$F,6,FALSE))=TRUE,10,VLOOKUP($V6,市町村・植物種ごとの樹林点数DB!$A:$F,6,FALSE)),IF($D6="低木・草地",IF(OR($H6="【ススキ】・【ネザサ】・【チガヤ】",$H6="不明"),45,10),0)))</f>
        <v>0</v>
      </c>
      <c r="AT6" s="24">
        <f t="shared" si="19"/>
        <v>0</v>
      </c>
      <c r="AU6" s="24">
        <f t="shared" si="20"/>
        <v>1</v>
      </c>
      <c r="AV6" s="24">
        <f t="shared" si="21"/>
        <v>0</v>
      </c>
      <c r="AW6" s="24">
        <f t="shared" si="22"/>
        <v>1</v>
      </c>
      <c r="AX6" s="25">
        <f t="shared" si="23"/>
        <v>0</v>
      </c>
      <c r="AY6" s="25">
        <f t="shared" si="24"/>
        <v>0</v>
      </c>
      <c r="AZ6" s="25">
        <f t="shared" si="25"/>
        <v>0</v>
      </c>
      <c r="BA6" s="25" t="str">
        <f t="shared" si="26"/>
        <v/>
      </c>
      <c r="BB6" s="25" t="str">
        <f t="shared" si="27"/>
        <v/>
      </c>
      <c r="BC6" s="25" t="str">
        <f t="shared" si="28"/>
        <v/>
      </c>
      <c r="BD6" s="25">
        <f>IF(ISERROR(VLOOKUP($K6,割合DB!$A:$B,2,FALSE))=TRUE,0,VLOOKUP($K6,割合DB!$A:$B,2,FALSE))</f>
        <v>0</v>
      </c>
      <c r="BE6" s="25">
        <f>IF(ISERROR(VLOOKUP($L6,割合DB!$A:$B,2,FALSE))=TRUE,0,VLOOKUP($L6,割合DB!$A:$B,2,FALSE))</f>
        <v>0</v>
      </c>
      <c r="BF6" s="25">
        <f>IF(ISERROR(VLOOKUP($M6,割合DB!$A:$B,2,FALSE))=TRUE,0,VLOOKUP($M6,割合DB!$A:$B,2,FALSE))</f>
        <v>0</v>
      </c>
      <c r="BG6" s="25">
        <f t="shared" si="29"/>
        <v>100</v>
      </c>
      <c r="BH6" s="18">
        <f t="shared" si="30"/>
        <v>100</v>
      </c>
      <c r="BI6" s="18">
        <f t="shared" si="33"/>
        <v>1</v>
      </c>
      <c r="BJ6" s="176"/>
      <c r="BK6" s="176"/>
      <c r="BL6" s="176"/>
      <c r="BM6" s="176"/>
      <c r="BN6" s="176"/>
      <c r="BO6" s="176"/>
      <c r="BP6" s="176"/>
      <c r="BQ6" s="176"/>
      <c r="BR6" s="176"/>
      <c r="BS6" s="176"/>
      <c r="BT6" s="176"/>
      <c r="BU6" s="176"/>
      <c r="BV6" s="176"/>
      <c r="BW6" s="176"/>
      <c r="BX6" s="176"/>
      <c r="BY6" s="176"/>
      <c r="BZ6" s="176"/>
      <c r="CA6" s="176"/>
    </row>
    <row r="7" spans="1:79" ht="27" customHeight="1" x14ac:dyDescent="0.15">
      <c r="A7" s="160" t="s">
        <v>229</v>
      </c>
      <c r="B7" s="19"/>
      <c r="C7" s="19"/>
      <c r="D7" s="40" t="str">
        <f t="shared" si="31"/>
        <v/>
      </c>
      <c r="E7" s="19"/>
      <c r="F7" s="26"/>
      <c r="G7" s="21"/>
      <c r="H7" s="22"/>
      <c r="I7" s="22"/>
      <c r="J7" s="22"/>
      <c r="K7" s="23"/>
      <c r="L7" s="23"/>
      <c r="M7" s="23"/>
      <c r="N7" s="146"/>
      <c r="O7" s="40">
        <f t="shared" si="0"/>
        <v>0</v>
      </c>
      <c r="P7" s="183" t="str">
        <f t="shared" si="1"/>
        <v/>
      </c>
      <c r="S7" s="18">
        <f t="shared" si="32"/>
        <v>0</v>
      </c>
      <c r="T7" s="18">
        <f t="shared" si="2"/>
        <v>0</v>
      </c>
      <c r="U7" s="18">
        <f>IF(C7="人工面",0,IF(G7="",0,IF(D7="湿性環境",VLOOKUP(G7,環境タイプⅡによる点数DB!A:B,2,FALSE),IF(D7="樹林",VLOOKUP(G7,環境タイプⅡによる点数DB!A:C,3,FALSE),IF(D7="低木・草地",VLOOKUP(G7,環境タイプⅡによる点数DB!A:D,4,FALSE),0)))))</f>
        <v>0</v>
      </c>
      <c r="V7" s="24" t="str">
        <f>$H7&amp;"in"&amp;基本情報!$C$13</f>
        <v>in</v>
      </c>
      <c r="W7" s="24">
        <f t="shared" si="3"/>
        <v>0</v>
      </c>
      <c r="X7" s="24">
        <f>IF($H7="",0,IF($D7="樹林",IF(ISERROR(VLOOKUP($V7,市町村・植物種ごとの樹林点数DB!$A:$G,7,FALSE))=TRUE,20,VLOOKUP($V7,市町村・植物種ごとの樹林点数DB!$A:$G,7,FALSE)),IF($D7="低木・草地",IF($H7="【ススキ】・【ネザサ】・【チガヤ】",45,10),0)))</f>
        <v>0</v>
      </c>
      <c r="Y7" s="24">
        <f t="shared" si="4"/>
        <v>0</v>
      </c>
      <c r="Z7" s="24">
        <f t="shared" si="5"/>
        <v>1</v>
      </c>
      <c r="AA7" s="24">
        <f t="shared" si="6"/>
        <v>1</v>
      </c>
      <c r="AB7" s="24">
        <f t="shared" si="7"/>
        <v>0</v>
      </c>
      <c r="AC7" s="25">
        <f t="shared" si="8"/>
        <v>0</v>
      </c>
      <c r="AD7" s="25">
        <f t="shared" si="9"/>
        <v>0</v>
      </c>
      <c r="AE7" s="25">
        <f t="shared" si="10"/>
        <v>0</v>
      </c>
      <c r="AF7" s="25" t="str">
        <f t="shared" si="11"/>
        <v/>
      </c>
      <c r="AG7" s="25" t="str">
        <f t="shared" si="12"/>
        <v/>
      </c>
      <c r="AH7" s="25" t="str">
        <f t="shared" si="13"/>
        <v/>
      </c>
      <c r="AI7" s="25">
        <f>IF(ISERROR(VLOOKUP(K7,割合DB!$A:$B,2,FALSE))=TRUE,100,VLOOKUP(K7,割合DB!$A:$B,2,FALSE))</f>
        <v>100</v>
      </c>
      <c r="AJ7" s="25">
        <f>IF(ISERROR(VLOOKUP(L7,割合DB!$A:$B,2,FALSE))=TRUE,100,VLOOKUP(L7,割合DB!$A:$B,2,FALSE))</f>
        <v>100</v>
      </c>
      <c r="AK7" s="25">
        <f>IF(ISERROR(VLOOKUP(M7,割合DB!$A:$B,2,FALSE))=TRUE,100,VLOOKUP(M7,割合DB!$A:$B,2,FALSE))</f>
        <v>100</v>
      </c>
      <c r="AL7" s="25">
        <f t="shared" si="14"/>
        <v>0</v>
      </c>
      <c r="AM7" s="18">
        <f t="shared" si="15"/>
        <v>0</v>
      </c>
      <c r="AN7" s="18">
        <f t="shared" si="16"/>
        <v>0</v>
      </c>
      <c r="AO7" s="18">
        <f t="shared" si="17"/>
        <v>0</v>
      </c>
      <c r="AP7" s="18">
        <f>IF($C7="人工面",0,IF($G7="",70,IF($D7="湿性環境",VLOOKUP($G7,環境タイプⅡによる点数DB!$A:$B,2,FALSE),IF($D7="樹林",VLOOKUP($G7,環境タイプⅡによる点数DB!$A:$C,3,FALSE),IF($D7="低木・草地",VLOOKUP($G7,環境タイプⅡによる点数DB!$A:$D,4,FALSE),0)))))</f>
        <v>70</v>
      </c>
      <c r="AQ7" s="24" t="str">
        <f>$H7&amp;"in"&amp;基本情報!$C$13</f>
        <v>in</v>
      </c>
      <c r="AR7" s="24">
        <f t="shared" si="18"/>
        <v>0</v>
      </c>
      <c r="AS7" s="24">
        <f>IF($H7="",0,IF($D7="樹林",IF(ISERROR(VLOOKUP($V7,市町村・植物種ごとの樹林点数DB!$A:$F,6,FALSE))=TRUE,10,VLOOKUP($V7,市町村・植物種ごとの樹林点数DB!$A:$F,6,FALSE)),IF($D7="低木・草地",IF(OR($H7="【ススキ】・【ネザサ】・【チガヤ】",$H7="不明"),45,10),0)))</f>
        <v>0</v>
      </c>
      <c r="AT7" s="24">
        <f t="shared" si="19"/>
        <v>0</v>
      </c>
      <c r="AU7" s="24">
        <f t="shared" si="20"/>
        <v>1</v>
      </c>
      <c r="AV7" s="24">
        <f t="shared" si="21"/>
        <v>0</v>
      </c>
      <c r="AW7" s="24">
        <f t="shared" si="22"/>
        <v>1</v>
      </c>
      <c r="AX7" s="25">
        <f t="shared" si="23"/>
        <v>0</v>
      </c>
      <c r="AY7" s="25">
        <f t="shared" si="24"/>
        <v>0</v>
      </c>
      <c r="AZ7" s="25">
        <f t="shared" si="25"/>
        <v>0</v>
      </c>
      <c r="BA7" s="25" t="str">
        <f t="shared" si="26"/>
        <v/>
      </c>
      <c r="BB7" s="25" t="str">
        <f t="shared" si="27"/>
        <v/>
      </c>
      <c r="BC7" s="25" t="str">
        <f t="shared" si="28"/>
        <v/>
      </c>
      <c r="BD7" s="25">
        <f>IF(ISERROR(VLOOKUP($K7,割合DB!$A:$B,2,FALSE))=TRUE,0,VLOOKUP($K7,割合DB!$A:$B,2,FALSE))</f>
        <v>0</v>
      </c>
      <c r="BE7" s="25">
        <f>IF(ISERROR(VLOOKUP($L7,割合DB!$A:$B,2,FALSE))=TRUE,0,VLOOKUP($L7,割合DB!$A:$B,2,FALSE))</f>
        <v>0</v>
      </c>
      <c r="BF7" s="25">
        <f>IF(ISERROR(VLOOKUP($M7,割合DB!$A:$B,2,FALSE))=TRUE,0,VLOOKUP($M7,割合DB!$A:$B,2,FALSE))</f>
        <v>0</v>
      </c>
      <c r="BG7" s="25">
        <f t="shared" si="29"/>
        <v>100</v>
      </c>
      <c r="BH7" s="18">
        <f t="shared" si="30"/>
        <v>100</v>
      </c>
      <c r="BI7" s="18">
        <f t="shared" si="33"/>
        <v>1</v>
      </c>
      <c r="BJ7" s="176"/>
      <c r="BK7" s="176"/>
      <c r="BL7" s="176"/>
      <c r="BM7" s="176"/>
      <c r="BN7" s="176"/>
      <c r="BO7" s="176"/>
      <c r="BP7" s="176"/>
      <c r="BQ7" s="176"/>
      <c r="BR7" s="176"/>
      <c r="BS7" s="176"/>
      <c r="BT7" s="176"/>
      <c r="BU7" s="176"/>
      <c r="BV7" s="176"/>
      <c r="BW7" s="176"/>
      <c r="BX7" s="176"/>
      <c r="BY7" s="176"/>
      <c r="BZ7" s="176"/>
      <c r="CA7" s="176"/>
    </row>
    <row r="8" spans="1:79" ht="27" customHeight="1" x14ac:dyDescent="0.15">
      <c r="A8" s="160" t="s">
        <v>230</v>
      </c>
      <c r="B8" s="21"/>
      <c r="C8" s="19"/>
      <c r="D8" s="40" t="str">
        <f t="shared" si="31"/>
        <v/>
      </c>
      <c r="E8" s="19"/>
      <c r="F8" s="26"/>
      <c r="G8" s="21"/>
      <c r="H8" s="22"/>
      <c r="I8" s="22"/>
      <c r="J8" s="22"/>
      <c r="K8" s="23"/>
      <c r="L8" s="23"/>
      <c r="M8" s="23"/>
      <c r="N8" s="146"/>
      <c r="O8" s="40">
        <f t="shared" si="0"/>
        <v>0</v>
      </c>
      <c r="P8" s="183" t="str">
        <f t="shared" si="1"/>
        <v/>
      </c>
      <c r="S8" s="18">
        <f t="shared" si="32"/>
        <v>0</v>
      </c>
      <c r="T8" s="18">
        <f t="shared" si="2"/>
        <v>0</v>
      </c>
      <c r="U8" s="18">
        <f>IF(C8="人工面",0,IF(G8="",0,IF(D8="湿性環境",VLOOKUP(G8,環境タイプⅡによる点数DB!A:B,2,FALSE),IF(D8="樹林",VLOOKUP(G8,環境タイプⅡによる点数DB!A:C,3,FALSE),IF(D8="低木・草地",VLOOKUP(G8,環境タイプⅡによる点数DB!A:D,4,FALSE),0)))))</f>
        <v>0</v>
      </c>
      <c r="V8" s="24" t="str">
        <f>$H8&amp;"in"&amp;基本情報!$C$13</f>
        <v>in</v>
      </c>
      <c r="W8" s="24">
        <f t="shared" si="3"/>
        <v>0</v>
      </c>
      <c r="X8" s="24">
        <f>IF($H8="",0,IF($D8="樹林",IF(ISERROR(VLOOKUP($V8,市町村・植物種ごとの樹林点数DB!$A:$G,7,FALSE))=TRUE,20,VLOOKUP($V8,市町村・植物種ごとの樹林点数DB!$A:$G,7,FALSE)),IF($D8="低木・草地",IF($H8="【ススキ】・【ネザサ】・【チガヤ】",45,10),0)))</f>
        <v>0</v>
      </c>
      <c r="Y8" s="24">
        <f t="shared" si="4"/>
        <v>0</v>
      </c>
      <c r="Z8" s="24">
        <f t="shared" si="5"/>
        <v>1</v>
      </c>
      <c r="AA8" s="24">
        <f t="shared" si="6"/>
        <v>1</v>
      </c>
      <c r="AB8" s="24">
        <f t="shared" si="7"/>
        <v>0</v>
      </c>
      <c r="AC8" s="25">
        <f t="shared" si="8"/>
        <v>0</v>
      </c>
      <c r="AD8" s="25">
        <f t="shared" si="9"/>
        <v>0</v>
      </c>
      <c r="AE8" s="25">
        <f t="shared" si="10"/>
        <v>0</v>
      </c>
      <c r="AF8" s="25" t="str">
        <f t="shared" si="11"/>
        <v/>
      </c>
      <c r="AG8" s="25" t="str">
        <f t="shared" si="12"/>
        <v/>
      </c>
      <c r="AH8" s="25" t="str">
        <f t="shared" si="13"/>
        <v/>
      </c>
      <c r="AI8" s="25">
        <f>IF(ISERROR(VLOOKUP(K8,割合DB!$A:$B,2,FALSE))=TRUE,100,VLOOKUP(K8,割合DB!$A:$B,2,FALSE))</f>
        <v>100</v>
      </c>
      <c r="AJ8" s="25">
        <f>IF(ISERROR(VLOOKUP(L8,割合DB!$A:$B,2,FALSE))=TRUE,100,VLOOKUP(L8,割合DB!$A:$B,2,FALSE))</f>
        <v>100</v>
      </c>
      <c r="AK8" s="25">
        <f>IF(ISERROR(VLOOKUP(M8,割合DB!$A:$B,2,FALSE))=TRUE,100,VLOOKUP(M8,割合DB!$A:$B,2,FALSE))</f>
        <v>100</v>
      </c>
      <c r="AL8" s="25">
        <f t="shared" si="14"/>
        <v>0</v>
      </c>
      <c r="AM8" s="18">
        <f t="shared" si="15"/>
        <v>0</v>
      </c>
      <c r="AN8" s="18">
        <f t="shared" si="16"/>
        <v>0</v>
      </c>
      <c r="AO8" s="18">
        <f t="shared" si="17"/>
        <v>0</v>
      </c>
      <c r="AP8" s="18">
        <f>IF($C8="人工面",0,IF($G8="",70,IF($D8="湿性環境",VLOOKUP($G8,環境タイプⅡによる点数DB!$A:$B,2,FALSE),IF($D8="樹林",VLOOKUP($G8,環境タイプⅡによる点数DB!$A:$C,3,FALSE),IF($D8="低木・草地",VLOOKUP($G8,環境タイプⅡによる点数DB!$A:$D,4,FALSE),0)))))</f>
        <v>70</v>
      </c>
      <c r="AQ8" s="24" t="str">
        <f>$H8&amp;"in"&amp;基本情報!$C$13</f>
        <v>in</v>
      </c>
      <c r="AR8" s="24">
        <f t="shared" si="18"/>
        <v>0</v>
      </c>
      <c r="AS8" s="24">
        <f>IF($H8="",0,IF($D8="樹林",IF(ISERROR(VLOOKUP($V8,市町村・植物種ごとの樹林点数DB!$A:$F,6,FALSE))=TRUE,10,VLOOKUP($V8,市町村・植物種ごとの樹林点数DB!$A:$F,6,FALSE)),IF($D8="低木・草地",IF(OR($H8="【ススキ】・【ネザサ】・【チガヤ】",$H8="不明"),45,10),0)))</f>
        <v>0</v>
      </c>
      <c r="AT8" s="24">
        <f t="shared" si="19"/>
        <v>0</v>
      </c>
      <c r="AU8" s="24">
        <f t="shared" si="20"/>
        <v>1</v>
      </c>
      <c r="AV8" s="24">
        <f t="shared" si="21"/>
        <v>0</v>
      </c>
      <c r="AW8" s="24">
        <f t="shared" si="22"/>
        <v>1</v>
      </c>
      <c r="AX8" s="25">
        <f t="shared" si="23"/>
        <v>0</v>
      </c>
      <c r="AY8" s="25">
        <f t="shared" si="24"/>
        <v>0</v>
      </c>
      <c r="AZ8" s="25">
        <f t="shared" si="25"/>
        <v>0</v>
      </c>
      <c r="BA8" s="25" t="str">
        <f t="shared" si="26"/>
        <v/>
      </c>
      <c r="BB8" s="25" t="str">
        <f t="shared" si="27"/>
        <v/>
      </c>
      <c r="BC8" s="25" t="str">
        <f t="shared" si="28"/>
        <v/>
      </c>
      <c r="BD8" s="25">
        <f>IF(ISERROR(VLOOKUP($K8,割合DB!$A:$B,2,FALSE))=TRUE,0,VLOOKUP($K8,割合DB!$A:$B,2,FALSE))</f>
        <v>0</v>
      </c>
      <c r="BE8" s="25">
        <f>IF(ISERROR(VLOOKUP($L8,割合DB!$A:$B,2,FALSE))=TRUE,0,VLOOKUP($L8,割合DB!$A:$B,2,FALSE))</f>
        <v>0</v>
      </c>
      <c r="BF8" s="25">
        <f>IF(ISERROR(VLOOKUP($M8,割合DB!$A:$B,2,FALSE))=TRUE,0,VLOOKUP($M8,割合DB!$A:$B,2,FALSE))</f>
        <v>0</v>
      </c>
      <c r="BG8" s="25">
        <f t="shared" si="29"/>
        <v>100</v>
      </c>
      <c r="BH8" s="18">
        <f t="shared" si="30"/>
        <v>100</v>
      </c>
      <c r="BI8" s="18">
        <f t="shared" si="33"/>
        <v>1</v>
      </c>
      <c r="BJ8" s="176"/>
      <c r="BK8" s="176"/>
      <c r="BL8" s="176"/>
      <c r="BM8" s="176"/>
      <c r="BN8" s="176"/>
      <c r="BO8" s="176"/>
      <c r="BP8" s="176"/>
      <c r="BQ8" s="176"/>
      <c r="BR8" s="176"/>
      <c r="BS8" s="176"/>
      <c r="BT8" s="176"/>
      <c r="BU8" s="176"/>
      <c r="BV8" s="176"/>
      <c r="BW8" s="176"/>
      <c r="BX8" s="176"/>
      <c r="BY8" s="176"/>
      <c r="BZ8" s="176"/>
      <c r="CA8" s="176"/>
    </row>
    <row r="9" spans="1:79" ht="27" customHeight="1" x14ac:dyDescent="0.15">
      <c r="A9" s="160" t="s">
        <v>231</v>
      </c>
      <c r="B9" s="21"/>
      <c r="C9" s="19"/>
      <c r="D9" s="40" t="str">
        <f t="shared" si="31"/>
        <v/>
      </c>
      <c r="E9" s="19"/>
      <c r="F9" s="26"/>
      <c r="G9" s="21"/>
      <c r="H9" s="22"/>
      <c r="I9" s="22"/>
      <c r="J9" s="22"/>
      <c r="K9" s="23"/>
      <c r="L9" s="23"/>
      <c r="M9" s="23"/>
      <c r="N9" s="146"/>
      <c r="O9" s="40">
        <f t="shared" ref="O9" si="34">IF(F9="該当",AN9,S9)</f>
        <v>0</v>
      </c>
      <c r="P9" s="183" t="str">
        <f t="shared" ref="P9" si="35">IF(B9="","",B9*O9)</f>
        <v/>
      </c>
      <c r="S9" s="18">
        <f t="shared" si="32"/>
        <v>0</v>
      </c>
      <c r="T9" s="18">
        <f t="shared" si="2"/>
        <v>0</v>
      </c>
      <c r="U9" s="18">
        <f>IF(C9="人工面",0,IF(G9="",0,IF(D9="湿性環境",VLOOKUP(G9,環境タイプⅡによる点数DB!A:B,2,FALSE),IF(D9="樹林",VLOOKUP(G9,環境タイプⅡによる点数DB!A:C,3,FALSE),IF(D9="低木・草地",VLOOKUP(G9,環境タイプⅡによる点数DB!A:D,4,FALSE),0)))))</f>
        <v>0</v>
      </c>
      <c r="V9" s="24" t="str">
        <f>$H9&amp;"in"&amp;基本情報!$C$13</f>
        <v>in</v>
      </c>
      <c r="W9" s="24">
        <f t="shared" si="3"/>
        <v>0</v>
      </c>
      <c r="X9" s="24">
        <f>IF($H9="",0,IF($D9="樹林",IF(ISERROR(VLOOKUP($V9,市町村・植物種ごとの樹林点数DB!$A:$G,7,FALSE))=TRUE,20,VLOOKUP($V9,市町村・植物種ごとの樹林点数DB!$A:$G,7,FALSE)),IF($D9="低木・草地",IF($H9="【ススキ】・【ネザサ】・【チガヤ】",45,10),0)))</f>
        <v>0</v>
      </c>
      <c r="Y9" s="24">
        <f t="shared" ref="Y9" si="36">IF($D9="樹林",IF(H9="",5,0),IF($D9="低木・草地",IF(H9="",10,0),0))</f>
        <v>0</v>
      </c>
      <c r="Z9" s="24">
        <f t="shared" ref="Z9" si="37">IF(OR(H9="その他の低木・草",H9="【ススキ】・【ネザサ】・【チガヤ】"),0,1)</f>
        <v>1</v>
      </c>
      <c r="AA9" s="24">
        <f t="shared" ref="AA9" si="38">IF(I9="ほぼ無し",0,IF(I9="1/4程度",0.25,IF(I9="1/2程度",0.5,IF(I9="3/4程度",0.75,IF(I9="ほぼ全て",1,1)))))</f>
        <v>1</v>
      </c>
      <c r="AB9" s="24">
        <f t="shared" ref="AB9" si="39">IF(J9="無し",0,IF(J9="有り",1,IF(J9="不明",0,0)))</f>
        <v>0</v>
      </c>
      <c r="AC9" s="25">
        <f t="shared" ref="AC9" si="40">(X9+Y9)*W9</f>
        <v>0</v>
      </c>
      <c r="AD9" s="25">
        <f t="shared" ref="AD9" si="41">IF(AC9=45,25*(1-AA9),IF(AC9=40,20*(1-AA9),IF(AC9&gt;=2.5,10*(1-AA9),IF(AC9&gt;0,5*(1-AA9),0))))</f>
        <v>0</v>
      </c>
      <c r="AE9" s="25">
        <f t="shared" ref="AE9" si="42">IF(W9=1,AB9*Z9*10,0)</f>
        <v>0</v>
      </c>
      <c r="AF9" s="25" t="str">
        <f t="shared" ref="AF9" si="43">IF(D9="低木・草地",SUM(AC9:AD9),"")</f>
        <v/>
      </c>
      <c r="AG9" s="25" t="str">
        <f t="shared" ref="AG9" si="44">IF(D9="樹林",SUM(AC9:AE9),"")</f>
        <v/>
      </c>
      <c r="AH9" s="25" t="str">
        <f t="shared" ref="AH9" si="45">IF(D9="湿性環境",IF(AL9+AM9&lt;60,0,(AL9+AM9)/2-30),"")</f>
        <v/>
      </c>
      <c r="AI9" s="25">
        <f>IF(ISERROR(VLOOKUP(K9,割合DB!$A:$B,2,FALSE))=TRUE,100,VLOOKUP(K9,割合DB!$A:$B,2,FALSE))</f>
        <v>100</v>
      </c>
      <c r="AJ9" s="25">
        <f>IF(ISERROR(VLOOKUP(L9,割合DB!$A:$B,2,FALSE))=TRUE,100,VLOOKUP(L9,割合DB!$A:$B,2,FALSE))</f>
        <v>100</v>
      </c>
      <c r="AK9" s="25">
        <f>IF(ISERROR(VLOOKUP(M9,割合DB!$A:$B,2,FALSE))=TRUE,100,VLOOKUP(M9,割合DB!$A:$B,2,FALSE))</f>
        <v>100</v>
      </c>
      <c r="AL9" s="25">
        <f t="shared" ref="AL9" si="46">((100-AI9)+(100-AJ9))/2</f>
        <v>0</v>
      </c>
      <c r="AM9" s="18">
        <f t="shared" ref="AM9" si="47">100-AK9</f>
        <v>0</v>
      </c>
      <c r="AN9" s="18">
        <f t="shared" ref="AN9" si="48">IF(AO9=0,0,IF(AP9="点数特定できず",SUM(BA9:BC9),AP9))</f>
        <v>0</v>
      </c>
      <c r="AO9" s="18">
        <f t="shared" si="17"/>
        <v>0</v>
      </c>
      <c r="AP9" s="18">
        <f>IF($C9="人工面",0,IF($G9="",70,IF($D9="湿性環境",VLOOKUP($G9,環境タイプⅡによる点数DB!$A:$B,2,FALSE),IF($D9="樹林",VLOOKUP($G9,環境タイプⅡによる点数DB!$A:$C,3,FALSE),IF($D9="低木・草地",VLOOKUP($G9,環境タイプⅡによる点数DB!$A:$D,4,FALSE),0)))))</f>
        <v>70</v>
      </c>
      <c r="AQ9" s="24" t="str">
        <f>$H9&amp;"in"&amp;基本情報!$C$13</f>
        <v>in</v>
      </c>
      <c r="AR9" s="24">
        <f t="shared" si="18"/>
        <v>0</v>
      </c>
      <c r="AS9" s="24">
        <f>IF($H9="",0,IF($D9="樹林",IF(ISERROR(VLOOKUP($V9,市町村・植物種ごとの樹林点数DB!$A:$F,6,FALSE))=TRUE,10,VLOOKUP($V9,市町村・植物種ごとの樹林点数DB!$A:$F,6,FALSE)),IF($D9="低木・草地",IF(OR($H9="【ススキ】・【ネザサ】・【チガヤ】",$H9="不明"),45,10),0)))</f>
        <v>0</v>
      </c>
      <c r="AT9" s="24">
        <f t="shared" si="19"/>
        <v>0</v>
      </c>
      <c r="AU9" s="24">
        <f t="shared" si="20"/>
        <v>1</v>
      </c>
      <c r="AV9" s="24">
        <f t="shared" si="21"/>
        <v>0</v>
      </c>
      <c r="AW9" s="24">
        <f t="shared" si="22"/>
        <v>1</v>
      </c>
      <c r="AX9" s="25">
        <f t="shared" ref="AX9" si="49">(AS9+AT9)*AR9</f>
        <v>0</v>
      </c>
      <c r="AY9" s="25">
        <f t="shared" ref="AY9" si="50">IF(AX9=45,25*(1-AV9),IF(AX9=40,20*(1-AV9),IF(AX9&gt;=2.5,10*(1-AV9),IF(AX9&gt;0,5*(1-AV9),0))))</f>
        <v>0</v>
      </c>
      <c r="AZ9" s="25">
        <f t="shared" ref="AZ9" si="51">IF(AR9=1,AW9*AU9*10,0)</f>
        <v>0</v>
      </c>
      <c r="BA9" s="25" t="str">
        <f t="shared" ref="BA9" si="52">IF($D9="低木・草地",SUM(AX9:AY9),"")</f>
        <v/>
      </c>
      <c r="BB9" s="25" t="str">
        <f t="shared" ref="BB9" si="53">IF($D9="樹林",SUM(AX9:AZ9),"")</f>
        <v/>
      </c>
      <c r="BC9" s="25" t="str">
        <f t="shared" ref="BC9" si="54">IF($D9="湿性環境",IF(BG9+BH9&lt;60,0,(BG9+BH9)/2-30),"")</f>
        <v/>
      </c>
      <c r="BD9" s="25">
        <f>IF(ISERROR(VLOOKUP($K9,割合DB!$A:$B,2,FALSE))=TRUE,0,VLOOKUP($K9,割合DB!$A:$B,2,FALSE))</f>
        <v>0</v>
      </c>
      <c r="BE9" s="25">
        <f>IF(ISERROR(VLOOKUP($L9,割合DB!$A:$B,2,FALSE))=TRUE,0,VLOOKUP($L9,割合DB!$A:$B,2,FALSE))</f>
        <v>0</v>
      </c>
      <c r="BF9" s="25">
        <f>IF(ISERROR(VLOOKUP($M9,割合DB!$A:$B,2,FALSE))=TRUE,0,VLOOKUP($M9,割合DB!$A:$B,2,FALSE))</f>
        <v>0</v>
      </c>
      <c r="BG9" s="25">
        <f t="shared" ref="BG9" si="55">((100-BD9)+(100-BE9))/2</f>
        <v>100</v>
      </c>
      <c r="BH9" s="18">
        <f t="shared" ref="BH9" si="56">100-BF9</f>
        <v>100</v>
      </c>
      <c r="BI9" s="18">
        <f t="shared" si="33"/>
        <v>1</v>
      </c>
      <c r="BJ9" s="176"/>
      <c r="BK9" s="176"/>
      <c r="BL9" s="176"/>
      <c r="BM9" s="176"/>
      <c r="BN9" s="176"/>
      <c r="BO9" s="176"/>
      <c r="BP9" s="176"/>
      <c r="BQ9" s="176"/>
      <c r="BR9" s="176"/>
      <c r="BS9" s="176"/>
      <c r="BT9" s="176"/>
      <c r="BU9" s="176"/>
      <c r="BV9" s="176"/>
      <c r="BW9" s="176"/>
      <c r="BX9" s="176"/>
      <c r="BY9" s="176"/>
      <c r="BZ9" s="176"/>
      <c r="CA9" s="176"/>
    </row>
    <row r="10" spans="1:79" ht="27" customHeight="1" x14ac:dyDescent="0.15">
      <c r="A10" s="160" t="s">
        <v>502</v>
      </c>
      <c r="B10" s="21"/>
      <c r="C10" s="19"/>
      <c r="D10" s="40" t="str">
        <f t="shared" si="31"/>
        <v/>
      </c>
      <c r="E10" s="19"/>
      <c r="F10" s="26"/>
      <c r="G10" s="21"/>
      <c r="H10" s="22"/>
      <c r="I10" s="22"/>
      <c r="J10" s="22"/>
      <c r="K10" s="23"/>
      <c r="L10" s="23"/>
      <c r="M10" s="23"/>
      <c r="N10" s="146"/>
      <c r="O10" s="40">
        <f t="shared" ref="O10:O73" si="57">IF(F10="該当",AN10,S10)</f>
        <v>0</v>
      </c>
      <c r="P10" s="183" t="str">
        <f t="shared" ref="P10:P73" si="58">IF(B10="","",B10*O10)</f>
        <v/>
      </c>
      <c r="S10" s="18">
        <f t="shared" si="32"/>
        <v>0</v>
      </c>
      <c r="T10" s="18">
        <f t="shared" si="2"/>
        <v>0</v>
      </c>
      <c r="U10" s="18">
        <f>IF(C10="人工面",0,IF(G10="",0,IF(D10="湿性環境",VLOOKUP(G10,環境タイプⅡによる点数DB!A:B,2,FALSE),IF(D10="樹林",VLOOKUP(G10,環境タイプⅡによる点数DB!A:C,3,FALSE),IF(D10="低木・草地",VLOOKUP(G10,環境タイプⅡによる点数DB!A:D,4,FALSE),0)))))</f>
        <v>0</v>
      </c>
      <c r="V10" s="24" t="str">
        <f>$H10&amp;"in"&amp;基本情報!$C$13</f>
        <v>in</v>
      </c>
      <c r="W10" s="24">
        <f t="shared" si="3"/>
        <v>0</v>
      </c>
      <c r="X10" s="24">
        <f>IF($H10="",0,IF($D10="樹林",IF(ISERROR(VLOOKUP($V10,市町村・植物種ごとの樹林点数DB!$A:$G,7,FALSE))=TRUE,20,VLOOKUP($V10,市町村・植物種ごとの樹林点数DB!$A:$G,7,FALSE)),IF($D10="低木・草地",IF($H10="【ススキ】・【ネザサ】・【チガヤ】",45,10),0)))</f>
        <v>0</v>
      </c>
      <c r="Y10" s="24">
        <f t="shared" ref="Y10:Y73" si="59">IF($D10="樹林",IF(H10="",5,0),IF($D10="低木・草地",IF(H10="",10,0),0))</f>
        <v>0</v>
      </c>
      <c r="Z10" s="24">
        <f t="shared" ref="Z10:Z73" si="60">IF(OR(H10="その他の低木・草",H10="【ススキ】・【ネザサ】・【チガヤ】"),0,1)</f>
        <v>1</v>
      </c>
      <c r="AA10" s="24">
        <f t="shared" ref="AA10:AA73" si="61">IF(I10="ほぼ無し",0,IF(I10="1/4程度",0.25,IF(I10="1/2程度",0.5,IF(I10="3/4程度",0.75,IF(I10="ほぼ全て",1,1)))))</f>
        <v>1</v>
      </c>
      <c r="AB10" s="24">
        <f t="shared" ref="AB10:AB73" si="62">IF(J10="無し",0,IF(J10="有り",1,IF(J10="不明",0,0)))</f>
        <v>0</v>
      </c>
      <c r="AC10" s="25">
        <f t="shared" ref="AC10:AC73" si="63">(X10+Y10)*W10</f>
        <v>0</v>
      </c>
      <c r="AD10" s="25">
        <f t="shared" ref="AD10:AD73" si="64">IF(AC10=45,25*(1-AA10),IF(AC10=40,20*(1-AA10),IF(AC10&gt;=2.5,10*(1-AA10),IF(AC10&gt;0,5*(1-AA10),0))))</f>
        <v>0</v>
      </c>
      <c r="AE10" s="25">
        <f t="shared" ref="AE10:AE73" si="65">IF(W10=1,AB10*Z10*10,0)</f>
        <v>0</v>
      </c>
      <c r="AF10" s="25" t="str">
        <f t="shared" ref="AF10:AF73" si="66">IF(D10="低木・草地",SUM(AC10:AD10),"")</f>
        <v/>
      </c>
      <c r="AG10" s="25" t="str">
        <f t="shared" ref="AG10:AG73" si="67">IF(D10="樹林",SUM(AC10:AE10),"")</f>
        <v/>
      </c>
      <c r="AH10" s="25" t="str">
        <f t="shared" ref="AH10:AH73" si="68">IF(D10="湿性環境",IF(AL10+AM10&lt;60,0,(AL10+AM10)/2-30),"")</f>
        <v/>
      </c>
      <c r="AI10" s="25">
        <f>IF(ISERROR(VLOOKUP(K10,割合DB!$A:$B,2,FALSE))=TRUE,100,VLOOKUP(K10,割合DB!$A:$B,2,FALSE))</f>
        <v>100</v>
      </c>
      <c r="AJ10" s="25">
        <f>IF(ISERROR(VLOOKUP(L10,割合DB!$A:$B,2,FALSE))=TRUE,100,VLOOKUP(L10,割合DB!$A:$B,2,FALSE))</f>
        <v>100</v>
      </c>
      <c r="AK10" s="25">
        <f>IF(ISERROR(VLOOKUP(M10,割合DB!$A:$B,2,FALSE))=TRUE,100,VLOOKUP(M10,割合DB!$A:$B,2,FALSE))</f>
        <v>100</v>
      </c>
      <c r="AL10" s="25">
        <f t="shared" ref="AL10:AL73" si="69">((100-AI10)+(100-AJ10))/2</f>
        <v>0</v>
      </c>
      <c r="AM10" s="18">
        <f t="shared" ref="AM10:AM73" si="70">100-AK10</f>
        <v>0</v>
      </c>
      <c r="AN10" s="18">
        <f t="shared" ref="AN10:AN73" si="71">IF(AO10=0,0,IF(AP10="点数特定できず",SUM(BA10:BC10),AP10))</f>
        <v>0</v>
      </c>
      <c r="AO10" s="18">
        <f t="shared" si="17"/>
        <v>0</v>
      </c>
      <c r="AP10" s="18">
        <f>IF($C10="人工面",0,IF($G10="",70,IF($D10="湿性環境",VLOOKUP($G10,環境タイプⅡによる点数DB!$A:$B,2,FALSE),IF($D10="樹林",VLOOKUP($G10,環境タイプⅡによる点数DB!$A:$C,3,FALSE),IF($D10="低木・草地",VLOOKUP($G10,環境タイプⅡによる点数DB!$A:$D,4,FALSE),0)))))</f>
        <v>70</v>
      </c>
      <c r="AQ10" s="24" t="str">
        <f>$H10&amp;"in"&amp;基本情報!$C$13</f>
        <v>in</v>
      </c>
      <c r="AR10" s="24">
        <f t="shared" si="18"/>
        <v>0</v>
      </c>
      <c r="AS10" s="24">
        <f>IF($H10="",0,IF($D10="樹林",IF(ISERROR(VLOOKUP($V10,市町村・植物種ごとの樹林点数DB!$A:$F,6,FALSE))=TRUE,10,VLOOKUP($V10,市町村・植物種ごとの樹林点数DB!$A:$F,6,FALSE)),IF($D10="低木・草地",IF(OR($H10="【ススキ】・【ネザサ】・【チガヤ】",$H10="不明"),45,10),0)))</f>
        <v>0</v>
      </c>
      <c r="AT10" s="24">
        <f t="shared" si="19"/>
        <v>0</v>
      </c>
      <c r="AU10" s="24">
        <f t="shared" si="20"/>
        <v>1</v>
      </c>
      <c r="AV10" s="24">
        <f t="shared" si="21"/>
        <v>0</v>
      </c>
      <c r="AW10" s="24">
        <f t="shared" si="22"/>
        <v>1</v>
      </c>
      <c r="AX10" s="25">
        <f t="shared" ref="AX10:AX73" si="72">(AS10+AT10)*AR10</f>
        <v>0</v>
      </c>
      <c r="AY10" s="25">
        <f t="shared" ref="AY10:AY73" si="73">IF(AX10=45,25*(1-AV10),IF(AX10=40,20*(1-AV10),IF(AX10&gt;=2.5,10*(1-AV10),IF(AX10&gt;0,5*(1-AV10),0))))</f>
        <v>0</v>
      </c>
      <c r="AZ10" s="25">
        <f t="shared" ref="AZ10:AZ73" si="74">IF(AR10=1,AW10*AU10*10,0)</f>
        <v>0</v>
      </c>
      <c r="BA10" s="25" t="str">
        <f t="shared" ref="BA10:BA73" si="75">IF($D10="低木・草地",SUM(AX10:AY10),"")</f>
        <v/>
      </c>
      <c r="BB10" s="25" t="str">
        <f t="shared" ref="BB10:BB73" si="76">IF($D10="樹林",SUM(AX10:AZ10),"")</f>
        <v/>
      </c>
      <c r="BC10" s="25" t="str">
        <f t="shared" ref="BC10:BC73" si="77">IF($D10="湿性環境",IF(BG10+BH10&lt;60,0,(BG10+BH10)/2-30),"")</f>
        <v/>
      </c>
      <c r="BD10" s="25">
        <f>IF(ISERROR(VLOOKUP($K10,割合DB!$A:$B,2,FALSE))=TRUE,0,VLOOKUP($K10,割合DB!$A:$B,2,FALSE))</f>
        <v>0</v>
      </c>
      <c r="BE10" s="25">
        <f>IF(ISERROR(VLOOKUP($L10,割合DB!$A:$B,2,FALSE))=TRUE,0,VLOOKUP($L10,割合DB!$A:$B,2,FALSE))</f>
        <v>0</v>
      </c>
      <c r="BF10" s="25">
        <f>IF(ISERROR(VLOOKUP($M10,割合DB!$A:$B,2,FALSE))=TRUE,0,VLOOKUP($M10,割合DB!$A:$B,2,FALSE))</f>
        <v>0</v>
      </c>
      <c r="BG10" s="25">
        <f t="shared" ref="BG10:BG73" si="78">((100-BD10)+(100-BE10))/2</f>
        <v>100</v>
      </c>
      <c r="BH10" s="18">
        <f t="shared" ref="BH10:BH73" si="79">100-BF10</f>
        <v>100</v>
      </c>
      <c r="BI10" s="18">
        <f t="shared" si="33"/>
        <v>1</v>
      </c>
      <c r="BJ10" s="176"/>
      <c r="BK10" s="176"/>
      <c r="BL10" s="176"/>
      <c r="BM10" s="176"/>
      <c r="BN10" s="176"/>
      <c r="BO10" s="176"/>
      <c r="BP10" s="176"/>
      <c r="BQ10" s="176"/>
      <c r="BR10" s="176"/>
      <c r="BS10" s="176"/>
      <c r="BT10" s="176"/>
      <c r="BU10" s="176"/>
      <c r="BV10" s="176"/>
      <c r="BW10" s="176"/>
      <c r="BX10" s="176"/>
      <c r="BY10" s="176"/>
      <c r="BZ10" s="176"/>
      <c r="CA10" s="176"/>
    </row>
    <row r="11" spans="1:79" ht="27" customHeight="1" x14ac:dyDescent="0.15">
      <c r="A11" s="160" t="s">
        <v>503</v>
      </c>
      <c r="B11" s="21"/>
      <c r="C11" s="19"/>
      <c r="D11" s="40" t="str">
        <f t="shared" si="31"/>
        <v/>
      </c>
      <c r="E11" s="19"/>
      <c r="F11" s="26"/>
      <c r="G11" s="21"/>
      <c r="H11" s="22"/>
      <c r="I11" s="22"/>
      <c r="J11" s="22"/>
      <c r="K11" s="23"/>
      <c r="L11" s="23"/>
      <c r="M11" s="23"/>
      <c r="N11" s="146"/>
      <c r="O11" s="40">
        <f t="shared" si="57"/>
        <v>0</v>
      </c>
      <c r="P11" s="183" t="str">
        <f t="shared" si="58"/>
        <v/>
      </c>
      <c r="S11" s="18">
        <f t="shared" si="32"/>
        <v>0</v>
      </c>
      <c r="T11" s="18">
        <f t="shared" si="2"/>
        <v>0</v>
      </c>
      <c r="U11" s="18">
        <f>IF(C11="人工面",0,IF(G11="",0,IF(D11="湿性環境",VLOOKUP(G11,環境タイプⅡによる点数DB!A:B,2,FALSE),IF(D11="樹林",VLOOKUP(G11,環境タイプⅡによる点数DB!A:C,3,FALSE),IF(D11="低木・草地",VLOOKUP(G11,環境タイプⅡによる点数DB!A:D,4,FALSE),0)))))</f>
        <v>0</v>
      </c>
      <c r="V11" s="24" t="str">
        <f>$H11&amp;"in"&amp;基本情報!$C$13</f>
        <v>in</v>
      </c>
      <c r="W11" s="24">
        <f t="shared" si="3"/>
        <v>0</v>
      </c>
      <c r="X11" s="24">
        <f>IF($H11="",0,IF($D11="樹林",IF(ISERROR(VLOOKUP($V11,市町村・植物種ごとの樹林点数DB!$A:$G,7,FALSE))=TRUE,20,VLOOKUP($V11,市町村・植物種ごとの樹林点数DB!$A:$G,7,FALSE)),IF($D11="低木・草地",IF($H11="【ススキ】・【ネザサ】・【チガヤ】",45,10),0)))</f>
        <v>0</v>
      </c>
      <c r="Y11" s="24">
        <f t="shared" si="59"/>
        <v>0</v>
      </c>
      <c r="Z11" s="24">
        <f t="shared" si="60"/>
        <v>1</v>
      </c>
      <c r="AA11" s="24">
        <f t="shared" si="61"/>
        <v>1</v>
      </c>
      <c r="AB11" s="24">
        <f t="shared" si="62"/>
        <v>0</v>
      </c>
      <c r="AC11" s="25">
        <f t="shared" si="63"/>
        <v>0</v>
      </c>
      <c r="AD11" s="25">
        <f t="shared" si="64"/>
        <v>0</v>
      </c>
      <c r="AE11" s="25">
        <f t="shared" si="65"/>
        <v>0</v>
      </c>
      <c r="AF11" s="25" t="str">
        <f t="shared" si="66"/>
        <v/>
      </c>
      <c r="AG11" s="25" t="str">
        <f t="shared" si="67"/>
        <v/>
      </c>
      <c r="AH11" s="25" t="str">
        <f t="shared" si="68"/>
        <v/>
      </c>
      <c r="AI11" s="25">
        <f>IF(ISERROR(VLOOKUP(K11,割合DB!$A:$B,2,FALSE))=TRUE,100,VLOOKUP(K11,割合DB!$A:$B,2,FALSE))</f>
        <v>100</v>
      </c>
      <c r="AJ11" s="25">
        <f>IF(ISERROR(VLOOKUP(L11,割合DB!$A:$B,2,FALSE))=TRUE,100,VLOOKUP(L11,割合DB!$A:$B,2,FALSE))</f>
        <v>100</v>
      </c>
      <c r="AK11" s="25">
        <f>IF(ISERROR(VLOOKUP(M11,割合DB!$A:$B,2,FALSE))=TRUE,100,VLOOKUP(M11,割合DB!$A:$B,2,FALSE))</f>
        <v>100</v>
      </c>
      <c r="AL11" s="25">
        <f t="shared" si="69"/>
        <v>0</v>
      </c>
      <c r="AM11" s="18">
        <f t="shared" si="70"/>
        <v>0</v>
      </c>
      <c r="AN11" s="18">
        <f t="shared" si="71"/>
        <v>0</v>
      </c>
      <c r="AO11" s="18">
        <f t="shared" si="17"/>
        <v>0</v>
      </c>
      <c r="AP11" s="18">
        <f>IF($C11="人工面",0,IF($G11="",70,IF($D11="湿性環境",VLOOKUP($G11,環境タイプⅡによる点数DB!$A:$B,2,FALSE),IF($D11="樹林",VLOOKUP($G11,環境タイプⅡによる点数DB!$A:$C,3,FALSE),IF($D11="低木・草地",VLOOKUP($G11,環境タイプⅡによる点数DB!$A:$D,4,FALSE),0)))))</f>
        <v>70</v>
      </c>
      <c r="AQ11" s="24" t="str">
        <f>$H11&amp;"in"&amp;基本情報!$C$13</f>
        <v>in</v>
      </c>
      <c r="AR11" s="24">
        <f t="shared" si="18"/>
        <v>0</v>
      </c>
      <c r="AS11" s="24">
        <f>IF($H11="",0,IF($D11="樹林",IF(ISERROR(VLOOKUP($V11,市町村・植物種ごとの樹林点数DB!$A:$F,6,FALSE))=TRUE,10,VLOOKUP($V11,市町村・植物種ごとの樹林点数DB!$A:$F,6,FALSE)),IF($D11="低木・草地",IF(OR($H11="【ススキ】・【ネザサ】・【チガヤ】",$H11="不明"),45,10),0)))</f>
        <v>0</v>
      </c>
      <c r="AT11" s="24">
        <f t="shared" si="19"/>
        <v>0</v>
      </c>
      <c r="AU11" s="24">
        <f t="shared" si="20"/>
        <v>1</v>
      </c>
      <c r="AV11" s="24">
        <f t="shared" si="21"/>
        <v>0</v>
      </c>
      <c r="AW11" s="24">
        <f t="shared" si="22"/>
        <v>1</v>
      </c>
      <c r="AX11" s="25">
        <f t="shared" si="72"/>
        <v>0</v>
      </c>
      <c r="AY11" s="25">
        <f t="shared" si="73"/>
        <v>0</v>
      </c>
      <c r="AZ11" s="25">
        <f t="shared" si="74"/>
        <v>0</v>
      </c>
      <c r="BA11" s="25" t="str">
        <f t="shared" si="75"/>
        <v/>
      </c>
      <c r="BB11" s="25" t="str">
        <f t="shared" si="76"/>
        <v/>
      </c>
      <c r="BC11" s="25" t="str">
        <f t="shared" si="77"/>
        <v/>
      </c>
      <c r="BD11" s="25">
        <f>IF(ISERROR(VLOOKUP($K11,割合DB!$A:$B,2,FALSE))=TRUE,0,VLOOKUP($K11,割合DB!$A:$B,2,FALSE))</f>
        <v>0</v>
      </c>
      <c r="BE11" s="25">
        <f>IF(ISERROR(VLOOKUP($L11,割合DB!$A:$B,2,FALSE))=TRUE,0,VLOOKUP($L11,割合DB!$A:$B,2,FALSE))</f>
        <v>0</v>
      </c>
      <c r="BF11" s="25">
        <f>IF(ISERROR(VLOOKUP($M11,割合DB!$A:$B,2,FALSE))=TRUE,0,VLOOKUP($M11,割合DB!$A:$B,2,FALSE))</f>
        <v>0</v>
      </c>
      <c r="BG11" s="25">
        <f t="shared" si="78"/>
        <v>100</v>
      </c>
      <c r="BH11" s="18">
        <f t="shared" si="79"/>
        <v>100</v>
      </c>
      <c r="BI11" s="18">
        <f t="shared" si="33"/>
        <v>1</v>
      </c>
      <c r="BJ11" s="176"/>
      <c r="BK11" s="176"/>
      <c r="BL11" s="176"/>
      <c r="BM11" s="176"/>
      <c r="BN11" s="176"/>
      <c r="BO11" s="176"/>
      <c r="BP11" s="176"/>
      <c r="BQ11" s="176"/>
      <c r="BR11" s="176"/>
      <c r="BS11" s="176"/>
      <c r="BT11" s="176"/>
      <c r="BU11" s="176"/>
      <c r="BV11" s="176"/>
      <c r="BW11" s="176"/>
      <c r="BX11" s="176"/>
      <c r="BY11" s="176"/>
      <c r="BZ11" s="176"/>
      <c r="CA11" s="176"/>
    </row>
    <row r="12" spans="1:79" ht="27" customHeight="1" x14ac:dyDescent="0.15">
      <c r="A12" s="160" t="s">
        <v>504</v>
      </c>
      <c r="B12" s="21"/>
      <c r="C12" s="19"/>
      <c r="D12" s="40" t="str">
        <f t="shared" si="31"/>
        <v/>
      </c>
      <c r="E12" s="19"/>
      <c r="F12" s="26"/>
      <c r="G12" s="21"/>
      <c r="H12" s="22"/>
      <c r="I12" s="22"/>
      <c r="J12" s="22"/>
      <c r="K12" s="23"/>
      <c r="L12" s="23"/>
      <c r="M12" s="23"/>
      <c r="N12" s="146"/>
      <c r="O12" s="40">
        <f t="shared" si="57"/>
        <v>0</v>
      </c>
      <c r="P12" s="183" t="str">
        <f t="shared" si="58"/>
        <v/>
      </c>
      <c r="S12" s="18">
        <f t="shared" si="32"/>
        <v>0</v>
      </c>
      <c r="T12" s="18">
        <f t="shared" si="2"/>
        <v>0</v>
      </c>
      <c r="U12" s="18">
        <f>IF(C12="人工面",0,IF(G12="",0,IF(D12="湿性環境",VLOOKUP(G12,環境タイプⅡによる点数DB!A:B,2,FALSE),IF(D12="樹林",VLOOKUP(G12,環境タイプⅡによる点数DB!A:C,3,FALSE),IF(D12="低木・草地",VLOOKUP(G12,環境タイプⅡによる点数DB!A:D,4,FALSE),0)))))</f>
        <v>0</v>
      </c>
      <c r="V12" s="24" t="str">
        <f>$H12&amp;"in"&amp;基本情報!$C$13</f>
        <v>in</v>
      </c>
      <c r="W12" s="24">
        <f t="shared" si="3"/>
        <v>0</v>
      </c>
      <c r="X12" s="24">
        <f>IF($H12="",0,IF($D12="樹林",IF(ISERROR(VLOOKUP($V12,市町村・植物種ごとの樹林点数DB!$A:$G,7,FALSE))=TRUE,20,VLOOKUP($V12,市町村・植物種ごとの樹林点数DB!$A:$G,7,FALSE)),IF($D12="低木・草地",IF($H12="【ススキ】・【ネザサ】・【チガヤ】",45,10),0)))</f>
        <v>0</v>
      </c>
      <c r="Y12" s="24">
        <f t="shared" si="59"/>
        <v>0</v>
      </c>
      <c r="Z12" s="24">
        <f t="shared" si="60"/>
        <v>1</v>
      </c>
      <c r="AA12" s="24">
        <f t="shared" si="61"/>
        <v>1</v>
      </c>
      <c r="AB12" s="24">
        <f t="shared" si="62"/>
        <v>0</v>
      </c>
      <c r="AC12" s="25">
        <f t="shared" si="63"/>
        <v>0</v>
      </c>
      <c r="AD12" s="25">
        <f t="shared" si="64"/>
        <v>0</v>
      </c>
      <c r="AE12" s="25">
        <f t="shared" si="65"/>
        <v>0</v>
      </c>
      <c r="AF12" s="25" t="str">
        <f t="shared" si="66"/>
        <v/>
      </c>
      <c r="AG12" s="25" t="str">
        <f t="shared" si="67"/>
        <v/>
      </c>
      <c r="AH12" s="25" t="str">
        <f t="shared" si="68"/>
        <v/>
      </c>
      <c r="AI12" s="25">
        <f>IF(ISERROR(VLOOKUP(K12,割合DB!$A:$B,2,FALSE))=TRUE,100,VLOOKUP(K12,割合DB!$A:$B,2,FALSE))</f>
        <v>100</v>
      </c>
      <c r="AJ12" s="25">
        <f>IF(ISERROR(VLOOKUP(L12,割合DB!$A:$B,2,FALSE))=TRUE,100,VLOOKUP(L12,割合DB!$A:$B,2,FALSE))</f>
        <v>100</v>
      </c>
      <c r="AK12" s="25">
        <f>IF(ISERROR(VLOOKUP(M12,割合DB!$A:$B,2,FALSE))=TRUE,100,VLOOKUP(M12,割合DB!$A:$B,2,FALSE))</f>
        <v>100</v>
      </c>
      <c r="AL12" s="25">
        <f t="shared" si="69"/>
        <v>0</v>
      </c>
      <c r="AM12" s="18">
        <f t="shared" si="70"/>
        <v>0</v>
      </c>
      <c r="AN12" s="18">
        <f t="shared" si="71"/>
        <v>0</v>
      </c>
      <c r="AO12" s="18">
        <f t="shared" si="17"/>
        <v>0</v>
      </c>
      <c r="AP12" s="18">
        <f>IF($C12="人工面",0,IF($G12="",70,IF($D12="湿性環境",VLOOKUP($G12,環境タイプⅡによる点数DB!$A:$B,2,FALSE),IF($D12="樹林",VLOOKUP($G12,環境タイプⅡによる点数DB!$A:$C,3,FALSE),IF($D12="低木・草地",VLOOKUP($G12,環境タイプⅡによる点数DB!$A:$D,4,FALSE),0)))))</f>
        <v>70</v>
      </c>
      <c r="AQ12" s="24" t="str">
        <f>$H12&amp;"in"&amp;基本情報!$C$13</f>
        <v>in</v>
      </c>
      <c r="AR12" s="24">
        <f t="shared" si="18"/>
        <v>0</v>
      </c>
      <c r="AS12" s="24">
        <f>IF($H12="",0,IF($D12="樹林",IF(ISERROR(VLOOKUP($V12,市町村・植物種ごとの樹林点数DB!$A:$F,6,FALSE))=TRUE,10,VLOOKUP($V12,市町村・植物種ごとの樹林点数DB!$A:$F,6,FALSE)),IF($D12="低木・草地",IF(OR($H12="【ススキ】・【ネザサ】・【チガヤ】",$H12="不明"),45,10),0)))</f>
        <v>0</v>
      </c>
      <c r="AT12" s="24">
        <f t="shared" si="19"/>
        <v>0</v>
      </c>
      <c r="AU12" s="24">
        <f t="shared" si="20"/>
        <v>1</v>
      </c>
      <c r="AV12" s="24">
        <f t="shared" si="21"/>
        <v>0</v>
      </c>
      <c r="AW12" s="24">
        <f t="shared" si="22"/>
        <v>1</v>
      </c>
      <c r="AX12" s="25">
        <f t="shared" si="72"/>
        <v>0</v>
      </c>
      <c r="AY12" s="25">
        <f t="shared" si="73"/>
        <v>0</v>
      </c>
      <c r="AZ12" s="25">
        <f t="shared" si="74"/>
        <v>0</v>
      </c>
      <c r="BA12" s="25" t="str">
        <f t="shared" si="75"/>
        <v/>
      </c>
      <c r="BB12" s="25" t="str">
        <f t="shared" si="76"/>
        <v/>
      </c>
      <c r="BC12" s="25" t="str">
        <f t="shared" si="77"/>
        <v/>
      </c>
      <c r="BD12" s="25">
        <f>IF(ISERROR(VLOOKUP($K12,割合DB!$A:$B,2,FALSE))=TRUE,0,VLOOKUP($K12,割合DB!$A:$B,2,FALSE))</f>
        <v>0</v>
      </c>
      <c r="BE12" s="25">
        <f>IF(ISERROR(VLOOKUP($L12,割合DB!$A:$B,2,FALSE))=TRUE,0,VLOOKUP($L12,割合DB!$A:$B,2,FALSE))</f>
        <v>0</v>
      </c>
      <c r="BF12" s="25">
        <f>IF(ISERROR(VLOOKUP($M12,割合DB!$A:$B,2,FALSE))=TRUE,0,VLOOKUP($M12,割合DB!$A:$B,2,FALSE))</f>
        <v>0</v>
      </c>
      <c r="BG12" s="25">
        <f t="shared" si="78"/>
        <v>100</v>
      </c>
      <c r="BH12" s="18">
        <f t="shared" si="79"/>
        <v>100</v>
      </c>
      <c r="BI12" s="18">
        <f t="shared" si="33"/>
        <v>1</v>
      </c>
      <c r="BJ12" s="176"/>
      <c r="BK12" s="176"/>
      <c r="BL12" s="176"/>
      <c r="BM12" s="176"/>
      <c r="BN12" s="176"/>
      <c r="BO12" s="176"/>
      <c r="BP12" s="176"/>
      <c r="BQ12" s="176"/>
      <c r="BR12" s="176"/>
      <c r="BS12" s="176"/>
      <c r="BT12" s="176"/>
      <c r="BU12" s="176"/>
      <c r="BV12" s="176"/>
      <c r="BW12" s="176"/>
      <c r="BX12" s="176"/>
      <c r="BY12" s="176"/>
      <c r="BZ12" s="176"/>
      <c r="CA12" s="176"/>
    </row>
    <row r="13" spans="1:79" ht="27" customHeight="1" x14ac:dyDescent="0.15">
      <c r="A13" s="160" t="s">
        <v>505</v>
      </c>
      <c r="B13" s="21"/>
      <c r="C13" s="19"/>
      <c r="D13" s="40" t="str">
        <f t="shared" si="31"/>
        <v/>
      </c>
      <c r="E13" s="19"/>
      <c r="F13" s="26"/>
      <c r="G13" s="21"/>
      <c r="H13" s="22"/>
      <c r="I13" s="22"/>
      <c r="J13" s="22"/>
      <c r="K13" s="23"/>
      <c r="L13" s="23"/>
      <c r="M13" s="23"/>
      <c r="N13" s="146"/>
      <c r="O13" s="40">
        <f t="shared" si="57"/>
        <v>0</v>
      </c>
      <c r="P13" s="183" t="str">
        <f t="shared" si="58"/>
        <v/>
      </c>
      <c r="S13" s="18">
        <f t="shared" si="32"/>
        <v>0</v>
      </c>
      <c r="T13" s="18">
        <f t="shared" si="2"/>
        <v>0</v>
      </c>
      <c r="U13" s="18">
        <f>IF(C13="人工面",0,IF(G13="",0,IF(D13="湿性環境",VLOOKUP(G13,環境タイプⅡによる点数DB!A:B,2,FALSE),IF(D13="樹林",VLOOKUP(G13,環境タイプⅡによる点数DB!A:C,3,FALSE),IF(D13="低木・草地",VLOOKUP(G13,環境タイプⅡによる点数DB!A:D,4,FALSE),0)))))</f>
        <v>0</v>
      </c>
      <c r="V13" s="24" t="str">
        <f>$H13&amp;"in"&amp;基本情報!$C$13</f>
        <v>in</v>
      </c>
      <c r="W13" s="24">
        <f t="shared" si="3"/>
        <v>0</v>
      </c>
      <c r="X13" s="24">
        <f>IF($H13="",0,IF($D13="樹林",IF(ISERROR(VLOOKUP($V13,市町村・植物種ごとの樹林点数DB!$A:$G,7,FALSE))=TRUE,20,VLOOKUP($V13,市町村・植物種ごとの樹林点数DB!$A:$G,7,FALSE)),IF($D13="低木・草地",IF($H13="【ススキ】・【ネザサ】・【チガヤ】",45,10),0)))</f>
        <v>0</v>
      </c>
      <c r="Y13" s="24">
        <f t="shared" si="59"/>
        <v>0</v>
      </c>
      <c r="Z13" s="24">
        <f t="shared" si="60"/>
        <v>1</v>
      </c>
      <c r="AA13" s="24">
        <f t="shared" si="61"/>
        <v>1</v>
      </c>
      <c r="AB13" s="24">
        <f t="shared" si="62"/>
        <v>0</v>
      </c>
      <c r="AC13" s="25">
        <f t="shared" si="63"/>
        <v>0</v>
      </c>
      <c r="AD13" s="25">
        <f t="shared" si="64"/>
        <v>0</v>
      </c>
      <c r="AE13" s="25">
        <f t="shared" si="65"/>
        <v>0</v>
      </c>
      <c r="AF13" s="25" t="str">
        <f t="shared" si="66"/>
        <v/>
      </c>
      <c r="AG13" s="25" t="str">
        <f t="shared" si="67"/>
        <v/>
      </c>
      <c r="AH13" s="25" t="str">
        <f t="shared" si="68"/>
        <v/>
      </c>
      <c r="AI13" s="25">
        <f>IF(ISERROR(VLOOKUP(K13,割合DB!$A:$B,2,FALSE))=TRUE,100,VLOOKUP(K13,割合DB!$A:$B,2,FALSE))</f>
        <v>100</v>
      </c>
      <c r="AJ13" s="25">
        <f>IF(ISERROR(VLOOKUP(L13,割合DB!$A:$B,2,FALSE))=TRUE,100,VLOOKUP(L13,割合DB!$A:$B,2,FALSE))</f>
        <v>100</v>
      </c>
      <c r="AK13" s="25">
        <f>IF(ISERROR(VLOOKUP(M13,割合DB!$A:$B,2,FALSE))=TRUE,100,VLOOKUP(M13,割合DB!$A:$B,2,FALSE))</f>
        <v>100</v>
      </c>
      <c r="AL13" s="25">
        <f t="shared" si="69"/>
        <v>0</v>
      </c>
      <c r="AM13" s="18">
        <f t="shared" si="70"/>
        <v>0</v>
      </c>
      <c r="AN13" s="18">
        <f t="shared" si="71"/>
        <v>0</v>
      </c>
      <c r="AO13" s="18">
        <f t="shared" si="17"/>
        <v>0</v>
      </c>
      <c r="AP13" s="18">
        <f>IF($C13="人工面",0,IF($G13="",70,IF($D13="湿性環境",VLOOKUP($G13,環境タイプⅡによる点数DB!$A:$B,2,FALSE),IF($D13="樹林",VLOOKUP($G13,環境タイプⅡによる点数DB!$A:$C,3,FALSE),IF($D13="低木・草地",VLOOKUP($G13,環境タイプⅡによる点数DB!$A:$D,4,FALSE),0)))))</f>
        <v>70</v>
      </c>
      <c r="AQ13" s="24" t="str">
        <f>$H13&amp;"in"&amp;基本情報!$C$13</f>
        <v>in</v>
      </c>
      <c r="AR13" s="24">
        <f t="shared" si="18"/>
        <v>0</v>
      </c>
      <c r="AS13" s="24">
        <f>IF($H13="",0,IF($D13="樹林",IF(ISERROR(VLOOKUP($V13,市町村・植物種ごとの樹林点数DB!$A:$F,6,FALSE))=TRUE,10,VLOOKUP($V13,市町村・植物種ごとの樹林点数DB!$A:$F,6,FALSE)),IF($D13="低木・草地",IF(OR($H13="【ススキ】・【ネザサ】・【チガヤ】",$H13="不明"),45,10),0)))</f>
        <v>0</v>
      </c>
      <c r="AT13" s="24">
        <f t="shared" si="19"/>
        <v>0</v>
      </c>
      <c r="AU13" s="24">
        <f t="shared" si="20"/>
        <v>1</v>
      </c>
      <c r="AV13" s="24">
        <f t="shared" si="21"/>
        <v>0</v>
      </c>
      <c r="AW13" s="24">
        <f t="shared" si="22"/>
        <v>1</v>
      </c>
      <c r="AX13" s="25">
        <f t="shared" si="72"/>
        <v>0</v>
      </c>
      <c r="AY13" s="25">
        <f t="shared" si="73"/>
        <v>0</v>
      </c>
      <c r="AZ13" s="25">
        <f t="shared" si="74"/>
        <v>0</v>
      </c>
      <c r="BA13" s="25" t="str">
        <f t="shared" si="75"/>
        <v/>
      </c>
      <c r="BB13" s="25" t="str">
        <f t="shared" si="76"/>
        <v/>
      </c>
      <c r="BC13" s="25" t="str">
        <f t="shared" si="77"/>
        <v/>
      </c>
      <c r="BD13" s="25">
        <f>IF(ISERROR(VLOOKUP($K13,割合DB!$A:$B,2,FALSE))=TRUE,0,VLOOKUP($K13,割合DB!$A:$B,2,FALSE))</f>
        <v>0</v>
      </c>
      <c r="BE13" s="25">
        <f>IF(ISERROR(VLOOKUP($L13,割合DB!$A:$B,2,FALSE))=TRUE,0,VLOOKUP($L13,割合DB!$A:$B,2,FALSE))</f>
        <v>0</v>
      </c>
      <c r="BF13" s="25">
        <f>IF(ISERROR(VLOOKUP($M13,割合DB!$A:$B,2,FALSE))=TRUE,0,VLOOKUP($M13,割合DB!$A:$B,2,FALSE))</f>
        <v>0</v>
      </c>
      <c r="BG13" s="25">
        <f t="shared" si="78"/>
        <v>100</v>
      </c>
      <c r="BH13" s="18">
        <f t="shared" si="79"/>
        <v>100</v>
      </c>
      <c r="BI13" s="18">
        <f t="shared" si="33"/>
        <v>1</v>
      </c>
      <c r="BJ13" s="176"/>
      <c r="BK13" s="176"/>
      <c r="BL13" s="176"/>
      <c r="BM13" s="176"/>
      <c r="BN13" s="176"/>
      <c r="BO13" s="176"/>
      <c r="BP13" s="176"/>
      <c r="BQ13" s="176"/>
      <c r="BR13" s="176"/>
      <c r="BS13" s="176"/>
      <c r="BT13" s="176"/>
      <c r="BU13" s="176"/>
      <c r="BV13" s="176"/>
      <c r="BW13" s="176"/>
      <c r="BX13" s="176"/>
      <c r="BY13" s="176"/>
      <c r="BZ13" s="176"/>
      <c r="CA13" s="176"/>
    </row>
    <row r="14" spans="1:79" ht="27" customHeight="1" x14ac:dyDescent="0.15">
      <c r="A14" s="160" t="s">
        <v>506</v>
      </c>
      <c r="B14" s="21"/>
      <c r="C14" s="19"/>
      <c r="D14" s="40" t="str">
        <f t="shared" si="31"/>
        <v/>
      </c>
      <c r="E14" s="19"/>
      <c r="F14" s="26"/>
      <c r="G14" s="21"/>
      <c r="H14" s="22"/>
      <c r="I14" s="22"/>
      <c r="J14" s="22"/>
      <c r="K14" s="23"/>
      <c r="L14" s="23"/>
      <c r="M14" s="23"/>
      <c r="N14" s="146"/>
      <c r="O14" s="40">
        <f t="shared" si="57"/>
        <v>0</v>
      </c>
      <c r="P14" s="183" t="str">
        <f t="shared" si="58"/>
        <v/>
      </c>
      <c r="S14" s="18">
        <f t="shared" si="32"/>
        <v>0</v>
      </c>
      <c r="T14" s="18">
        <f t="shared" si="2"/>
        <v>0</v>
      </c>
      <c r="U14" s="18">
        <f>IF(C14="人工面",0,IF(G14="",0,IF(D14="湿性環境",VLOOKUP(G14,環境タイプⅡによる点数DB!A:B,2,FALSE),IF(D14="樹林",VLOOKUP(G14,環境タイプⅡによる点数DB!A:C,3,FALSE),IF(D14="低木・草地",VLOOKUP(G14,環境タイプⅡによる点数DB!A:D,4,FALSE),0)))))</f>
        <v>0</v>
      </c>
      <c r="V14" s="24" t="str">
        <f>$H14&amp;"in"&amp;基本情報!$C$13</f>
        <v>in</v>
      </c>
      <c r="W14" s="24">
        <f t="shared" si="3"/>
        <v>0</v>
      </c>
      <c r="X14" s="24">
        <f>IF($H14="",0,IF($D14="樹林",IF(ISERROR(VLOOKUP($V14,市町村・植物種ごとの樹林点数DB!$A:$G,7,FALSE))=TRUE,20,VLOOKUP($V14,市町村・植物種ごとの樹林点数DB!$A:$G,7,FALSE)),IF($D14="低木・草地",IF($H14="【ススキ】・【ネザサ】・【チガヤ】",45,10),0)))</f>
        <v>0</v>
      </c>
      <c r="Y14" s="24">
        <f t="shared" si="59"/>
        <v>0</v>
      </c>
      <c r="Z14" s="24">
        <f t="shared" si="60"/>
        <v>1</v>
      </c>
      <c r="AA14" s="24">
        <f t="shared" si="61"/>
        <v>1</v>
      </c>
      <c r="AB14" s="24">
        <f t="shared" si="62"/>
        <v>0</v>
      </c>
      <c r="AC14" s="25">
        <f t="shared" si="63"/>
        <v>0</v>
      </c>
      <c r="AD14" s="25">
        <f t="shared" si="64"/>
        <v>0</v>
      </c>
      <c r="AE14" s="25">
        <f t="shared" si="65"/>
        <v>0</v>
      </c>
      <c r="AF14" s="25" t="str">
        <f t="shared" si="66"/>
        <v/>
      </c>
      <c r="AG14" s="25" t="str">
        <f t="shared" si="67"/>
        <v/>
      </c>
      <c r="AH14" s="25" t="str">
        <f t="shared" si="68"/>
        <v/>
      </c>
      <c r="AI14" s="25">
        <f>IF(ISERROR(VLOOKUP(K14,割合DB!$A:$B,2,FALSE))=TRUE,100,VLOOKUP(K14,割合DB!$A:$B,2,FALSE))</f>
        <v>100</v>
      </c>
      <c r="AJ14" s="25">
        <f>IF(ISERROR(VLOOKUP(L14,割合DB!$A:$B,2,FALSE))=TRUE,100,VLOOKUP(L14,割合DB!$A:$B,2,FALSE))</f>
        <v>100</v>
      </c>
      <c r="AK14" s="25">
        <f>IF(ISERROR(VLOOKUP(M14,割合DB!$A:$B,2,FALSE))=TRUE,100,VLOOKUP(M14,割合DB!$A:$B,2,FALSE))</f>
        <v>100</v>
      </c>
      <c r="AL14" s="25">
        <f t="shared" si="69"/>
        <v>0</v>
      </c>
      <c r="AM14" s="18">
        <f t="shared" si="70"/>
        <v>0</v>
      </c>
      <c r="AN14" s="18">
        <f t="shared" si="71"/>
        <v>0</v>
      </c>
      <c r="AO14" s="18">
        <f t="shared" si="17"/>
        <v>0</v>
      </c>
      <c r="AP14" s="18">
        <f>IF($C14="人工面",0,IF($G14="",70,IF($D14="湿性環境",VLOOKUP($G14,環境タイプⅡによる点数DB!$A:$B,2,FALSE),IF($D14="樹林",VLOOKUP($G14,環境タイプⅡによる点数DB!$A:$C,3,FALSE),IF($D14="低木・草地",VLOOKUP($G14,環境タイプⅡによる点数DB!$A:$D,4,FALSE),0)))))</f>
        <v>70</v>
      </c>
      <c r="AQ14" s="24" t="str">
        <f>$H14&amp;"in"&amp;基本情報!$C$13</f>
        <v>in</v>
      </c>
      <c r="AR14" s="24">
        <f t="shared" si="18"/>
        <v>0</v>
      </c>
      <c r="AS14" s="24">
        <f>IF($H14="",0,IF($D14="樹林",IF(ISERROR(VLOOKUP($V14,市町村・植物種ごとの樹林点数DB!$A:$F,6,FALSE))=TRUE,10,VLOOKUP($V14,市町村・植物種ごとの樹林点数DB!$A:$F,6,FALSE)),IF($D14="低木・草地",IF(OR($H14="【ススキ】・【ネザサ】・【チガヤ】",$H14="不明"),45,10),0)))</f>
        <v>0</v>
      </c>
      <c r="AT14" s="24">
        <f t="shared" si="19"/>
        <v>0</v>
      </c>
      <c r="AU14" s="24">
        <f t="shared" si="20"/>
        <v>1</v>
      </c>
      <c r="AV14" s="24">
        <f t="shared" si="21"/>
        <v>0</v>
      </c>
      <c r="AW14" s="24">
        <f t="shared" si="22"/>
        <v>1</v>
      </c>
      <c r="AX14" s="25">
        <f t="shared" si="72"/>
        <v>0</v>
      </c>
      <c r="AY14" s="25">
        <f t="shared" si="73"/>
        <v>0</v>
      </c>
      <c r="AZ14" s="25">
        <f t="shared" si="74"/>
        <v>0</v>
      </c>
      <c r="BA14" s="25" t="str">
        <f t="shared" si="75"/>
        <v/>
      </c>
      <c r="BB14" s="25" t="str">
        <f t="shared" si="76"/>
        <v/>
      </c>
      <c r="BC14" s="25" t="str">
        <f t="shared" si="77"/>
        <v/>
      </c>
      <c r="BD14" s="25">
        <f>IF(ISERROR(VLOOKUP($K14,割合DB!$A:$B,2,FALSE))=TRUE,0,VLOOKUP($K14,割合DB!$A:$B,2,FALSE))</f>
        <v>0</v>
      </c>
      <c r="BE14" s="25">
        <f>IF(ISERROR(VLOOKUP($L14,割合DB!$A:$B,2,FALSE))=TRUE,0,VLOOKUP($L14,割合DB!$A:$B,2,FALSE))</f>
        <v>0</v>
      </c>
      <c r="BF14" s="25">
        <f>IF(ISERROR(VLOOKUP($M14,割合DB!$A:$B,2,FALSE))=TRUE,0,VLOOKUP($M14,割合DB!$A:$B,2,FALSE))</f>
        <v>0</v>
      </c>
      <c r="BG14" s="25">
        <f t="shared" si="78"/>
        <v>100</v>
      </c>
      <c r="BH14" s="18">
        <f t="shared" si="79"/>
        <v>100</v>
      </c>
      <c r="BI14" s="18">
        <f t="shared" si="33"/>
        <v>1</v>
      </c>
      <c r="BJ14" s="176"/>
      <c r="BK14" s="176"/>
      <c r="BL14" s="176"/>
      <c r="BM14" s="176"/>
      <c r="BN14" s="176"/>
      <c r="BO14" s="176"/>
      <c r="BP14" s="176"/>
      <c r="BQ14" s="176"/>
      <c r="BR14" s="176"/>
      <c r="BS14" s="176"/>
      <c r="BT14" s="176"/>
      <c r="BU14" s="176"/>
      <c r="BV14" s="176"/>
      <c r="BW14" s="176"/>
      <c r="BX14" s="176"/>
      <c r="BY14" s="176"/>
      <c r="BZ14" s="176"/>
      <c r="CA14" s="176"/>
    </row>
    <row r="15" spans="1:79" ht="27" customHeight="1" x14ac:dyDescent="0.15">
      <c r="A15" s="160" t="s">
        <v>507</v>
      </c>
      <c r="B15" s="21"/>
      <c r="C15" s="19"/>
      <c r="D15" s="40" t="str">
        <f t="shared" si="31"/>
        <v/>
      </c>
      <c r="E15" s="19"/>
      <c r="F15" s="26"/>
      <c r="G15" s="21"/>
      <c r="H15" s="22"/>
      <c r="I15" s="22"/>
      <c r="J15" s="22"/>
      <c r="K15" s="23"/>
      <c r="L15" s="23"/>
      <c r="M15" s="23"/>
      <c r="N15" s="146"/>
      <c r="O15" s="40">
        <f t="shared" si="57"/>
        <v>0</v>
      </c>
      <c r="P15" s="183" t="str">
        <f t="shared" si="58"/>
        <v/>
      </c>
      <c r="S15" s="18">
        <f t="shared" si="32"/>
        <v>0</v>
      </c>
      <c r="T15" s="18">
        <f t="shared" si="2"/>
        <v>0</v>
      </c>
      <c r="U15" s="18">
        <f>IF(C15="人工面",0,IF(G15="",0,IF(D15="湿性環境",VLOOKUP(G15,環境タイプⅡによる点数DB!A:B,2,FALSE),IF(D15="樹林",VLOOKUP(G15,環境タイプⅡによる点数DB!A:C,3,FALSE),IF(D15="低木・草地",VLOOKUP(G15,環境タイプⅡによる点数DB!A:D,4,FALSE),0)))))</f>
        <v>0</v>
      </c>
      <c r="V15" s="24" t="str">
        <f>$H15&amp;"in"&amp;基本情報!$C$13</f>
        <v>in</v>
      </c>
      <c r="W15" s="24">
        <f t="shared" si="3"/>
        <v>0</v>
      </c>
      <c r="X15" s="24">
        <f>IF($H15="",0,IF($D15="樹林",IF(ISERROR(VLOOKUP($V15,市町村・植物種ごとの樹林点数DB!$A:$G,7,FALSE))=TRUE,20,VLOOKUP($V15,市町村・植物種ごとの樹林点数DB!$A:$G,7,FALSE)),IF($D15="低木・草地",IF($H15="【ススキ】・【ネザサ】・【チガヤ】",45,10),0)))</f>
        <v>0</v>
      </c>
      <c r="Y15" s="24">
        <f t="shared" si="59"/>
        <v>0</v>
      </c>
      <c r="Z15" s="24">
        <f t="shared" si="60"/>
        <v>1</v>
      </c>
      <c r="AA15" s="24">
        <f t="shared" si="61"/>
        <v>1</v>
      </c>
      <c r="AB15" s="24">
        <f t="shared" si="62"/>
        <v>0</v>
      </c>
      <c r="AC15" s="25">
        <f t="shared" si="63"/>
        <v>0</v>
      </c>
      <c r="AD15" s="25">
        <f t="shared" si="64"/>
        <v>0</v>
      </c>
      <c r="AE15" s="25">
        <f t="shared" si="65"/>
        <v>0</v>
      </c>
      <c r="AF15" s="25" t="str">
        <f t="shared" si="66"/>
        <v/>
      </c>
      <c r="AG15" s="25" t="str">
        <f t="shared" si="67"/>
        <v/>
      </c>
      <c r="AH15" s="25" t="str">
        <f t="shared" si="68"/>
        <v/>
      </c>
      <c r="AI15" s="25">
        <f>IF(ISERROR(VLOOKUP(K15,割合DB!$A:$B,2,FALSE))=TRUE,100,VLOOKUP(K15,割合DB!$A:$B,2,FALSE))</f>
        <v>100</v>
      </c>
      <c r="AJ15" s="25">
        <f>IF(ISERROR(VLOOKUP(L15,割合DB!$A:$B,2,FALSE))=TRUE,100,VLOOKUP(L15,割合DB!$A:$B,2,FALSE))</f>
        <v>100</v>
      </c>
      <c r="AK15" s="25">
        <f>IF(ISERROR(VLOOKUP(M15,割合DB!$A:$B,2,FALSE))=TRUE,100,VLOOKUP(M15,割合DB!$A:$B,2,FALSE))</f>
        <v>100</v>
      </c>
      <c r="AL15" s="25">
        <f t="shared" si="69"/>
        <v>0</v>
      </c>
      <c r="AM15" s="18">
        <f t="shared" si="70"/>
        <v>0</v>
      </c>
      <c r="AN15" s="18">
        <f t="shared" si="71"/>
        <v>0</v>
      </c>
      <c r="AO15" s="18">
        <f t="shared" si="17"/>
        <v>0</v>
      </c>
      <c r="AP15" s="18">
        <f>IF($C15="人工面",0,IF($G15="",70,IF($D15="湿性環境",VLOOKUP($G15,環境タイプⅡによる点数DB!$A:$B,2,FALSE),IF($D15="樹林",VLOOKUP($G15,環境タイプⅡによる点数DB!$A:$C,3,FALSE),IF($D15="低木・草地",VLOOKUP($G15,環境タイプⅡによる点数DB!$A:$D,4,FALSE),0)))))</f>
        <v>70</v>
      </c>
      <c r="AQ15" s="24" t="str">
        <f>$H15&amp;"in"&amp;基本情報!$C$13</f>
        <v>in</v>
      </c>
      <c r="AR15" s="24">
        <f t="shared" si="18"/>
        <v>0</v>
      </c>
      <c r="AS15" s="24">
        <f>IF($H15="",0,IF($D15="樹林",IF(ISERROR(VLOOKUP($V15,市町村・植物種ごとの樹林点数DB!$A:$F,6,FALSE))=TRUE,10,VLOOKUP($V15,市町村・植物種ごとの樹林点数DB!$A:$F,6,FALSE)),IF($D15="低木・草地",IF(OR($H15="【ススキ】・【ネザサ】・【チガヤ】",$H15="不明"),45,10),0)))</f>
        <v>0</v>
      </c>
      <c r="AT15" s="24">
        <f t="shared" si="19"/>
        <v>0</v>
      </c>
      <c r="AU15" s="24">
        <f t="shared" si="20"/>
        <v>1</v>
      </c>
      <c r="AV15" s="24">
        <f t="shared" si="21"/>
        <v>0</v>
      </c>
      <c r="AW15" s="24">
        <f t="shared" si="22"/>
        <v>1</v>
      </c>
      <c r="AX15" s="25">
        <f t="shared" si="72"/>
        <v>0</v>
      </c>
      <c r="AY15" s="25">
        <f t="shared" si="73"/>
        <v>0</v>
      </c>
      <c r="AZ15" s="25">
        <f t="shared" si="74"/>
        <v>0</v>
      </c>
      <c r="BA15" s="25" t="str">
        <f t="shared" si="75"/>
        <v/>
      </c>
      <c r="BB15" s="25" t="str">
        <f t="shared" si="76"/>
        <v/>
      </c>
      <c r="BC15" s="25" t="str">
        <f t="shared" si="77"/>
        <v/>
      </c>
      <c r="BD15" s="25">
        <f>IF(ISERROR(VLOOKUP($K15,割合DB!$A:$B,2,FALSE))=TRUE,0,VLOOKUP($K15,割合DB!$A:$B,2,FALSE))</f>
        <v>0</v>
      </c>
      <c r="BE15" s="25">
        <f>IF(ISERROR(VLOOKUP($L15,割合DB!$A:$B,2,FALSE))=TRUE,0,VLOOKUP($L15,割合DB!$A:$B,2,FALSE))</f>
        <v>0</v>
      </c>
      <c r="BF15" s="25">
        <f>IF(ISERROR(VLOOKUP($M15,割合DB!$A:$B,2,FALSE))=TRUE,0,VLOOKUP($M15,割合DB!$A:$B,2,FALSE))</f>
        <v>0</v>
      </c>
      <c r="BG15" s="25">
        <f t="shared" si="78"/>
        <v>100</v>
      </c>
      <c r="BH15" s="18">
        <f t="shared" si="79"/>
        <v>100</v>
      </c>
      <c r="BI15" s="18">
        <f t="shared" si="33"/>
        <v>1</v>
      </c>
      <c r="BJ15" s="176"/>
      <c r="BK15" s="176"/>
      <c r="BL15" s="176"/>
      <c r="BM15" s="176"/>
      <c r="BN15" s="176"/>
      <c r="BO15" s="176"/>
      <c r="BP15" s="176"/>
      <c r="BQ15" s="176"/>
      <c r="BR15" s="176"/>
      <c r="BS15" s="176"/>
      <c r="BT15" s="176"/>
      <c r="BU15" s="176"/>
      <c r="BV15" s="176"/>
      <c r="BW15" s="176"/>
      <c r="BX15" s="176"/>
      <c r="BY15" s="176"/>
      <c r="BZ15" s="176"/>
      <c r="CA15" s="176"/>
    </row>
    <row r="16" spans="1:79" ht="27" customHeight="1" x14ac:dyDescent="0.15">
      <c r="A16" s="160" t="s">
        <v>508</v>
      </c>
      <c r="B16" s="21"/>
      <c r="C16" s="19"/>
      <c r="D16" s="40" t="str">
        <f t="shared" si="31"/>
        <v/>
      </c>
      <c r="E16" s="19"/>
      <c r="F16" s="26"/>
      <c r="G16" s="21"/>
      <c r="H16" s="22"/>
      <c r="I16" s="22"/>
      <c r="J16" s="22"/>
      <c r="K16" s="23"/>
      <c r="L16" s="23"/>
      <c r="M16" s="23"/>
      <c r="N16" s="146"/>
      <c r="O16" s="40">
        <f t="shared" si="57"/>
        <v>0</v>
      </c>
      <c r="P16" s="183" t="str">
        <f t="shared" si="58"/>
        <v/>
      </c>
      <c r="S16" s="18">
        <f t="shared" si="32"/>
        <v>0</v>
      </c>
      <c r="T16" s="18">
        <f t="shared" si="2"/>
        <v>0</v>
      </c>
      <c r="U16" s="18">
        <f>IF(C16="人工面",0,IF(G16="",0,IF(D16="湿性環境",VLOOKUP(G16,環境タイプⅡによる点数DB!A:B,2,FALSE),IF(D16="樹林",VLOOKUP(G16,環境タイプⅡによる点数DB!A:C,3,FALSE),IF(D16="低木・草地",VLOOKUP(G16,環境タイプⅡによる点数DB!A:D,4,FALSE),0)))))</f>
        <v>0</v>
      </c>
      <c r="V16" s="24" t="str">
        <f>$H16&amp;"in"&amp;基本情報!$C$13</f>
        <v>in</v>
      </c>
      <c r="W16" s="24">
        <f t="shared" si="3"/>
        <v>0</v>
      </c>
      <c r="X16" s="24">
        <f>IF($H16="",0,IF($D16="樹林",IF(ISERROR(VLOOKUP($V16,市町村・植物種ごとの樹林点数DB!$A:$G,7,FALSE))=TRUE,20,VLOOKUP($V16,市町村・植物種ごとの樹林点数DB!$A:$G,7,FALSE)),IF($D16="低木・草地",IF($H16="【ススキ】・【ネザサ】・【チガヤ】",45,10),0)))</f>
        <v>0</v>
      </c>
      <c r="Y16" s="24">
        <f t="shared" si="59"/>
        <v>0</v>
      </c>
      <c r="Z16" s="24">
        <f t="shared" si="60"/>
        <v>1</v>
      </c>
      <c r="AA16" s="24">
        <f t="shared" si="61"/>
        <v>1</v>
      </c>
      <c r="AB16" s="24">
        <f t="shared" si="62"/>
        <v>0</v>
      </c>
      <c r="AC16" s="25">
        <f t="shared" si="63"/>
        <v>0</v>
      </c>
      <c r="AD16" s="25">
        <f t="shared" si="64"/>
        <v>0</v>
      </c>
      <c r="AE16" s="25">
        <f t="shared" si="65"/>
        <v>0</v>
      </c>
      <c r="AF16" s="25" t="str">
        <f t="shared" si="66"/>
        <v/>
      </c>
      <c r="AG16" s="25" t="str">
        <f t="shared" si="67"/>
        <v/>
      </c>
      <c r="AH16" s="25" t="str">
        <f t="shared" si="68"/>
        <v/>
      </c>
      <c r="AI16" s="25">
        <f>IF(ISERROR(VLOOKUP(K16,割合DB!$A:$B,2,FALSE))=TRUE,100,VLOOKUP(K16,割合DB!$A:$B,2,FALSE))</f>
        <v>100</v>
      </c>
      <c r="AJ16" s="25">
        <f>IF(ISERROR(VLOOKUP(L16,割合DB!$A:$B,2,FALSE))=TRUE,100,VLOOKUP(L16,割合DB!$A:$B,2,FALSE))</f>
        <v>100</v>
      </c>
      <c r="AK16" s="25">
        <f>IF(ISERROR(VLOOKUP(M16,割合DB!$A:$B,2,FALSE))=TRUE,100,VLOOKUP(M16,割合DB!$A:$B,2,FALSE))</f>
        <v>100</v>
      </c>
      <c r="AL16" s="25">
        <f t="shared" si="69"/>
        <v>0</v>
      </c>
      <c r="AM16" s="18">
        <f t="shared" si="70"/>
        <v>0</v>
      </c>
      <c r="AN16" s="18">
        <f t="shared" si="71"/>
        <v>0</v>
      </c>
      <c r="AO16" s="18">
        <f t="shared" si="17"/>
        <v>0</v>
      </c>
      <c r="AP16" s="18">
        <f>IF($C16="人工面",0,IF($G16="",70,IF($D16="湿性環境",VLOOKUP($G16,環境タイプⅡによる点数DB!$A:$B,2,FALSE),IF($D16="樹林",VLOOKUP($G16,環境タイプⅡによる点数DB!$A:$C,3,FALSE),IF($D16="低木・草地",VLOOKUP($G16,環境タイプⅡによる点数DB!$A:$D,4,FALSE),0)))))</f>
        <v>70</v>
      </c>
      <c r="AQ16" s="24" t="str">
        <f>$H16&amp;"in"&amp;基本情報!$C$13</f>
        <v>in</v>
      </c>
      <c r="AR16" s="24">
        <f t="shared" si="18"/>
        <v>0</v>
      </c>
      <c r="AS16" s="24">
        <f>IF($H16="",0,IF($D16="樹林",IF(ISERROR(VLOOKUP($V16,市町村・植物種ごとの樹林点数DB!$A:$F,6,FALSE))=TRUE,10,VLOOKUP($V16,市町村・植物種ごとの樹林点数DB!$A:$F,6,FALSE)),IF($D16="低木・草地",IF(OR($H16="【ススキ】・【ネザサ】・【チガヤ】",$H16="不明"),45,10),0)))</f>
        <v>0</v>
      </c>
      <c r="AT16" s="24">
        <f t="shared" si="19"/>
        <v>0</v>
      </c>
      <c r="AU16" s="24">
        <f t="shared" si="20"/>
        <v>1</v>
      </c>
      <c r="AV16" s="24">
        <f t="shared" si="21"/>
        <v>0</v>
      </c>
      <c r="AW16" s="24">
        <f t="shared" si="22"/>
        <v>1</v>
      </c>
      <c r="AX16" s="25">
        <f t="shared" si="72"/>
        <v>0</v>
      </c>
      <c r="AY16" s="25">
        <f t="shared" si="73"/>
        <v>0</v>
      </c>
      <c r="AZ16" s="25">
        <f t="shared" si="74"/>
        <v>0</v>
      </c>
      <c r="BA16" s="25" t="str">
        <f t="shared" si="75"/>
        <v/>
      </c>
      <c r="BB16" s="25" t="str">
        <f t="shared" si="76"/>
        <v/>
      </c>
      <c r="BC16" s="25" t="str">
        <f t="shared" si="77"/>
        <v/>
      </c>
      <c r="BD16" s="25">
        <f>IF(ISERROR(VLOOKUP($K16,割合DB!$A:$B,2,FALSE))=TRUE,0,VLOOKUP($K16,割合DB!$A:$B,2,FALSE))</f>
        <v>0</v>
      </c>
      <c r="BE16" s="25">
        <f>IF(ISERROR(VLOOKUP($L16,割合DB!$A:$B,2,FALSE))=TRUE,0,VLOOKUP($L16,割合DB!$A:$B,2,FALSE))</f>
        <v>0</v>
      </c>
      <c r="BF16" s="25">
        <f>IF(ISERROR(VLOOKUP($M16,割合DB!$A:$B,2,FALSE))=TRUE,0,VLOOKUP($M16,割合DB!$A:$B,2,FALSE))</f>
        <v>0</v>
      </c>
      <c r="BG16" s="25">
        <f t="shared" si="78"/>
        <v>100</v>
      </c>
      <c r="BH16" s="18">
        <f t="shared" si="79"/>
        <v>100</v>
      </c>
      <c r="BI16" s="18">
        <f t="shared" si="33"/>
        <v>1</v>
      </c>
      <c r="BJ16" s="176"/>
      <c r="BK16" s="176"/>
      <c r="BL16" s="176"/>
      <c r="BM16" s="176"/>
      <c r="BN16" s="176"/>
      <c r="BO16" s="176"/>
      <c r="BP16" s="176"/>
      <c r="BQ16" s="176"/>
      <c r="BR16" s="176"/>
      <c r="BS16" s="176"/>
      <c r="BT16" s="176"/>
      <c r="BU16" s="176"/>
      <c r="BV16" s="176"/>
      <c r="BW16" s="176"/>
      <c r="BX16" s="176"/>
      <c r="BY16" s="176"/>
      <c r="BZ16" s="176"/>
      <c r="CA16" s="176"/>
    </row>
    <row r="17" spans="1:79" ht="27" customHeight="1" x14ac:dyDescent="0.15">
      <c r="A17" s="160" t="s">
        <v>509</v>
      </c>
      <c r="B17" s="21"/>
      <c r="C17" s="19"/>
      <c r="D17" s="40" t="str">
        <f t="shared" si="31"/>
        <v/>
      </c>
      <c r="E17" s="19"/>
      <c r="F17" s="26"/>
      <c r="G17" s="21"/>
      <c r="H17" s="22"/>
      <c r="I17" s="22"/>
      <c r="J17" s="22"/>
      <c r="K17" s="23"/>
      <c r="L17" s="23"/>
      <c r="M17" s="23"/>
      <c r="N17" s="146"/>
      <c r="O17" s="40">
        <f t="shared" si="57"/>
        <v>0</v>
      </c>
      <c r="P17" s="183" t="str">
        <f t="shared" si="58"/>
        <v/>
      </c>
      <c r="S17" s="18">
        <f t="shared" si="32"/>
        <v>0</v>
      </c>
      <c r="T17" s="18">
        <f t="shared" si="2"/>
        <v>0</v>
      </c>
      <c r="U17" s="18">
        <f>IF(C17="人工面",0,IF(G17="",0,IF(D17="湿性環境",VLOOKUP(G17,環境タイプⅡによる点数DB!A:B,2,FALSE),IF(D17="樹林",VLOOKUP(G17,環境タイプⅡによる点数DB!A:C,3,FALSE),IF(D17="低木・草地",VLOOKUP(G17,環境タイプⅡによる点数DB!A:D,4,FALSE),0)))))</f>
        <v>0</v>
      </c>
      <c r="V17" s="24" t="str">
        <f>$H17&amp;"in"&amp;基本情報!$C$13</f>
        <v>in</v>
      </c>
      <c r="W17" s="24">
        <f t="shared" si="3"/>
        <v>0</v>
      </c>
      <c r="X17" s="24">
        <f>IF($H17="",0,IF($D17="樹林",IF(ISERROR(VLOOKUP($V17,市町村・植物種ごとの樹林点数DB!$A:$G,7,FALSE))=TRUE,20,VLOOKUP($V17,市町村・植物種ごとの樹林点数DB!$A:$G,7,FALSE)),IF($D17="低木・草地",IF($H17="【ススキ】・【ネザサ】・【チガヤ】",45,10),0)))</f>
        <v>0</v>
      </c>
      <c r="Y17" s="24">
        <f t="shared" si="59"/>
        <v>0</v>
      </c>
      <c r="Z17" s="24">
        <f t="shared" si="60"/>
        <v>1</v>
      </c>
      <c r="AA17" s="24">
        <f t="shared" si="61"/>
        <v>1</v>
      </c>
      <c r="AB17" s="24">
        <f t="shared" si="62"/>
        <v>0</v>
      </c>
      <c r="AC17" s="25">
        <f t="shared" si="63"/>
        <v>0</v>
      </c>
      <c r="AD17" s="25">
        <f t="shared" si="64"/>
        <v>0</v>
      </c>
      <c r="AE17" s="25">
        <f t="shared" si="65"/>
        <v>0</v>
      </c>
      <c r="AF17" s="25" t="str">
        <f t="shared" si="66"/>
        <v/>
      </c>
      <c r="AG17" s="25" t="str">
        <f t="shared" si="67"/>
        <v/>
      </c>
      <c r="AH17" s="25" t="str">
        <f t="shared" si="68"/>
        <v/>
      </c>
      <c r="AI17" s="25">
        <f>IF(ISERROR(VLOOKUP(K17,割合DB!$A:$B,2,FALSE))=TRUE,100,VLOOKUP(K17,割合DB!$A:$B,2,FALSE))</f>
        <v>100</v>
      </c>
      <c r="AJ17" s="25">
        <f>IF(ISERROR(VLOOKUP(L17,割合DB!$A:$B,2,FALSE))=TRUE,100,VLOOKUP(L17,割合DB!$A:$B,2,FALSE))</f>
        <v>100</v>
      </c>
      <c r="AK17" s="25">
        <f>IF(ISERROR(VLOOKUP(M17,割合DB!$A:$B,2,FALSE))=TRUE,100,VLOOKUP(M17,割合DB!$A:$B,2,FALSE))</f>
        <v>100</v>
      </c>
      <c r="AL17" s="25">
        <f t="shared" si="69"/>
        <v>0</v>
      </c>
      <c r="AM17" s="18">
        <f t="shared" si="70"/>
        <v>0</v>
      </c>
      <c r="AN17" s="18">
        <f t="shared" si="71"/>
        <v>0</v>
      </c>
      <c r="AO17" s="18">
        <f t="shared" si="17"/>
        <v>0</v>
      </c>
      <c r="AP17" s="18">
        <f>IF($C17="人工面",0,IF($G17="",70,IF($D17="湿性環境",VLOOKUP($G17,環境タイプⅡによる点数DB!$A:$B,2,FALSE),IF($D17="樹林",VLOOKUP($G17,環境タイプⅡによる点数DB!$A:$C,3,FALSE),IF($D17="低木・草地",VLOOKUP($G17,環境タイプⅡによる点数DB!$A:$D,4,FALSE),0)))))</f>
        <v>70</v>
      </c>
      <c r="AQ17" s="24" t="str">
        <f>$H17&amp;"in"&amp;基本情報!$C$13</f>
        <v>in</v>
      </c>
      <c r="AR17" s="24">
        <f t="shared" si="18"/>
        <v>0</v>
      </c>
      <c r="AS17" s="24">
        <f>IF($H17="",0,IF($D17="樹林",IF(ISERROR(VLOOKUP($V17,市町村・植物種ごとの樹林点数DB!$A:$F,6,FALSE))=TRUE,10,VLOOKUP($V17,市町村・植物種ごとの樹林点数DB!$A:$F,6,FALSE)),IF($D17="低木・草地",IF(OR($H17="【ススキ】・【ネザサ】・【チガヤ】",$H17="不明"),45,10),0)))</f>
        <v>0</v>
      </c>
      <c r="AT17" s="24">
        <f t="shared" si="19"/>
        <v>0</v>
      </c>
      <c r="AU17" s="24">
        <f t="shared" si="20"/>
        <v>1</v>
      </c>
      <c r="AV17" s="24">
        <f t="shared" si="21"/>
        <v>0</v>
      </c>
      <c r="AW17" s="24">
        <f t="shared" si="22"/>
        <v>1</v>
      </c>
      <c r="AX17" s="25">
        <f t="shared" si="72"/>
        <v>0</v>
      </c>
      <c r="AY17" s="25">
        <f t="shared" si="73"/>
        <v>0</v>
      </c>
      <c r="AZ17" s="25">
        <f t="shared" si="74"/>
        <v>0</v>
      </c>
      <c r="BA17" s="25" t="str">
        <f t="shared" si="75"/>
        <v/>
      </c>
      <c r="BB17" s="25" t="str">
        <f t="shared" si="76"/>
        <v/>
      </c>
      <c r="BC17" s="25" t="str">
        <f t="shared" si="77"/>
        <v/>
      </c>
      <c r="BD17" s="25">
        <f>IF(ISERROR(VLOOKUP($K17,割合DB!$A:$B,2,FALSE))=TRUE,0,VLOOKUP($K17,割合DB!$A:$B,2,FALSE))</f>
        <v>0</v>
      </c>
      <c r="BE17" s="25">
        <f>IF(ISERROR(VLOOKUP($L17,割合DB!$A:$B,2,FALSE))=TRUE,0,VLOOKUP($L17,割合DB!$A:$B,2,FALSE))</f>
        <v>0</v>
      </c>
      <c r="BF17" s="25">
        <f>IF(ISERROR(VLOOKUP($M17,割合DB!$A:$B,2,FALSE))=TRUE,0,VLOOKUP($M17,割合DB!$A:$B,2,FALSE))</f>
        <v>0</v>
      </c>
      <c r="BG17" s="25">
        <f t="shared" si="78"/>
        <v>100</v>
      </c>
      <c r="BH17" s="18">
        <f t="shared" si="79"/>
        <v>100</v>
      </c>
      <c r="BI17" s="18">
        <f t="shared" si="33"/>
        <v>1</v>
      </c>
      <c r="BJ17" s="176"/>
      <c r="BK17" s="176"/>
      <c r="BL17" s="176"/>
      <c r="BM17" s="176"/>
      <c r="BN17" s="176"/>
      <c r="BO17" s="176"/>
      <c r="BP17" s="176"/>
      <c r="BQ17" s="176"/>
      <c r="BR17" s="176"/>
      <c r="BS17" s="176"/>
      <c r="BT17" s="176"/>
      <c r="BU17" s="176"/>
      <c r="BV17" s="176"/>
      <c r="BW17" s="176"/>
      <c r="BX17" s="176"/>
      <c r="BY17" s="176"/>
      <c r="BZ17" s="176"/>
      <c r="CA17" s="176"/>
    </row>
    <row r="18" spans="1:79" ht="27" customHeight="1" x14ac:dyDescent="0.15">
      <c r="A18" s="160" t="s">
        <v>510</v>
      </c>
      <c r="B18" s="21"/>
      <c r="C18" s="19"/>
      <c r="D18" s="40" t="str">
        <f t="shared" si="31"/>
        <v/>
      </c>
      <c r="E18" s="19"/>
      <c r="F18" s="26"/>
      <c r="G18" s="21"/>
      <c r="H18" s="22"/>
      <c r="I18" s="22"/>
      <c r="J18" s="22"/>
      <c r="K18" s="23"/>
      <c r="L18" s="23"/>
      <c r="M18" s="23"/>
      <c r="N18" s="146"/>
      <c r="O18" s="40">
        <f t="shared" si="57"/>
        <v>0</v>
      </c>
      <c r="P18" s="183" t="str">
        <f t="shared" si="58"/>
        <v/>
      </c>
      <c r="S18" s="18">
        <f t="shared" si="32"/>
        <v>0</v>
      </c>
      <c r="T18" s="18">
        <f t="shared" si="2"/>
        <v>0</v>
      </c>
      <c r="U18" s="18">
        <f>IF(C18="人工面",0,IF(G18="",0,IF(D18="湿性環境",VLOOKUP(G18,環境タイプⅡによる点数DB!A:B,2,FALSE),IF(D18="樹林",VLOOKUP(G18,環境タイプⅡによる点数DB!A:C,3,FALSE),IF(D18="低木・草地",VLOOKUP(G18,環境タイプⅡによる点数DB!A:D,4,FALSE),0)))))</f>
        <v>0</v>
      </c>
      <c r="V18" s="24" t="str">
        <f>$H18&amp;"in"&amp;基本情報!$C$13</f>
        <v>in</v>
      </c>
      <c r="W18" s="24">
        <f t="shared" si="3"/>
        <v>0</v>
      </c>
      <c r="X18" s="24">
        <f>IF($H18="",0,IF($D18="樹林",IF(ISERROR(VLOOKUP($V18,市町村・植物種ごとの樹林点数DB!$A:$G,7,FALSE))=TRUE,20,VLOOKUP($V18,市町村・植物種ごとの樹林点数DB!$A:$G,7,FALSE)),IF($D18="低木・草地",IF($H18="【ススキ】・【ネザサ】・【チガヤ】",45,10),0)))</f>
        <v>0</v>
      </c>
      <c r="Y18" s="24">
        <f t="shared" si="59"/>
        <v>0</v>
      </c>
      <c r="Z18" s="24">
        <f t="shared" si="60"/>
        <v>1</v>
      </c>
      <c r="AA18" s="24">
        <f t="shared" si="61"/>
        <v>1</v>
      </c>
      <c r="AB18" s="24">
        <f t="shared" si="62"/>
        <v>0</v>
      </c>
      <c r="AC18" s="25">
        <f t="shared" si="63"/>
        <v>0</v>
      </c>
      <c r="AD18" s="25">
        <f t="shared" si="64"/>
        <v>0</v>
      </c>
      <c r="AE18" s="25">
        <f t="shared" si="65"/>
        <v>0</v>
      </c>
      <c r="AF18" s="25" t="str">
        <f t="shared" si="66"/>
        <v/>
      </c>
      <c r="AG18" s="25" t="str">
        <f t="shared" si="67"/>
        <v/>
      </c>
      <c r="AH18" s="25" t="str">
        <f t="shared" si="68"/>
        <v/>
      </c>
      <c r="AI18" s="25">
        <f>IF(ISERROR(VLOOKUP(K18,割合DB!$A:$B,2,FALSE))=TRUE,100,VLOOKUP(K18,割合DB!$A:$B,2,FALSE))</f>
        <v>100</v>
      </c>
      <c r="AJ18" s="25">
        <f>IF(ISERROR(VLOOKUP(L18,割合DB!$A:$B,2,FALSE))=TRUE,100,VLOOKUP(L18,割合DB!$A:$B,2,FALSE))</f>
        <v>100</v>
      </c>
      <c r="AK18" s="25">
        <f>IF(ISERROR(VLOOKUP(M18,割合DB!$A:$B,2,FALSE))=TRUE,100,VLOOKUP(M18,割合DB!$A:$B,2,FALSE))</f>
        <v>100</v>
      </c>
      <c r="AL18" s="25">
        <f t="shared" si="69"/>
        <v>0</v>
      </c>
      <c r="AM18" s="18">
        <f t="shared" si="70"/>
        <v>0</v>
      </c>
      <c r="AN18" s="18">
        <f t="shared" si="71"/>
        <v>0</v>
      </c>
      <c r="AO18" s="18">
        <f t="shared" si="17"/>
        <v>0</v>
      </c>
      <c r="AP18" s="18">
        <f>IF($C18="人工面",0,IF($G18="",70,IF($D18="湿性環境",VLOOKUP($G18,環境タイプⅡによる点数DB!$A:$B,2,FALSE),IF($D18="樹林",VLOOKUP($G18,環境タイプⅡによる点数DB!$A:$C,3,FALSE),IF($D18="低木・草地",VLOOKUP($G18,環境タイプⅡによる点数DB!$A:$D,4,FALSE),0)))))</f>
        <v>70</v>
      </c>
      <c r="AQ18" s="24" t="str">
        <f>$H18&amp;"in"&amp;基本情報!$C$13</f>
        <v>in</v>
      </c>
      <c r="AR18" s="24">
        <f t="shared" si="18"/>
        <v>0</v>
      </c>
      <c r="AS18" s="24">
        <f>IF($H18="",0,IF($D18="樹林",IF(ISERROR(VLOOKUP($V18,市町村・植物種ごとの樹林点数DB!$A:$F,6,FALSE))=TRUE,10,VLOOKUP($V18,市町村・植物種ごとの樹林点数DB!$A:$F,6,FALSE)),IF($D18="低木・草地",IF(OR($H18="【ススキ】・【ネザサ】・【チガヤ】",$H18="不明"),45,10),0)))</f>
        <v>0</v>
      </c>
      <c r="AT18" s="24">
        <f t="shared" si="19"/>
        <v>0</v>
      </c>
      <c r="AU18" s="24">
        <f t="shared" si="20"/>
        <v>1</v>
      </c>
      <c r="AV18" s="24">
        <f t="shared" si="21"/>
        <v>0</v>
      </c>
      <c r="AW18" s="24">
        <f t="shared" si="22"/>
        <v>1</v>
      </c>
      <c r="AX18" s="25">
        <f t="shared" si="72"/>
        <v>0</v>
      </c>
      <c r="AY18" s="25">
        <f t="shared" si="73"/>
        <v>0</v>
      </c>
      <c r="AZ18" s="25">
        <f t="shared" si="74"/>
        <v>0</v>
      </c>
      <c r="BA18" s="25" t="str">
        <f t="shared" si="75"/>
        <v/>
      </c>
      <c r="BB18" s="25" t="str">
        <f t="shared" si="76"/>
        <v/>
      </c>
      <c r="BC18" s="25" t="str">
        <f t="shared" si="77"/>
        <v/>
      </c>
      <c r="BD18" s="25">
        <f>IF(ISERROR(VLOOKUP($K18,割合DB!$A:$B,2,FALSE))=TRUE,0,VLOOKUP($K18,割合DB!$A:$B,2,FALSE))</f>
        <v>0</v>
      </c>
      <c r="BE18" s="25">
        <f>IF(ISERROR(VLOOKUP($L18,割合DB!$A:$B,2,FALSE))=TRUE,0,VLOOKUP($L18,割合DB!$A:$B,2,FALSE))</f>
        <v>0</v>
      </c>
      <c r="BF18" s="25">
        <f>IF(ISERROR(VLOOKUP($M18,割合DB!$A:$B,2,FALSE))=TRUE,0,VLOOKUP($M18,割合DB!$A:$B,2,FALSE))</f>
        <v>0</v>
      </c>
      <c r="BG18" s="25">
        <f t="shared" si="78"/>
        <v>100</v>
      </c>
      <c r="BH18" s="18">
        <f t="shared" si="79"/>
        <v>100</v>
      </c>
      <c r="BI18" s="18">
        <f t="shared" si="33"/>
        <v>1</v>
      </c>
      <c r="BJ18" s="176"/>
      <c r="BK18" s="176"/>
      <c r="BL18" s="176"/>
      <c r="BM18" s="176"/>
      <c r="BN18" s="176"/>
      <c r="BO18" s="176"/>
      <c r="BP18" s="176"/>
      <c r="BQ18" s="176"/>
      <c r="BR18" s="176"/>
      <c r="BS18" s="176"/>
      <c r="BT18" s="176"/>
      <c r="BU18" s="176"/>
      <c r="BV18" s="176"/>
      <c r="BW18" s="176"/>
      <c r="BX18" s="176"/>
      <c r="BY18" s="176"/>
      <c r="BZ18" s="176"/>
      <c r="CA18" s="176"/>
    </row>
    <row r="19" spans="1:79" ht="27" customHeight="1" x14ac:dyDescent="0.15">
      <c r="A19" s="160" t="s">
        <v>511</v>
      </c>
      <c r="B19" s="21"/>
      <c r="C19" s="19"/>
      <c r="D19" s="40" t="str">
        <f t="shared" si="31"/>
        <v/>
      </c>
      <c r="E19" s="19"/>
      <c r="F19" s="26"/>
      <c r="G19" s="21"/>
      <c r="H19" s="22"/>
      <c r="I19" s="22"/>
      <c r="J19" s="22"/>
      <c r="K19" s="23"/>
      <c r="L19" s="23"/>
      <c r="M19" s="23"/>
      <c r="N19" s="146"/>
      <c r="O19" s="40">
        <f t="shared" si="57"/>
        <v>0</v>
      </c>
      <c r="P19" s="183" t="str">
        <f t="shared" si="58"/>
        <v/>
      </c>
      <c r="S19" s="18">
        <f t="shared" si="32"/>
        <v>0</v>
      </c>
      <c r="T19" s="18">
        <f t="shared" si="2"/>
        <v>0</v>
      </c>
      <c r="U19" s="18">
        <f>IF(C19="人工面",0,IF(G19="",0,IF(D19="湿性環境",VLOOKUP(G19,環境タイプⅡによる点数DB!A:B,2,FALSE),IF(D19="樹林",VLOOKUP(G19,環境タイプⅡによる点数DB!A:C,3,FALSE),IF(D19="低木・草地",VLOOKUP(G19,環境タイプⅡによる点数DB!A:D,4,FALSE),0)))))</f>
        <v>0</v>
      </c>
      <c r="V19" s="24" t="str">
        <f>$H19&amp;"in"&amp;基本情報!$C$13</f>
        <v>in</v>
      </c>
      <c r="W19" s="24">
        <f t="shared" si="3"/>
        <v>0</v>
      </c>
      <c r="X19" s="24">
        <f>IF($H19="",0,IF($D19="樹林",IF(ISERROR(VLOOKUP($V19,市町村・植物種ごとの樹林点数DB!$A:$G,7,FALSE))=TRUE,20,VLOOKUP($V19,市町村・植物種ごとの樹林点数DB!$A:$G,7,FALSE)),IF($D19="低木・草地",IF($H19="【ススキ】・【ネザサ】・【チガヤ】",45,10),0)))</f>
        <v>0</v>
      </c>
      <c r="Y19" s="24">
        <f t="shared" si="59"/>
        <v>0</v>
      </c>
      <c r="Z19" s="24">
        <f t="shared" si="60"/>
        <v>1</v>
      </c>
      <c r="AA19" s="24">
        <f t="shared" si="61"/>
        <v>1</v>
      </c>
      <c r="AB19" s="24">
        <f t="shared" si="62"/>
        <v>0</v>
      </c>
      <c r="AC19" s="25">
        <f t="shared" si="63"/>
        <v>0</v>
      </c>
      <c r="AD19" s="25">
        <f t="shared" si="64"/>
        <v>0</v>
      </c>
      <c r="AE19" s="25">
        <f t="shared" si="65"/>
        <v>0</v>
      </c>
      <c r="AF19" s="25" t="str">
        <f t="shared" si="66"/>
        <v/>
      </c>
      <c r="AG19" s="25" t="str">
        <f t="shared" si="67"/>
        <v/>
      </c>
      <c r="AH19" s="25" t="str">
        <f t="shared" si="68"/>
        <v/>
      </c>
      <c r="AI19" s="25">
        <f>IF(ISERROR(VLOOKUP(K19,割合DB!$A:$B,2,FALSE))=TRUE,100,VLOOKUP(K19,割合DB!$A:$B,2,FALSE))</f>
        <v>100</v>
      </c>
      <c r="AJ19" s="25">
        <f>IF(ISERROR(VLOOKUP(L19,割合DB!$A:$B,2,FALSE))=TRUE,100,VLOOKUP(L19,割合DB!$A:$B,2,FALSE))</f>
        <v>100</v>
      </c>
      <c r="AK19" s="25">
        <f>IF(ISERROR(VLOOKUP(M19,割合DB!$A:$B,2,FALSE))=TRUE,100,VLOOKUP(M19,割合DB!$A:$B,2,FALSE))</f>
        <v>100</v>
      </c>
      <c r="AL19" s="25">
        <f t="shared" si="69"/>
        <v>0</v>
      </c>
      <c r="AM19" s="18">
        <f t="shared" si="70"/>
        <v>0</v>
      </c>
      <c r="AN19" s="18">
        <f t="shared" si="71"/>
        <v>0</v>
      </c>
      <c r="AO19" s="18">
        <f t="shared" si="17"/>
        <v>0</v>
      </c>
      <c r="AP19" s="18">
        <f>IF($C19="人工面",0,IF($G19="",70,IF($D19="湿性環境",VLOOKUP($G19,環境タイプⅡによる点数DB!$A:$B,2,FALSE),IF($D19="樹林",VLOOKUP($G19,環境タイプⅡによる点数DB!$A:$C,3,FALSE),IF($D19="低木・草地",VLOOKUP($G19,環境タイプⅡによる点数DB!$A:$D,4,FALSE),0)))))</f>
        <v>70</v>
      </c>
      <c r="AQ19" s="24" t="str">
        <f>$H19&amp;"in"&amp;基本情報!$C$13</f>
        <v>in</v>
      </c>
      <c r="AR19" s="24">
        <f t="shared" si="18"/>
        <v>0</v>
      </c>
      <c r="AS19" s="24">
        <f>IF($H19="",0,IF($D19="樹林",IF(ISERROR(VLOOKUP($V19,市町村・植物種ごとの樹林点数DB!$A:$F,6,FALSE))=TRUE,10,VLOOKUP($V19,市町村・植物種ごとの樹林点数DB!$A:$F,6,FALSE)),IF($D19="低木・草地",IF(OR($H19="【ススキ】・【ネザサ】・【チガヤ】",$H19="不明"),45,10),0)))</f>
        <v>0</v>
      </c>
      <c r="AT19" s="24">
        <f t="shared" si="19"/>
        <v>0</v>
      </c>
      <c r="AU19" s="24">
        <f t="shared" si="20"/>
        <v>1</v>
      </c>
      <c r="AV19" s="24">
        <f t="shared" si="21"/>
        <v>0</v>
      </c>
      <c r="AW19" s="24">
        <f t="shared" si="22"/>
        <v>1</v>
      </c>
      <c r="AX19" s="25">
        <f t="shared" si="72"/>
        <v>0</v>
      </c>
      <c r="AY19" s="25">
        <f t="shared" si="73"/>
        <v>0</v>
      </c>
      <c r="AZ19" s="25">
        <f t="shared" si="74"/>
        <v>0</v>
      </c>
      <c r="BA19" s="25" t="str">
        <f t="shared" si="75"/>
        <v/>
      </c>
      <c r="BB19" s="25" t="str">
        <f t="shared" si="76"/>
        <v/>
      </c>
      <c r="BC19" s="25" t="str">
        <f t="shared" si="77"/>
        <v/>
      </c>
      <c r="BD19" s="25">
        <f>IF(ISERROR(VLOOKUP($K19,割合DB!$A:$B,2,FALSE))=TRUE,0,VLOOKUP($K19,割合DB!$A:$B,2,FALSE))</f>
        <v>0</v>
      </c>
      <c r="BE19" s="25">
        <f>IF(ISERROR(VLOOKUP($L19,割合DB!$A:$B,2,FALSE))=TRUE,0,VLOOKUP($L19,割合DB!$A:$B,2,FALSE))</f>
        <v>0</v>
      </c>
      <c r="BF19" s="25">
        <f>IF(ISERROR(VLOOKUP($M19,割合DB!$A:$B,2,FALSE))=TRUE,0,VLOOKUP($M19,割合DB!$A:$B,2,FALSE))</f>
        <v>0</v>
      </c>
      <c r="BG19" s="25">
        <f t="shared" si="78"/>
        <v>100</v>
      </c>
      <c r="BH19" s="18">
        <f t="shared" si="79"/>
        <v>100</v>
      </c>
      <c r="BI19" s="18">
        <f t="shared" si="33"/>
        <v>1</v>
      </c>
      <c r="BJ19" s="176"/>
      <c r="BK19" s="176"/>
      <c r="BL19" s="176"/>
      <c r="BM19" s="176"/>
      <c r="BN19" s="176"/>
      <c r="BO19" s="176"/>
      <c r="BP19" s="176"/>
      <c r="BQ19" s="176"/>
      <c r="BR19" s="176"/>
      <c r="BS19" s="176"/>
      <c r="BT19" s="176"/>
      <c r="BU19" s="176"/>
      <c r="BV19" s="176"/>
      <c r="BW19" s="176"/>
      <c r="BX19" s="176"/>
      <c r="BY19" s="176"/>
      <c r="BZ19" s="176"/>
      <c r="CA19" s="176"/>
    </row>
    <row r="20" spans="1:79" ht="27" customHeight="1" x14ac:dyDescent="0.15">
      <c r="A20" s="160" t="s">
        <v>512</v>
      </c>
      <c r="B20" s="21"/>
      <c r="C20" s="19"/>
      <c r="D20" s="40" t="str">
        <f t="shared" si="31"/>
        <v/>
      </c>
      <c r="E20" s="19"/>
      <c r="F20" s="26"/>
      <c r="G20" s="21"/>
      <c r="H20" s="22"/>
      <c r="I20" s="22"/>
      <c r="J20" s="22"/>
      <c r="K20" s="23"/>
      <c r="L20" s="23"/>
      <c r="M20" s="23"/>
      <c r="N20" s="146"/>
      <c r="O20" s="40">
        <f t="shared" si="57"/>
        <v>0</v>
      </c>
      <c r="P20" s="183" t="str">
        <f t="shared" si="58"/>
        <v/>
      </c>
      <c r="S20" s="18">
        <f t="shared" si="32"/>
        <v>0</v>
      </c>
      <c r="T20" s="18">
        <f t="shared" si="2"/>
        <v>0</v>
      </c>
      <c r="U20" s="18">
        <f>IF(C20="人工面",0,IF(G20="",0,IF(D20="湿性環境",VLOOKUP(G20,環境タイプⅡによる点数DB!A:B,2,FALSE),IF(D20="樹林",VLOOKUP(G20,環境タイプⅡによる点数DB!A:C,3,FALSE),IF(D20="低木・草地",VLOOKUP(G20,環境タイプⅡによる点数DB!A:D,4,FALSE),0)))))</f>
        <v>0</v>
      </c>
      <c r="V20" s="24" t="str">
        <f>$H20&amp;"in"&amp;基本情報!$C$13</f>
        <v>in</v>
      </c>
      <c r="W20" s="24">
        <f t="shared" si="3"/>
        <v>0</v>
      </c>
      <c r="X20" s="24">
        <f>IF($H20="",0,IF($D20="樹林",IF(ISERROR(VLOOKUP($V20,市町村・植物種ごとの樹林点数DB!$A:$G,7,FALSE))=TRUE,20,VLOOKUP($V20,市町村・植物種ごとの樹林点数DB!$A:$G,7,FALSE)),IF($D20="低木・草地",IF($H20="【ススキ】・【ネザサ】・【チガヤ】",45,10),0)))</f>
        <v>0</v>
      </c>
      <c r="Y20" s="24">
        <f t="shared" si="59"/>
        <v>0</v>
      </c>
      <c r="Z20" s="24">
        <f t="shared" si="60"/>
        <v>1</v>
      </c>
      <c r="AA20" s="24">
        <f t="shared" si="61"/>
        <v>1</v>
      </c>
      <c r="AB20" s="24">
        <f t="shared" si="62"/>
        <v>0</v>
      </c>
      <c r="AC20" s="25">
        <f t="shared" si="63"/>
        <v>0</v>
      </c>
      <c r="AD20" s="25">
        <f t="shared" si="64"/>
        <v>0</v>
      </c>
      <c r="AE20" s="25">
        <f t="shared" si="65"/>
        <v>0</v>
      </c>
      <c r="AF20" s="25" t="str">
        <f t="shared" si="66"/>
        <v/>
      </c>
      <c r="AG20" s="25" t="str">
        <f t="shared" si="67"/>
        <v/>
      </c>
      <c r="AH20" s="25" t="str">
        <f t="shared" si="68"/>
        <v/>
      </c>
      <c r="AI20" s="25">
        <f>IF(ISERROR(VLOOKUP(K20,割合DB!$A:$B,2,FALSE))=TRUE,100,VLOOKUP(K20,割合DB!$A:$B,2,FALSE))</f>
        <v>100</v>
      </c>
      <c r="AJ20" s="25">
        <f>IF(ISERROR(VLOOKUP(L20,割合DB!$A:$B,2,FALSE))=TRUE,100,VLOOKUP(L20,割合DB!$A:$B,2,FALSE))</f>
        <v>100</v>
      </c>
      <c r="AK20" s="25">
        <f>IF(ISERROR(VLOOKUP(M20,割合DB!$A:$B,2,FALSE))=TRUE,100,VLOOKUP(M20,割合DB!$A:$B,2,FALSE))</f>
        <v>100</v>
      </c>
      <c r="AL20" s="25">
        <f t="shared" si="69"/>
        <v>0</v>
      </c>
      <c r="AM20" s="18">
        <f t="shared" si="70"/>
        <v>0</v>
      </c>
      <c r="AN20" s="18">
        <f t="shared" si="71"/>
        <v>0</v>
      </c>
      <c r="AO20" s="18">
        <f t="shared" si="17"/>
        <v>0</v>
      </c>
      <c r="AP20" s="18">
        <f>IF($C20="人工面",0,IF($G20="",70,IF($D20="湿性環境",VLOOKUP($G20,環境タイプⅡによる点数DB!$A:$B,2,FALSE),IF($D20="樹林",VLOOKUP($G20,環境タイプⅡによる点数DB!$A:$C,3,FALSE),IF($D20="低木・草地",VLOOKUP($G20,環境タイプⅡによる点数DB!$A:$D,4,FALSE),0)))))</f>
        <v>70</v>
      </c>
      <c r="AQ20" s="24" t="str">
        <f>$H20&amp;"in"&amp;基本情報!$C$13</f>
        <v>in</v>
      </c>
      <c r="AR20" s="24">
        <f t="shared" si="18"/>
        <v>0</v>
      </c>
      <c r="AS20" s="24">
        <f>IF($H20="",0,IF($D20="樹林",IF(ISERROR(VLOOKUP($V20,市町村・植物種ごとの樹林点数DB!$A:$F,6,FALSE))=TRUE,10,VLOOKUP($V20,市町村・植物種ごとの樹林点数DB!$A:$F,6,FALSE)),IF($D20="低木・草地",IF(OR($H20="【ススキ】・【ネザサ】・【チガヤ】",$H20="不明"),45,10),0)))</f>
        <v>0</v>
      </c>
      <c r="AT20" s="24">
        <f t="shared" si="19"/>
        <v>0</v>
      </c>
      <c r="AU20" s="24">
        <f t="shared" si="20"/>
        <v>1</v>
      </c>
      <c r="AV20" s="24">
        <f t="shared" si="21"/>
        <v>0</v>
      </c>
      <c r="AW20" s="24">
        <f t="shared" si="22"/>
        <v>1</v>
      </c>
      <c r="AX20" s="25">
        <f t="shared" si="72"/>
        <v>0</v>
      </c>
      <c r="AY20" s="25">
        <f t="shared" si="73"/>
        <v>0</v>
      </c>
      <c r="AZ20" s="25">
        <f t="shared" si="74"/>
        <v>0</v>
      </c>
      <c r="BA20" s="25" t="str">
        <f t="shared" si="75"/>
        <v/>
      </c>
      <c r="BB20" s="25" t="str">
        <f t="shared" si="76"/>
        <v/>
      </c>
      <c r="BC20" s="25" t="str">
        <f t="shared" si="77"/>
        <v/>
      </c>
      <c r="BD20" s="25">
        <f>IF(ISERROR(VLOOKUP($K20,割合DB!$A:$B,2,FALSE))=TRUE,0,VLOOKUP($K20,割合DB!$A:$B,2,FALSE))</f>
        <v>0</v>
      </c>
      <c r="BE20" s="25">
        <f>IF(ISERROR(VLOOKUP($L20,割合DB!$A:$B,2,FALSE))=TRUE,0,VLOOKUP($L20,割合DB!$A:$B,2,FALSE))</f>
        <v>0</v>
      </c>
      <c r="BF20" s="25">
        <f>IF(ISERROR(VLOOKUP($M20,割合DB!$A:$B,2,FALSE))=TRUE,0,VLOOKUP($M20,割合DB!$A:$B,2,FALSE))</f>
        <v>0</v>
      </c>
      <c r="BG20" s="25">
        <f t="shared" si="78"/>
        <v>100</v>
      </c>
      <c r="BH20" s="18">
        <f t="shared" si="79"/>
        <v>100</v>
      </c>
      <c r="BI20" s="18">
        <f t="shared" si="33"/>
        <v>1</v>
      </c>
      <c r="BJ20" s="176"/>
      <c r="BK20" s="176"/>
      <c r="BL20" s="176"/>
      <c r="BM20" s="176"/>
      <c r="BN20" s="176"/>
      <c r="BO20" s="176"/>
      <c r="BP20" s="176"/>
      <c r="BQ20" s="176"/>
      <c r="BR20" s="176"/>
      <c r="BS20" s="176"/>
      <c r="BT20" s="176"/>
      <c r="BU20" s="176"/>
      <c r="BV20" s="176"/>
      <c r="BW20" s="176"/>
      <c r="BX20" s="176"/>
      <c r="BY20" s="176"/>
      <c r="BZ20" s="176"/>
      <c r="CA20" s="176"/>
    </row>
    <row r="21" spans="1:79" ht="27" customHeight="1" x14ac:dyDescent="0.15">
      <c r="A21" s="160" t="s">
        <v>513</v>
      </c>
      <c r="B21" s="21"/>
      <c r="C21" s="19"/>
      <c r="D21" s="40" t="str">
        <f t="shared" si="31"/>
        <v/>
      </c>
      <c r="E21" s="19"/>
      <c r="F21" s="26"/>
      <c r="G21" s="21"/>
      <c r="H21" s="22"/>
      <c r="I21" s="22"/>
      <c r="J21" s="22"/>
      <c r="K21" s="23"/>
      <c r="L21" s="23"/>
      <c r="M21" s="23"/>
      <c r="N21" s="146"/>
      <c r="O21" s="40">
        <f t="shared" si="57"/>
        <v>0</v>
      </c>
      <c r="P21" s="183" t="str">
        <f t="shared" si="58"/>
        <v/>
      </c>
      <c r="S21" s="18">
        <f t="shared" si="32"/>
        <v>0</v>
      </c>
      <c r="T21" s="18">
        <f t="shared" si="2"/>
        <v>0</v>
      </c>
      <c r="U21" s="18">
        <f>IF(C21="人工面",0,IF(G21="",0,IF(D21="湿性環境",VLOOKUP(G21,環境タイプⅡによる点数DB!A:B,2,FALSE),IF(D21="樹林",VLOOKUP(G21,環境タイプⅡによる点数DB!A:C,3,FALSE),IF(D21="低木・草地",VLOOKUP(G21,環境タイプⅡによる点数DB!A:D,4,FALSE),0)))))</f>
        <v>0</v>
      </c>
      <c r="V21" s="24" t="str">
        <f>$H21&amp;"in"&amp;基本情報!$C$13</f>
        <v>in</v>
      </c>
      <c r="W21" s="24">
        <f t="shared" si="3"/>
        <v>0</v>
      </c>
      <c r="X21" s="24">
        <f>IF($H21="",0,IF($D21="樹林",IF(ISERROR(VLOOKUP($V21,市町村・植物種ごとの樹林点数DB!$A:$G,7,FALSE))=TRUE,20,VLOOKUP($V21,市町村・植物種ごとの樹林点数DB!$A:$G,7,FALSE)),IF($D21="低木・草地",IF($H21="【ススキ】・【ネザサ】・【チガヤ】",45,10),0)))</f>
        <v>0</v>
      </c>
      <c r="Y21" s="24">
        <f t="shared" si="59"/>
        <v>0</v>
      </c>
      <c r="Z21" s="24">
        <f t="shared" si="60"/>
        <v>1</v>
      </c>
      <c r="AA21" s="24">
        <f t="shared" si="61"/>
        <v>1</v>
      </c>
      <c r="AB21" s="24">
        <f t="shared" si="62"/>
        <v>0</v>
      </c>
      <c r="AC21" s="25">
        <f t="shared" si="63"/>
        <v>0</v>
      </c>
      <c r="AD21" s="25">
        <f t="shared" si="64"/>
        <v>0</v>
      </c>
      <c r="AE21" s="25">
        <f t="shared" si="65"/>
        <v>0</v>
      </c>
      <c r="AF21" s="25" t="str">
        <f t="shared" si="66"/>
        <v/>
      </c>
      <c r="AG21" s="25" t="str">
        <f t="shared" si="67"/>
        <v/>
      </c>
      <c r="AH21" s="25" t="str">
        <f t="shared" si="68"/>
        <v/>
      </c>
      <c r="AI21" s="25">
        <f>IF(ISERROR(VLOOKUP(K21,割合DB!$A:$B,2,FALSE))=TRUE,100,VLOOKUP(K21,割合DB!$A:$B,2,FALSE))</f>
        <v>100</v>
      </c>
      <c r="AJ21" s="25">
        <f>IF(ISERROR(VLOOKUP(L21,割合DB!$A:$B,2,FALSE))=TRUE,100,VLOOKUP(L21,割合DB!$A:$B,2,FALSE))</f>
        <v>100</v>
      </c>
      <c r="AK21" s="25">
        <f>IF(ISERROR(VLOOKUP(M21,割合DB!$A:$B,2,FALSE))=TRUE,100,VLOOKUP(M21,割合DB!$A:$B,2,FALSE))</f>
        <v>100</v>
      </c>
      <c r="AL21" s="25">
        <f t="shared" si="69"/>
        <v>0</v>
      </c>
      <c r="AM21" s="18">
        <f t="shared" si="70"/>
        <v>0</v>
      </c>
      <c r="AN21" s="18">
        <f t="shared" si="71"/>
        <v>0</v>
      </c>
      <c r="AO21" s="18">
        <f t="shared" si="17"/>
        <v>0</v>
      </c>
      <c r="AP21" s="18">
        <f>IF($C21="人工面",0,IF($G21="",70,IF($D21="湿性環境",VLOOKUP($G21,環境タイプⅡによる点数DB!$A:$B,2,FALSE),IF($D21="樹林",VLOOKUP($G21,環境タイプⅡによる点数DB!$A:$C,3,FALSE),IF($D21="低木・草地",VLOOKUP($G21,環境タイプⅡによる点数DB!$A:$D,4,FALSE),0)))))</f>
        <v>70</v>
      </c>
      <c r="AQ21" s="24" t="str">
        <f>$H21&amp;"in"&amp;基本情報!$C$13</f>
        <v>in</v>
      </c>
      <c r="AR21" s="24">
        <f t="shared" si="18"/>
        <v>0</v>
      </c>
      <c r="AS21" s="24">
        <f>IF($H21="",0,IF($D21="樹林",IF(ISERROR(VLOOKUP($V21,市町村・植物種ごとの樹林点数DB!$A:$F,6,FALSE))=TRUE,10,VLOOKUP($V21,市町村・植物種ごとの樹林点数DB!$A:$F,6,FALSE)),IF($D21="低木・草地",IF(OR($H21="【ススキ】・【ネザサ】・【チガヤ】",$H21="不明"),45,10),0)))</f>
        <v>0</v>
      </c>
      <c r="AT21" s="24">
        <f t="shared" si="19"/>
        <v>0</v>
      </c>
      <c r="AU21" s="24">
        <f t="shared" si="20"/>
        <v>1</v>
      </c>
      <c r="AV21" s="24">
        <f t="shared" si="21"/>
        <v>0</v>
      </c>
      <c r="AW21" s="24">
        <f t="shared" si="22"/>
        <v>1</v>
      </c>
      <c r="AX21" s="25">
        <f t="shared" si="72"/>
        <v>0</v>
      </c>
      <c r="AY21" s="25">
        <f t="shared" si="73"/>
        <v>0</v>
      </c>
      <c r="AZ21" s="25">
        <f t="shared" si="74"/>
        <v>0</v>
      </c>
      <c r="BA21" s="25" t="str">
        <f t="shared" si="75"/>
        <v/>
      </c>
      <c r="BB21" s="25" t="str">
        <f t="shared" si="76"/>
        <v/>
      </c>
      <c r="BC21" s="25" t="str">
        <f t="shared" si="77"/>
        <v/>
      </c>
      <c r="BD21" s="25">
        <f>IF(ISERROR(VLOOKUP($K21,割合DB!$A:$B,2,FALSE))=TRUE,0,VLOOKUP($K21,割合DB!$A:$B,2,FALSE))</f>
        <v>0</v>
      </c>
      <c r="BE21" s="25">
        <f>IF(ISERROR(VLOOKUP($L21,割合DB!$A:$B,2,FALSE))=TRUE,0,VLOOKUP($L21,割合DB!$A:$B,2,FALSE))</f>
        <v>0</v>
      </c>
      <c r="BF21" s="25">
        <f>IF(ISERROR(VLOOKUP($M21,割合DB!$A:$B,2,FALSE))=TRUE,0,VLOOKUP($M21,割合DB!$A:$B,2,FALSE))</f>
        <v>0</v>
      </c>
      <c r="BG21" s="25">
        <f t="shared" si="78"/>
        <v>100</v>
      </c>
      <c r="BH21" s="18">
        <f t="shared" si="79"/>
        <v>100</v>
      </c>
      <c r="BI21" s="18">
        <f t="shared" si="33"/>
        <v>1</v>
      </c>
      <c r="BJ21" s="176"/>
      <c r="BK21" s="176"/>
      <c r="BL21" s="176"/>
      <c r="BM21" s="176"/>
      <c r="BN21" s="176"/>
      <c r="BO21" s="176"/>
      <c r="BP21" s="176"/>
      <c r="BQ21" s="176"/>
      <c r="BR21" s="176"/>
      <c r="BS21" s="176"/>
      <c r="BT21" s="176"/>
      <c r="BU21" s="176"/>
      <c r="BV21" s="176"/>
      <c r="BW21" s="176"/>
      <c r="BX21" s="176"/>
      <c r="BY21" s="176"/>
      <c r="BZ21" s="176"/>
      <c r="CA21" s="176"/>
    </row>
    <row r="22" spans="1:79" ht="27" customHeight="1" x14ac:dyDescent="0.15">
      <c r="A22" s="160" t="s">
        <v>514</v>
      </c>
      <c r="B22" s="21"/>
      <c r="C22" s="19"/>
      <c r="D22" s="40" t="str">
        <f t="shared" si="31"/>
        <v/>
      </c>
      <c r="E22" s="19"/>
      <c r="F22" s="26"/>
      <c r="G22" s="21"/>
      <c r="H22" s="22"/>
      <c r="I22" s="22"/>
      <c r="J22" s="22"/>
      <c r="K22" s="23"/>
      <c r="L22" s="23"/>
      <c r="M22" s="23"/>
      <c r="N22" s="146"/>
      <c r="O22" s="40">
        <f t="shared" si="57"/>
        <v>0</v>
      </c>
      <c r="P22" s="183" t="str">
        <f t="shared" si="58"/>
        <v/>
      </c>
      <c r="S22" s="18">
        <f t="shared" si="32"/>
        <v>0</v>
      </c>
      <c r="T22" s="18">
        <f t="shared" si="2"/>
        <v>0</v>
      </c>
      <c r="U22" s="18">
        <f>IF(C22="人工面",0,IF(G22="",0,IF(D22="湿性環境",VLOOKUP(G22,環境タイプⅡによる点数DB!A:B,2,FALSE),IF(D22="樹林",VLOOKUP(G22,環境タイプⅡによる点数DB!A:C,3,FALSE),IF(D22="低木・草地",VLOOKUP(G22,環境タイプⅡによる点数DB!A:D,4,FALSE),0)))))</f>
        <v>0</v>
      </c>
      <c r="V22" s="24" t="str">
        <f>$H22&amp;"in"&amp;基本情報!$C$13</f>
        <v>in</v>
      </c>
      <c r="W22" s="24">
        <f t="shared" si="3"/>
        <v>0</v>
      </c>
      <c r="X22" s="24">
        <f>IF($H22="",0,IF($D22="樹林",IF(ISERROR(VLOOKUP($V22,市町村・植物種ごとの樹林点数DB!$A:$G,7,FALSE))=TRUE,20,VLOOKUP($V22,市町村・植物種ごとの樹林点数DB!$A:$G,7,FALSE)),IF($D22="低木・草地",IF($H22="【ススキ】・【ネザサ】・【チガヤ】",45,10),0)))</f>
        <v>0</v>
      </c>
      <c r="Y22" s="24">
        <f t="shared" si="59"/>
        <v>0</v>
      </c>
      <c r="Z22" s="24">
        <f t="shared" si="60"/>
        <v>1</v>
      </c>
      <c r="AA22" s="24">
        <f t="shared" si="61"/>
        <v>1</v>
      </c>
      <c r="AB22" s="24">
        <f t="shared" si="62"/>
        <v>0</v>
      </c>
      <c r="AC22" s="25">
        <f t="shared" si="63"/>
        <v>0</v>
      </c>
      <c r="AD22" s="25">
        <f t="shared" si="64"/>
        <v>0</v>
      </c>
      <c r="AE22" s="25">
        <f t="shared" si="65"/>
        <v>0</v>
      </c>
      <c r="AF22" s="25" t="str">
        <f t="shared" si="66"/>
        <v/>
      </c>
      <c r="AG22" s="25" t="str">
        <f t="shared" si="67"/>
        <v/>
      </c>
      <c r="AH22" s="25" t="str">
        <f t="shared" si="68"/>
        <v/>
      </c>
      <c r="AI22" s="25">
        <f>IF(ISERROR(VLOOKUP(K22,割合DB!$A:$B,2,FALSE))=TRUE,100,VLOOKUP(K22,割合DB!$A:$B,2,FALSE))</f>
        <v>100</v>
      </c>
      <c r="AJ22" s="25">
        <f>IF(ISERROR(VLOOKUP(L22,割合DB!$A:$B,2,FALSE))=TRUE,100,VLOOKUP(L22,割合DB!$A:$B,2,FALSE))</f>
        <v>100</v>
      </c>
      <c r="AK22" s="25">
        <f>IF(ISERROR(VLOOKUP(M22,割合DB!$A:$B,2,FALSE))=TRUE,100,VLOOKUP(M22,割合DB!$A:$B,2,FALSE))</f>
        <v>100</v>
      </c>
      <c r="AL22" s="25">
        <f t="shared" si="69"/>
        <v>0</v>
      </c>
      <c r="AM22" s="18">
        <f t="shared" si="70"/>
        <v>0</v>
      </c>
      <c r="AN22" s="18">
        <f t="shared" si="71"/>
        <v>0</v>
      </c>
      <c r="AO22" s="18">
        <f t="shared" si="17"/>
        <v>0</v>
      </c>
      <c r="AP22" s="18">
        <f>IF($C22="人工面",0,IF($G22="",70,IF($D22="湿性環境",VLOOKUP($G22,環境タイプⅡによる点数DB!$A:$B,2,FALSE),IF($D22="樹林",VLOOKUP($G22,環境タイプⅡによる点数DB!$A:$C,3,FALSE),IF($D22="低木・草地",VLOOKUP($G22,環境タイプⅡによる点数DB!$A:$D,4,FALSE),0)))))</f>
        <v>70</v>
      </c>
      <c r="AQ22" s="24" t="str">
        <f>$H22&amp;"in"&amp;基本情報!$C$13</f>
        <v>in</v>
      </c>
      <c r="AR22" s="24">
        <f t="shared" si="18"/>
        <v>0</v>
      </c>
      <c r="AS22" s="24">
        <f>IF($H22="",0,IF($D22="樹林",IF(ISERROR(VLOOKUP($V22,市町村・植物種ごとの樹林点数DB!$A:$F,6,FALSE))=TRUE,10,VLOOKUP($V22,市町村・植物種ごとの樹林点数DB!$A:$F,6,FALSE)),IF($D22="低木・草地",IF(OR($H22="【ススキ】・【ネザサ】・【チガヤ】",$H22="不明"),45,10),0)))</f>
        <v>0</v>
      </c>
      <c r="AT22" s="24">
        <f t="shared" si="19"/>
        <v>0</v>
      </c>
      <c r="AU22" s="24">
        <f t="shared" si="20"/>
        <v>1</v>
      </c>
      <c r="AV22" s="24">
        <f t="shared" si="21"/>
        <v>0</v>
      </c>
      <c r="AW22" s="24">
        <f t="shared" si="22"/>
        <v>1</v>
      </c>
      <c r="AX22" s="25">
        <f t="shared" si="72"/>
        <v>0</v>
      </c>
      <c r="AY22" s="25">
        <f t="shared" si="73"/>
        <v>0</v>
      </c>
      <c r="AZ22" s="25">
        <f t="shared" si="74"/>
        <v>0</v>
      </c>
      <c r="BA22" s="25" t="str">
        <f t="shared" si="75"/>
        <v/>
      </c>
      <c r="BB22" s="25" t="str">
        <f t="shared" si="76"/>
        <v/>
      </c>
      <c r="BC22" s="25" t="str">
        <f t="shared" si="77"/>
        <v/>
      </c>
      <c r="BD22" s="25">
        <f>IF(ISERROR(VLOOKUP($K22,割合DB!$A:$B,2,FALSE))=TRUE,0,VLOOKUP($K22,割合DB!$A:$B,2,FALSE))</f>
        <v>0</v>
      </c>
      <c r="BE22" s="25">
        <f>IF(ISERROR(VLOOKUP($L22,割合DB!$A:$B,2,FALSE))=TRUE,0,VLOOKUP($L22,割合DB!$A:$B,2,FALSE))</f>
        <v>0</v>
      </c>
      <c r="BF22" s="25">
        <f>IF(ISERROR(VLOOKUP($M22,割合DB!$A:$B,2,FALSE))=TRUE,0,VLOOKUP($M22,割合DB!$A:$B,2,FALSE))</f>
        <v>0</v>
      </c>
      <c r="BG22" s="25">
        <f t="shared" si="78"/>
        <v>100</v>
      </c>
      <c r="BH22" s="18">
        <f t="shared" si="79"/>
        <v>100</v>
      </c>
      <c r="BI22" s="18">
        <f t="shared" si="33"/>
        <v>1</v>
      </c>
      <c r="BJ22" s="176"/>
      <c r="BK22" s="176"/>
      <c r="BL22" s="176"/>
      <c r="BM22" s="176"/>
      <c r="BN22" s="176"/>
      <c r="BO22" s="176"/>
      <c r="BP22" s="176"/>
      <c r="BQ22" s="176"/>
      <c r="BR22" s="176"/>
      <c r="BS22" s="176"/>
      <c r="BT22" s="176"/>
      <c r="BU22" s="176"/>
      <c r="BV22" s="176"/>
      <c r="BW22" s="176"/>
      <c r="BX22" s="176"/>
      <c r="BY22" s="176"/>
      <c r="BZ22" s="176"/>
      <c r="CA22" s="176"/>
    </row>
    <row r="23" spans="1:79" ht="27" customHeight="1" x14ac:dyDescent="0.15">
      <c r="A23" s="160" t="s">
        <v>515</v>
      </c>
      <c r="B23" s="21"/>
      <c r="C23" s="19"/>
      <c r="D23" s="40" t="str">
        <f t="shared" si="31"/>
        <v/>
      </c>
      <c r="E23" s="19"/>
      <c r="F23" s="26"/>
      <c r="G23" s="21"/>
      <c r="H23" s="22"/>
      <c r="I23" s="22"/>
      <c r="J23" s="22"/>
      <c r="K23" s="23"/>
      <c r="L23" s="23"/>
      <c r="M23" s="23"/>
      <c r="N23" s="146"/>
      <c r="O23" s="40">
        <f t="shared" si="57"/>
        <v>0</v>
      </c>
      <c r="P23" s="183" t="str">
        <f t="shared" si="58"/>
        <v/>
      </c>
      <c r="S23" s="18">
        <f t="shared" si="32"/>
        <v>0</v>
      </c>
      <c r="T23" s="18">
        <f t="shared" si="2"/>
        <v>0</v>
      </c>
      <c r="U23" s="18">
        <f>IF(C23="人工面",0,IF(G23="",0,IF(D23="湿性環境",VLOOKUP(G23,環境タイプⅡによる点数DB!A:B,2,FALSE),IF(D23="樹林",VLOOKUP(G23,環境タイプⅡによる点数DB!A:C,3,FALSE),IF(D23="低木・草地",VLOOKUP(G23,環境タイプⅡによる点数DB!A:D,4,FALSE),0)))))</f>
        <v>0</v>
      </c>
      <c r="V23" s="24" t="str">
        <f>$H23&amp;"in"&amp;基本情報!$C$13</f>
        <v>in</v>
      </c>
      <c r="W23" s="24">
        <f t="shared" si="3"/>
        <v>0</v>
      </c>
      <c r="X23" s="24">
        <f>IF($H23="",0,IF($D23="樹林",IF(ISERROR(VLOOKUP($V23,市町村・植物種ごとの樹林点数DB!$A:$G,7,FALSE))=TRUE,20,VLOOKUP($V23,市町村・植物種ごとの樹林点数DB!$A:$G,7,FALSE)),IF($D23="低木・草地",IF($H23="【ススキ】・【ネザサ】・【チガヤ】",45,10),0)))</f>
        <v>0</v>
      </c>
      <c r="Y23" s="24">
        <f t="shared" si="59"/>
        <v>0</v>
      </c>
      <c r="Z23" s="24">
        <f t="shared" si="60"/>
        <v>1</v>
      </c>
      <c r="AA23" s="24">
        <f t="shared" si="61"/>
        <v>1</v>
      </c>
      <c r="AB23" s="24">
        <f t="shared" si="62"/>
        <v>0</v>
      </c>
      <c r="AC23" s="25">
        <f t="shared" si="63"/>
        <v>0</v>
      </c>
      <c r="AD23" s="25">
        <f t="shared" si="64"/>
        <v>0</v>
      </c>
      <c r="AE23" s="25">
        <f t="shared" si="65"/>
        <v>0</v>
      </c>
      <c r="AF23" s="25" t="str">
        <f t="shared" si="66"/>
        <v/>
      </c>
      <c r="AG23" s="25" t="str">
        <f t="shared" si="67"/>
        <v/>
      </c>
      <c r="AH23" s="25" t="str">
        <f t="shared" si="68"/>
        <v/>
      </c>
      <c r="AI23" s="25">
        <f>IF(ISERROR(VLOOKUP(K23,割合DB!$A:$B,2,FALSE))=TRUE,100,VLOOKUP(K23,割合DB!$A:$B,2,FALSE))</f>
        <v>100</v>
      </c>
      <c r="AJ23" s="25">
        <f>IF(ISERROR(VLOOKUP(L23,割合DB!$A:$B,2,FALSE))=TRUE,100,VLOOKUP(L23,割合DB!$A:$B,2,FALSE))</f>
        <v>100</v>
      </c>
      <c r="AK23" s="25">
        <f>IF(ISERROR(VLOOKUP(M23,割合DB!$A:$B,2,FALSE))=TRUE,100,VLOOKUP(M23,割合DB!$A:$B,2,FALSE))</f>
        <v>100</v>
      </c>
      <c r="AL23" s="25">
        <f t="shared" si="69"/>
        <v>0</v>
      </c>
      <c r="AM23" s="18">
        <f t="shared" si="70"/>
        <v>0</v>
      </c>
      <c r="AN23" s="18">
        <f t="shared" si="71"/>
        <v>0</v>
      </c>
      <c r="AO23" s="18">
        <f t="shared" si="17"/>
        <v>0</v>
      </c>
      <c r="AP23" s="18">
        <f>IF($C23="人工面",0,IF($G23="",70,IF($D23="湿性環境",VLOOKUP($G23,環境タイプⅡによる点数DB!$A:$B,2,FALSE),IF($D23="樹林",VLOOKUP($G23,環境タイプⅡによる点数DB!$A:$C,3,FALSE),IF($D23="低木・草地",VLOOKUP($G23,環境タイプⅡによる点数DB!$A:$D,4,FALSE),0)))))</f>
        <v>70</v>
      </c>
      <c r="AQ23" s="24" t="str">
        <f>$H23&amp;"in"&amp;基本情報!$C$13</f>
        <v>in</v>
      </c>
      <c r="AR23" s="24">
        <f t="shared" si="18"/>
        <v>0</v>
      </c>
      <c r="AS23" s="24">
        <f>IF($H23="",0,IF($D23="樹林",IF(ISERROR(VLOOKUP($V23,市町村・植物種ごとの樹林点数DB!$A:$F,6,FALSE))=TRUE,10,VLOOKUP($V23,市町村・植物種ごとの樹林点数DB!$A:$F,6,FALSE)),IF($D23="低木・草地",IF(OR($H23="【ススキ】・【ネザサ】・【チガヤ】",$H23="不明"),45,10),0)))</f>
        <v>0</v>
      </c>
      <c r="AT23" s="24">
        <f t="shared" si="19"/>
        <v>0</v>
      </c>
      <c r="AU23" s="24">
        <f t="shared" si="20"/>
        <v>1</v>
      </c>
      <c r="AV23" s="24">
        <f t="shared" si="21"/>
        <v>0</v>
      </c>
      <c r="AW23" s="24">
        <f t="shared" si="22"/>
        <v>1</v>
      </c>
      <c r="AX23" s="25">
        <f t="shared" si="72"/>
        <v>0</v>
      </c>
      <c r="AY23" s="25">
        <f t="shared" si="73"/>
        <v>0</v>
      </c>
      <c r="AZ23" s="25">
        <f t="shared" si="74"/>
        <v>0</v>
      </c>
      <c r="BA23" s="25" t="str">
        <f t="shared" si="75"/>
        <v/>
      </c>
      <c r="BB23" s="25" t="str">
        <f t="shared" si="76"/>
        <v/>
      </c>
      <c r="BC23" s="25" t="str">
        <f t="shared" si="77"/>
        <v/>
      </c>
      <c r="BD23" s="25">
        <f>IF(ISERROR(VLOOKUP($K23,割合DB!$A:$B,2,FALSE))=TRUE,0,VLOOKUP($K23,割合DB!$A:$B,2,FALSE))</f>
        <v>0</v>
      </c>
      <c r="BE23" s="25">
        <f>IF(ISERROR(VLOOKUP($L23,割合DB!$A:$B,2,FALSE))=TRUE,0,VLOOKUP($L23,割合DB!$A:$B,2,FALSE))</f>
        <v>0</v>
      </c>
      <c r="BF23" s="25">
        <f>IF(ISERROR(VLOOKUP($M23,割合DB!$A:$B,2,FALSE))=TRUE,0,VLOOKUP($M23,割合DB!$A:$B,2,FALSE))</f>
        <v>0</v>
      </c>
      <c r="BG23" s="25">
        <f t="shared" si="78"/>
        <v>100</v>
      </c>
      <c r="BH23" s="18">
        <f t="shared" si="79"/>
        <v>100</v>
      </c>
      <c r="BI23" s="18">
        <f t="shared" si="33"/>
        <v>1</v>
      </c>
      <c r="BJ23" s="176"/>
      <c r="BK23" s="176"/>
      <c r="BL23" s="176"/>
      <c r="BM23" s="176"/>
      <c r="BN23" s="176"/>
      <c r="BO23" s="176"/>
      <c r="BP23" s="176"/>
      <c r="BQ23" s="176"/>
      <c r="BR23" s="176"/>
      <c r="BS23" s="176"/>
      <c r="BT23" s="176"/>
      <c r="BU23" s="176"/>
      <c r="BV23" s="176"/>
      <c r="BW23" s="176"/>
      <c r="BX23" s="176"/>
      <c r="BY23" s="176"/>
      <c r="BZ23" s="176"/>
      <c r="CA23" s="176"/>
    </row>
    <row r="24" spans="1:79" ht="27" customHeight="1" x14ac:dyDescent="0.15">
      <c r="A24" s="160" t="s">
        <v>516</v>
      </c>
      <c r="B24" s="21"/>
      <c r="C24" s="19"/>
      <c r="D24" s="40" t="str">
        <f t="shared" si="31"/>
        <v/>
      </c>
      <c r="E24" s="19"/>
      <c r="F24" s="26"/>
      <c r="G24" s="21"/>
      <c r="H24" s="22"/>
      <c r="I24" s="22"/>
      <c r="J24" s="22"/>
      <c r="K24" s="23"/>
      <c r="L24" s="23"/>
      <c r="M24" s="23"/>
      <c r="N24" s="146"/>
      <c r="O24" s="40">
        <f t="shared" si="57"/>
        <v>0</v>
      </c>
      <c r="P24" s="183" t="str">
        <f t="shared" si="58"/>
        <v/>
      </c>
      <c r="S24" s="18">
        <f t="shared" si="32"/>
        <v>0</v>
      </c>
      <c r="T24" s="18">
        <f t="shared" si="2"/>
        <v>0</v>
      </c>
      <c r="U24" s="18">
        <f>IF(C24="人工面",0,IF(G24="",0,IF(D24="湿性環境",VLOOKUP(G24,環境タイプⅡによる点数DB!A:B,2,FALSE),IF(D24="樹林",VLOOKUP(G24,環境タイプⅡによる点数DB!A:C,3,FALSE),IF(D24="低木・草地",VLOOKUP(G24,環境タイプⅡによる点数DB!A:D,4,FALSE),0)))))</f>
        <v>0</v>
      </c>
      <c r="V24" s="24" t="str">
        <f>$H24&amp;"in"&amp;基本情報!$C$13</f>
        <v>in</v>
      </c>
      <c r="W24" s="24">
        <f t="shared" si="3"/>
        <v>0</v>
      </c>
      <c r="X24" s="24">
        <f>IF($H24="",0,IF($D24="樹林",IF(ISERROR(VLOOKUP($V24,市町村・植物種ごとの樹林点数DB!$A:$G,7,FALSE))=TRUE,20,VLOOKUP($V24,市町村・植物種ごとの樹林点数DB!$A:$G,7,FALSE)),IF($D24="低木・草地",IF($H24="【ススキ】・【ネザサ】・【チガヤ】",45,10),0)))</f>
        <v>0</v>
      </c>
      <c r="Y24" s="24">
        <f t="shared" si="59"/>
        <v>0</v>
      </c>
      <c r="Z24" s="24">
        <f t="shared" si="60"/>
        <v>1</v>
      </c>
      <c r="AA24" s="24">
        <f t="shared" si="61"/>
        <v>1</v>
      </c>
      <c r="AB24" s="24">
        <f t="shared" si="62"/>
        <v>0</v>
      </c>
      <c r="AC24" s="25">
        <f t="shared" si="63"/>
        <v>0</v>
      </c>
      <c r="AD24" s="25">
        <f t="shared" si="64"/>
        <v>0</v>
      </c>
      <c r="AE24" s="25">
        <f t="shared" si="65"/>
        <v>0</v>
      </c>
      <c r="AF24" s="25" t="str">
        <f t="shared" si="66"/>
        <v/>
      </c>
      <c r="AG24" s="25" t="str">
        <f t="shared" si="67"/>
        <v/>
      </c>
      <c r="AH24" s="25" t="str">
        <f t="shared" si="68"/>
        <v/>
      </c>
      <c r="AI24" s="25">
        <f>IF(ISERROR(VLOOKUP(K24,割合DB!$A:$B,2,FALSE))=TRUE,100,VLOOKUP(K24,割合DB!$A:$B,2,FALSE))</f>
        <v>100</v>
      </c>
      <c r="AJ24" s="25">
        <f>IF(ISERROR(VLOOKUP(L24,割合DB!$A:$B,2,FALSE))=TRUE,100,VLOOKUP(L24,割合DB!$A:$B,2,FALSE))</f>
        <v>100</v>
      </c>
      <c r="AK24" s="25">
        <f>IF(ISERROR(VLOOKUP(M24,割合DB!$A:$B,2,FALSE))=TRUE,100,VLOOKUP(M24,割合DB!$A:$B,2,FALSE))</f>
        <v>100</v>
      </c>
      <c r="AL24" s="25">
        <f t="shared" si="69"/>
        <v>0</v>
      </c>
      <c r="AM24" s="18">
        <f t="shared" si="70"/>
        <v>0</v>
      </c>
      <c r="AN24" s="18">
        <f t="shared" si="71"/>
        <v>0</v>
      </c>
      <c r="AO24" s="18">
        <f t="shared" si="17"/>
        <v>0</v>
      </c>
      <c r="AP24" s="18">
        <f>IF($C24="人工面",0,IF($G24="",70,IF($D24="湿性環境",VLOOKUP($G24,環境タイプⅡによる点数DB!$A:$B,2,FALSE),IF($D24="樹林",VLOOKUP($G24,環境タイプⅡによる点数DB!$A:$C,3,FALSE),IF($D24="低木・草地",VLOOKUP($G24,環境タイプⅡによる点数DB!$A:$D,4,FALSE),0)))))</f>
        <v>70</v>
      </c>
      <c r="AQ24" s="24" t="str">
        <f>$H24&amp;"in"&amp;基本情報!$C$13</f>
        <v>in</v>
      </c>
      <c r="AR24" s="24">
        <f t="shared" si="18"/>
        <v>0</v>
      </c>
      <c r="AS24" s="24">
        <f>IF($H24="",0,IF($D24="樹林",IF(ISERROR(VLOOKUP($V24,市町村・植物種ごとの樹林点数DB!$A:$F,6,FALSE))=TRUE,10,VLOOKUP($V24,市町村・植物種ごとの樹林点数DB!$A:$F,6,FALSE)),IF($D24="低木・草地",IF(OR($H24="【ススキ】・【ネザサ】・【チガヤ】",$H24="不明"),45,10),0)))</f>
        <v>0</v>
      </c>
      <c r="AT24" s="24">
        <f t="shared" si="19"/>
        <v>0</v>
      </c>
      <c r="AU24" s="24">
        <f t="shared" si="20"/>
        <v>1</v>
      </c>
      <c r="AV24" s="24">
        <f t="shared" si="21"/>
        <v>0</v>
      </c>
      <c r="AW24" s="24">
        <f t="shared" si="22"/>
        <v>1</v>
      </c>
      <c r="AX24" s="25">
        <f t="shared" si="72"/>
        <v>0</v>
      </c>
      <c r="AY24" s="25">
        <f t="shared" si="73"/>
        <v>0</v>
      </c>
      <c r="AZ24" s="25">
        <f t="shared" si="74"/>
        <v>0</v>
      </c>
      <c r="BA24" s="25" t="str">
        <f t="shared" si="75"/>
        <v/>
      </c>
      <c r="BB24" s="25" t="str">
        <f t="shared" si="76"/>
        <v/>
      </c>
      <c r="BC24" s="25" t="str">
        <f t="shared" si="77"/>
        <v/>
      </c>
      <c r="BD24" s="25">
        <f>IF(ISERROR(VLOOKUP($K24,割合DB!$A:$B,2,FALSE))=TRUE,0,VLOOKUP($K24,割合DB!$A:$B,2,FALSE))</f>
        <v>0</v>
      </c>
      <c r="BE24" s="25">
        <f>IF(ISERROR(VLOOKUP($L24,割合DB!$A:$B,2,FALSE))=TRUE,0,VLOOKUP($L24,割合DB!$A:$B,2,FALSE))</f>
        <v>0</v>
      </c>
      <c r="BF24" s="25">
        <f>IF(ISERROR(VLOOKUP($M24,割合DB!$A:$B,2,FALSE))=TRUE,0,VLOOKUP($M24,割合DB!$A:$B,2,FALSE))</f>
        <v>0</v>
      </c>
      <c r="BG24" s="25">
        <f t="shared" si="78"/>
        <v>100</v>
      </c>
      <c r="BH24" s="18">
        <f t="shared" si="79"/>
        <v>100</v>
      </c>
      <c r="BI24" s="18">
        <f t="shared" si="33"/>
        <v>1</v>
      </c>
      <c r="BJ24" s="176"/>
      <c r="BK24" s="176"/>
      <c r="BL24" s="176"/>
      <c r="BM24" s="176"/>
      <c r="BN24" s="176"/>
      <c r="BO24" s="176"/>
      <c r="BP24" s="176"/>
      <c r="BQ24" s="176"/>
      <c r="BR24" s="176"/>
      <c r="BS24" s="176"/>
      <c r="BT24" s="176"/>
      <c r="BU24" s="176"/>
      <c r="BV24" s="176"/>
      <c r="BW24" s="176"/>
      <c r="BX24" s="176"/>
      <c r="BY24" s="176"/>
      <c r="BZ24" s="176"/>
      <c r="CA24" s="176"/>
    </row>
    <row r="25" spans="1:79" ht="27" customHeight="1" x14ac:dyDescent="0.15">
      <c r="A25" s="160" t="s">
        <v>517</v>
      </c>
      <c r="B25" s="21"/>
      <c r="C25" s="19"/>
      <c r="D25" s="40" t="str">
        <f t="shared" si="31"/>
        <v/>
      </c>
      <c r="E25" s="19"/>
      <c r="F25" s="26"/>
      <c r="G25" s="21"/>
      <c r="H25" s="22"/>
      <c r="I25" s="22"/>
      <c r="J25" s="22"/>
      <c r="K25" s="23"/>
      <c r="L25" s="23"/>
      <c r="M25" s="23"/>
      <c r="N25" s="146"/>
      <c r="O25" s="40">
        <f t="shared" si="57"/>
        <v>0</v>
      </c>
      <c r="P25" s="183" t="str">
        <f t="shared" si="58"/>
        <v/>
      </c>
      <c r="S25" s="18">
        <f t="shared" si="32"/>
        <v>0</v>
      </c>
      <c r="T25" s="18">
        <f t="shared" si="2"/>
        <v>0</v>
      </c>
      <c r="U25" s="18">
        <f>IF(C25="人工面",0,IF(G25="",0,IF(D25="湿性環境",VLOOKUP(G25,環境タイプⅡによる点数DB!A:B,2,FALSE),IF(D25="樹林",VLOOKUP(G25,環境タイプⅡによる点数DB!A:C,3,FALSE),IF(D25="低木・草地",VLOOKUP(G25,環境タイプⅡによる点数DB!A:D,4,FALSE),0)))))</f>
        <v>0</v>
      </c>
      <c r="V25" s="24" t="str">
        <f>$H25&amp;"in"&amp;基本情報!$C$13</f>
        <v>in</v>
      </c>
      <c r="W25" s="24">
        <f t="shared" si="3"/>
        <v>0</v>
      </c>
      <c r="X25" s="24">
        <f>IF($H25="",0,IF($D25="樹林",IF(ISERROR(VLOOKUP($V25,市町村・植物種ごとの樹林点数DB!$A:$G,7,FALSE))=TRUE,20,VLOOKUP($V25,市町村・植物種ごとの樹林点数DB!$A:$G,7,FALSE)),IF($D25="低木・草地",IF($H25="【ススキ】・【ネザサ】・【チガヤ】",45,10),0)))</f>
        <v>0</v>
      </c>
      <c r="Y25" s="24">
        <f t="shared" si="59"/>
        <v>0</v>
      </c>
      <c r="Z25" s="24">
        <f t="shared" si="60"/>
        <v>1</v>
      </c>
      <c r="AA25" s="24">
        <f t="shared" si="61"/>
        <v>1</v>
      </c>
      <c r="AB25" s="24">
        <f t="shared" si="62"/>
        <v>0</v>
      </c>
      <c r="AC25" s="25">
        <f t="shared" si="63"/>
        <v>0</v>
      </c>
      <c r="AD25" s="25">
        <f t="shared" si="64"/>
        <v>0</v>
      </c>
      <c r="AE25" s="25">
        <f t="shared" si="65"/>
        <v>0</v>
      </c>
      <c r="AF25" s="25" t="str">
        <f t="shared" si="66"/>
        <v/>
      </c>
      <c r="AG25" s="25" t="str">
        <f t="shared" si="67"/>
        <v/>
      </c>
      <c r="AH25" s="25" t="str">
        <f t="shared" si="68"/>
        <v/>
      </c>
      <c r="AI25" s="25">
        <f>IF(ISERROR(VLOOKUP(K25,割合DB!$A:$B,2,FALSE))=TRUE,100,VLOOKUP(K25,割合DB!$A:$B,2,FALSE))</f>
        <v>100</v>
      </c>
      <c r="AJ25" s="25">
        <f>IF(ISERROR(VLOOKUP(L25,割合DB!$A:$B,2,FALSE))=TRUE,100,VLOOKUP(L25,割合DB!$A:$B,2,FALSE))</f>
        <v>100</v>
      </c>
      <c r="AK25" s="25">
        <f>IF(ISERROR(VLOOKUP(M25,割合DB!$A:$B,2,FALSE))=TRUE,100,VLOOKUP(M25,割合DB!$A:$B,2,FALSE))</f>
        <v>100</v>
      </c>
      <c r="AL25" s="25">
        <f t="shared" si="69"/>
        <v>0</v>
      </c>
      <c r="AM25" s="18">
        <f t="shared" si="70"/>
        <v>0</v>
      </c>
      <c r="AN25" s="18">
        <f t="shared" si="71"/>
        <v>0</v>
      </c>
      <c r="AO25" s="18">
        <f t="shared" si="17"/>
        <v>0</v>
      </c>
      <c r="AP25" s="18">
        <f>IF($C25="人工面",0,IF($G25="",70,IF($D25="湿性環境",VLOOKUP($G25,環境タイプⅡによる点数DB!$A:$B,2,FALSE),IF($D25="樹林",VLOOKUP($G25,環境タイプⅡによる点数DB!$A:$C,3,FALSE),IF($D25="低木・草地",VLOOKUP($G25,環境タイプⅡによる点数DB!$A:$D,4,FALSE),0)))))</f>
        <v>70</v>
      </c>
      <c r="AQ25" s="24" t="str">
        <f>$H25&amp;"in"&amp;基本情報!$C$13</f>
        <v>in</v>
      </c>
      <c r="AR25" s="24">
        <f t="shared" si="18"/>
        <v>0</v>
      </c>
      <c r="AS25" s="24">
        <f>IF($H25="",0,IF($D25="樹林",IF(ISERROR(VLOOKUP($V25,市町村・植物種ごとの樹林点数DB!$A:$F,6,FALSE))=TRUE,10,VLOOKUP($V25,市町村・植物種ごとの樹林点数DB!$A:$F,6,FALSE)),IF($D25="低木・草地",IF(OR($H25="【ススキ】・【ネザサ】・【チガヤ】",$H25="不明"),45,10),0)))</f>
        <v>0</v>
      </c>
      <c r="AT25" s="24">
        <f t="shared" si="19"/>
        <v>0</v>
      </c>
      <c r="AU25" s="24">
        <f t="shared" si="20"/>
        <v>1</v>
      </c>
      <c r="AV25" s="24">
        <f t="shared" si="21"/>
        <v>0</v>
      </c>
      <c r="AW25" s="24">
        <f t="shared" si="22"/>
        <v>1</v>
      </c>
      <c r="AX25" s="25">
        <f t="shared" si="72"/>
        <v>0</v>
      </c>
      <c r="AY25" s="25">
        <f t="shared" si="73"/>
        <v>0</v>
      </c>
      <c r="AZ25" s="25">
        <f t="shared" si="74"/>
        <v>0</v>
      </c>
      <c r="BA25" s="25" t="str">
        <f t="shared" si="75"/>
        <v/>
      </c>
      <c r="BB25" s="25" t="str">
        <f t="shared" si="76"/>
        <v/>
      </c>
      <c r="BC25" s="25" t="str">
        <f t="shared" si="77"/>
        <v/>
      </c>
      <c r="BD25" s="25">
        <f>IF(ISERROR(VLOOKUP($K25,割合DB!$A:$B,2,FALSE))=TRUE,0,VLOOKUP($K25,割合DB!$A:$B,2,FALSE))</f>
        <v>0</v>
      </c>
      <c r="BE25" s="25">
        <f>IF(ISERROR(VLOOKUP($L25,割合DB!$A:$B,2,FALSE))=TRUE,0,VLOOKUP($L25,割合DB!$A:$B,2,FALSE))</f>
        <v>0</v>
      </c>
      <c r="BF25" s="25">
        <f>IF(ISERROR(VLOOKUP($M25,割合DB!$A:$B,2,FALSE))=TRUE,0,VLOOKUP($M25,割合DB!$A:$B,2,FALSE))</f>
        <v>0</v>
      </c>
      <c r="BG25" s="25">
        <f t="shared" si="78"/>
        <v>100</v>
      </c>
      <c r="BH25" s="18">
        <f t="shared" si="79"/>
        <v>100</v>
      </c>
      <c r="BI25" s="18">
        <f t="shared" si="33"/>
        <v>1</v>
      </c>
      <c r="BJ25" s="176"/>
      <c r="BK25" s="176"/>
      <c r="BL25" s="176"/>
      <c r="BM25" s="176"/>
      <c r="BN25" s="176"/>
      <c r="BO25" s="176"/>
      <c r="BP25" s="176"/>
      <c r="BQ25" s="176"/>
      <c r="BR25" s="176"/>
      <c r="BS25" s="176"/>
      <c r="BT25" s="176"/>
      <c r="BU25" s="176"/>
      <c r="BV25" s="176"/>
      <c r="BW25" s="176"/>
      <c r="BX25" s="176"/>
      <c r="BY25" s="176"/>
      <c r="BZ25" s="176"/>
      <c r="CA25" s="176"/>
    </row>
    <row r="26" spans="1:79" ht="27" customHeight="1" x14ac:dyDescent="0.15">
      <c r="A26" s="160" t="s">
        <v>518</v>
      </c>
      <c r="B26" s="21"/>
      <c r="C26" s="19"/>
      <c r="D26" s="40" t="str">
        <f t="shared" si="31"/>
        <v/>
      </c>
      <c r="E26" s="19"/>
      <c r="F26" s="26"/>
      <c r="G26" s="21"/>
      <c r="H26" s="22"/>
      <c r="I26" s="22"/>
      <c r="J26" s="22"/>
      <c r="K26" s="23"/>
      <c r="L26" s="23"/>
      <c r="M26" s="23"/>
      <c r="N26" s="146"/>
      <c r="O26" s="40">
        <f t="shared" si="57"/>
        <v>0</v>
      </c>
      <c r="P26" s="183" t="str">
        <f t="shared" si="58"/>
        <v/>
      </c>
      <c r="S26" s="18">
        <f t="shared" si="32"/>
        <v>0</v>
      </c>
      <c r="T26" s="18">
        <f t="shared" si="2"/>
        <v>0</v>
      </c>
      <c r="U26" s="18">
        <f>IF(C26="人工面",0,IF(G26="",0,IF(D26="湿性環境",VLOOKUP(G26,環境タイプⅡによる点数DB!A:B,2,FALSE),IF(D26="樹林",VLOOKUP(G26,環境タイプⅡによる点数DB!A:C,3,FALSE),IF(D26="低木・草地",VLOOKUP(G26,環境タイプⅡによる点数DB!A:D,4,FALSE),0)))))</f>
        <v>0</v>
      </c>
      <c r="V26" s="24" t="str">
        <f>$H26&amp;"in"&amp;基本情報!$C$13</f>
        <v>in</v>
      </c>
      <c r="W26" s="24">
        <f t="shared" si="3"/>
        <v>0</v>
      </c>
      <c r="X26" s="24">
        <f>IF($H26="",0,IF($D26="樹林",IF(ISERROR(VLOOKUP($V26,市町村・植物種ごとの樹林点数DB!$A:$G,7,FALSE))=TRUE,20,VLOOKUP($V26,市町村・植物種ごとの樹林点数DB!$A:$G,7,FALSE)),IF($D26="低木・草地",IF($H26="【ススキ】・【ネザサ】・【チガヤ】",45,10),0)))</f>
        <v>0</v>
      </c>
      <c r="Y26" s="24">
        <f t="shared" si="59"/>
        <v>0</v>
      </c>
      <c r="Z26" s="24">
        <f t="shared" si="60"/>
        <v>1</v>
      </c>
      <c r="AA26" s="24">
        <f t="shared" si="61"/>
        <v>1</v>
      </c>
      <c r="AB26" s="24">
        <f t="shared" si="62"/>
        <v>0</v>
      </c>
      <c r="AC26" s="25">
        <f t="shared" si="63"/>
        <v>0</v>
      </c>
      <c r="AD26" s="25">
        <f t="shared" si="64"/>
        <v>0</v>
      </c>
      <c r="AE26" s="25">
        <f t="shared" si="65"/>
        <v>0</v>
      </c>
      <c r="AF26" s="25" t="str">
        <f t="shared" si="66"/>
        <v/>
      </c>
      <c r="AG26" s="25" t="str">
        <f t="shared" si="67"/>
        <v/>
      </c>
      <c r="AH26" s="25" t="str">
        <f t="shared" si="68"/>
        <v/>
      </c>
      <c r="AI26" s="25">
        <f>IF(ISERROR(VLOOKUP(K26,割合DB!$A:$B,2,FALSE))=TRUE,100,VLOOKUP(K26,割合DB!$A:$B,2,FALSE))</f>
        <v>100</v>
      </c>
      <c r="AJ26" s="25">
        <f>IF(ISERROR(VLOOKUP(L26,割合DB!$A:$B,2,FALSE))=TRUE,100,VLOOKUP(L26,割合DB!$A:$B,2,FALSE))</f>
        <v>100</v>
      </c>
      <c r="AK26" s="25">
        <f>IF(ISERROR(VLOOKUP(M26,割合DB!$A:$B,2,FALSE))=TRUE,100,VLOOKUP(M26,割合DB!$A:$B,2,FALSE))</f>
        <v>100</v>
      </c>
      <c r="AL26" s="25">
        <f t="shared" si="69"/>
        <v>0</v>
      </c>
      <c r="AM26" s="18">
        <f t="shared" si="70"/>
        <v>0</v>
      </c>
      <c r="AN26" s="18">
        <f t="shared" si="71"/>
        <v>0</v>
      </c>
      <c r="AO26" s="18">
        <f t="shared" si="17"/>
        <v>0</v>
      </c>
      <c r="AP26" s="18">
        <f>IF($C26="人工面",0,IF($G26="",70,IF($D26="湿性環境",VLOOKUP($G26,環境タイプⅡによる点数DB!$A:$B,2,FALSE),IF($D26="樹林",VLOOKUP($G26,環境タイプⅡによる点数DB!$A:$C,3,FALSE),IF($D26="低木・草地",VLOOKUP($G26,環境タイプⅡによる点数DB!$A:$D,4,FALSE),0)))))</f>
        <v>70</v>
      </c>
      <c r="AQ26" s="24" t="str">
        <f>$H26&amp;"in"&amp;基本情報!$C$13</f>
        <v>in</v>
      </c>
      <c r="AR26" s="24">
        <f t="shared" si="18"/>
        <v>0</v>
      </c>
      <c r="AS26" s="24">
        <f>IF($H26="",0,IF($D26="樹林",IF(ISERROR(VLOOKUP($V26,市町村・植物種ごとの樹林点数DB!$A:$F,6,FALSE))=TRUE,10,VLOOKUP($V26,市町村・植物種ごとの樹林点数DB!$A:$F,6,FALSE)),IF($D26="低木・草地",IF(OR($H26="【ススキ】・【ネザサ】・【チガヤ】",$H26="不明"),45,10),0)))</f>
        <v>0</v>
      </c>
      <c r="AT26" s="24">
        <f t="shared" si="19"/>
        <v>0</v>
      </c>
      <c r="AU26" s="24">
        <f t="shared" si="20"/>
        <v>1</v>
      </c>
      <c r="AV26" s="24">
        <f t="shared" si="21"/>
        <v>0</v>
      </c>
      <c r="AW26" s="24">
        <f t="shared" si="22"/>
        <v>1</v>
      </c>
      <c r="AX26" s="25">
        <f t="shared" si="72"/>
        <v>0</v>
      </c>
      <c r="AY26" s="25">
        <f t="shared" si="73"/>
        <v>0</v>
      </c>
      <c r="AZ26" s="25">
        <f t="shared" si="74"/>
        <v>0</v>
      </c>
      <c r="BA26" s="25" t="str">
        <f t="shared" si="75"/>
        <v/>
      </c>
      <c r="BB26" s="25" t="str">
        <f t="shared" si="76"/>
        <v/>
      </c>
      <c r="BC26" s="25" t="str">
        <f t="shared" si="77"/>
        <v/>
      </c>
      <c r="BD26" s="25">
        <f>IF(ISERROR(VLOOKUP($K26,割合DB!$A:$B,2,FALSE))=TRUE,0,VLOOKUP($K26,割合DB!$A:$B,2,FALSE))</f>
        <v>0</v>
      </c>
      <c r="BE26" s="25">
        <f>IF(ISERROR(VLOOKUP($L26,割合DB!$A:$B,2,FALSE))=TRUE,0,VLOOKUP($L26,割合DB!$A:$B,2,FALSE))</f>
        <v>0</v>
      </c>
      <c r="BF26" s="25">
        <f>IF(ISERROR(VLOOKUP($M26,割合DB!$A:$B,2,FALSE))=TRUE,0,VLOOKUP($M26,割合DB!$A:$B,2,FALSE))</f>
        <v>0</v>
      </c>
      <c r="BG26" s="25">
        <f t="shared" si="78"/>
        <v>100</v>
      </c>
      <c r="BH26" s="18">
        <f t="shared" si="79"/>
        <v>100</v>
      </c>
      <c r="BI26" s="18">
        <f t="shared" si="33"/>
        <v>1</v>
      </c>
      <c r="BJ26" s="176"/>
      <c r="BK26" s="176"/>
      <c r="BL26" s="176"/>
      <c r="BM26" s="176"/>
      <c r="BN26" s="176"/>
      <c r="BO26" s="176"/>
      <c r="BP26" s="176"/>
      <c r="BQ26" s="176"/>
      <c r="BR26" s="176"/>
      <c r="BS26" s="176"/>
      <c r="BT26" s="176"/>
      <c r="BU26" s="176"/>
      <c r="BV26" s="176"/>
      <c r="BW26" s="176"/>
      <c r="BX26" s="176"/>
      <c r="BY26" s="176"/>
      <c r="BZ26" s="176"/>
      <c r="CA26" s="176"/>
    </row>
    <row r="27" spans="1:79" ht="27" customHeight="1" x14ac:dyDescent="0.15">
      <c r="A27" s="160" t="s">
        <v>519</v>
      </c>
      <c r="B27" s="21"/>
      <c r="C27" s="19"/>
      <c r="D27" s="40" t="str">
        <f t="shared" si="31"/>
        <v/>
      </c>
      <c r="E27" s="19"/>
      <c r="F27" s="26"/>
      <c r="G27" s="21"/>
      <c r="H27" s="22"/>
      <c r="I27" s="22"/>
      <c r="J27" s="22"/>
      <c r="K27" s="23"/>
      <c r="L27" s="23"/>
      <c r="M27" s="23"/>
      <c r="N27" s="146"/>
      <c r="O27" s="40">
        <f t="shared" si="57"/>
        <v>0</v>
      </c>
      <c r="P27" s="183" t="str">
        <f t="shared" si="58"/>
        <v/>
      </c>
      <c r="S27" s="18">
        <f t="shared" si="32"/>
        <v>0</v>
      </c>
      <c r="T27" s="18">
        <f t="shared" si="2"/>
        <v>0</v>
      </c>
      <c r="U27" s="18">
        <f>IF(C27="人工面",0,IF(G27="",0,IF(D27="湿性環境",VLOOKUP(G27,環境タイプⅡによる点数DB!A:B,2,FALSE),IF(D27="樹林",VLOOKUP(G27,環境タイプⅡによる点数DB!A:C,3,FALSE),IF(D27="低木・草地",VLOOKUP(G27,環境タイプⅡによる点数DB!A:D,4,FALSE),0)))))</f>
        <v>0</v>
      </c>
      <c r="V27" s="24" t="str">
        <f>$H27&amp;"in"&amp;基本情報!$C$13</f>
        <v>in</v>
      </c>
      <c r="W27" s="24">
        <f t="shared" si="3"/>
        <v>0</v>
      </c>
      <c r="X27" s="24">
        <f>IF($H27="",0,IF($D27="樹林",IF(ISERROR(VLOOKUP($V27,市町村・植物種ごとの樹林点数DB!$A:$G,7,FALSE))=TRUE,20,VLOOKUP($V27,市町村・植物種ごとの樹林点数DB!$A:$G,7,FALSE)),IF($D27="低木・草地",IF($H27="【ススキ】・【ネザサ】・【チガヤ】",45,10),0)))</f>
        <v>0</v>
      </c>
      <c r="Y27" s="24">
        <f t="shared" si="59"/>
        <v>0</v>
      </c>
      <c r="Z27" s="24">
        <f t="shared" si="60"/>
        <v>1</v>
      </c>
      <c r="AA27" s="24">
        <f t="shared" si="61"/>
        <v>1</v>
      </c>
      <c r="AB27" s="24">
        <f t="shared" si="62"/>
        <v>0</v>
      </c>
      <c r="AC27" s="25">
        <f t="shared" si="63"/>
        <v>0</v>
      </c>
      <c r="AD27" s="25">
        <f t="shared" si="64"/>
        <v>0</v>
      </c>
      <c r="AE27" s="25">
        <f t="shared" si="65"/>
        <v>0</v>
      </c>
      <c r="AF27" s="25" t="str">
        <f t="shared" si="66"/>
        <v/>
      </c>
      <c r="AG27" s="25" t="str">
        <f t="shared" si="67"/>
        <v/>
      </c>
      <c r="AH27" s="25" t="str">
        <f t="shared" si="68"/>
        <v/>
      </c>
      <c r="AI27" s="25">
        <f>IF(ISERROR(VLOOKUP(K27,割合DB!$A:$B,2,FALSE))=TRUE,100,VLOOKUP(K27,割合DB!$A:$B,2,FALSE))</f>
        <v>100</v>
      </c>
      <c r="AJ27" s="25">
        <f>IF(ISERROR(VLOOKUP(L27,割合DB!$A:$B,2,FALSE))=TRUE,100,VLOOKUP(L27,割合DB!$A:$B,2,FALSE))</f>
        <v>100</v>
      </c>
      <c r="AK27" s="25">
        <f>IF(ISERROR(VLOOKUP(M27,割合DB!$A:$B,2,FALSE))=TRUE,100,VLOOKUP(M27,割合DB!$A:$B,2,FALSE))</f>
        <v>100</v>
      </c>
      <c r="AL27" s="25">
        <f t="shared" si="69"/>
        <v>0</v>
      </c>
      <c r="AM27" s="18">
        <f t="shared" si="70"/>
        <v>0</v>
      </c>
      <c r="AN27" s="18">
        <f t="shared" si="71"/>
        <v>0</v>
      </c>
      <c r="AO27" s="18">
        <f t="shared" si="17"/>
        <v>0</v>
      </c>
      <c r="AP27" s="18">
        <f>IF($C27="人工面",0,IF($G27="",70,IF($D27="湿性環境",VLOOKUP($G27,環境タイプⅡによる点数DB!$A:$B,2,FALSE),IF($D27="樹林",VLOOKUP($G27,環境タイプⅡによる点数DB!$A:$C,3,FALSE),IF($D27="低木・草地",VLOOKUP($G27,環境タイプⅡによる点数DB!$A:$D,4,FALSE),0)))))</f>
        <v>70</v>
      </c>
      <c r="AQ27" s="24" t="str">
        <f>$H27&amp;"in"&amp;基本情報!$C$13</f>
        <v>in</v>
      </c>
      <c r="AR27" s="24">
        <f t="shared" si="18"/>
        <v>0</v>
      </c>
      <c r="AS27" s="24">
        <f>IF($H27="",0,IF($D27="樹林",IF(ISERROR(VLOOKUP($V27,市町村・植物種ごとの樹林点数DB!$A:$F,6,FALSE))=TRUE,10,VLOOKUP($V27,市町村・植物種ごとの樹林点数DB!$A:$F,6,FALSE)),IF($D27="低木・草地",IF(OR($H27="【ススキ】・【ネザサ】・【チガヤ】",$H27="不明"),45,10),0)))</f>
        <v>0</v>
      </c>
      <c r="AT27" s="24">
        <f t="shared" si="19"/>
        <v>0</v>
      </c>
      <c r="AU27" s="24">
        <f t="shared" si="20"/>
        <v>1</v>
      </c>
      <c r="AV27" s="24">
        <f t="shared" si="21"/>
        <v>0</v>
      </c>
      <c r="AW27" s="24">
        <f t="shared" si="22"/>
        <v>1</v>
      </c>
      <c r="AX27" s="25">
        <f t="shared" si="72"/>
        <v>0</v>
      </c>
      <c r="AY27" s="25">
        <f t="shared" si="73"/>
        <v>0</v>
      </c>
      <c r="AZ27" s="25">
        <f t="shared" si="74"/>
        <v>0</v>
      </c>
      <c r="BA27" s="25" t="str">
        <f t="shared" si="75"/>
        <v/>
      </c>
      <c r="BB27" s="25" t="str">
        <f t="shared" si="76"/>
        <v/>
      </c>
      <c r="BC27" s="25" t="str">
        <f t="shared" si="77"/>
        <v/>
      </c>
      <c r="BD27" s="25">
        <f>IF(ISERROR(VLOOKUP($K27,割合DB!$A:$B,2,FALSE))=TRUE,0,VLOOKUP($K27,割合DB!$A:$B,2,FALSE))</f>
        <v>0</v>
      </c>
      <c r="BE27" s="25">
        <f>IF(ISERROR(VLOOKUP($L27,割合DB!$A:$B,2,FALSE))=TRUE,0,VLOOKUP($L27,割合DB!$A:$B,2,FALSE))</f>
        <v>0</v>
      </c>
      <c r="BF27" s="25">
        <f>IF(ISERROR(VLOOKUP($M27,割合DB!$A:$B,2,FALSE))=TRUE,0,VLOOKUP($M27,割合DB!$A:$B,2,FALSE))</f>
        <v>0</v>
      </c>
      <c r="BG27" s="25">
        <f t="shared" si="78"/>
        <v>100</v>
      </c>
      <c r="BH27" s="18">
        <f t="shared" si="79"/>
        <v>100</v>
      </c>
      <c r="BI27" s="18">
        <f t="shared" si="33"/>
        <v>1</v>
      </c>
      <c r="BJ27" s="176"/>
      <c r="BK27" s="176"/>
      <c r="BL27" s="176"/>
      <c r="BM27" s="176"/>
      <c r="BN27" s="176"/>
      <c r="BO27" s="176"/>
      <c r="BP27" s="176"/>
      <c r="BQ27" s="176"/>
      <c r="BR27" s="176"/>
      <c r="BS27" s="176"/>
      <c r="BT27" s="176"/>
      <c r="BU27" s="176"/>
      <c r="BV27" s="176"/>
      <c r="BW27" s="176"/>
      <c r="BX27" s="176"/>
      <c r="BY27" s="176"/>
      <c r="BZ27" s="176"/>
      <c r="CA27" s="176"/>
    </row>
    <row r="28" spans="1:79" ht="27" customHeight="1" x14ac:dyDescent="0.15">
      <c r="A28" s="160" t="s">
        <v>520</v>
      </c>
      <c r="B28" s="21"/>
      <c r="C28" s="19"/>
      <c r="D28" s="40" t="str">
        <f t="shared" si="31"/>
        <v/>
      </c>
      <c r="E28" s="19"/>
      <c r="F28" s="26"/>
      <c r="G28" s="21"/>
      <c r="H28" s="22"/>
      <c r="I28" s="22"/>
      <c r="J28" s="22"/>
      <c r="K28" s="23"/>
      <c r="L28" s="23"/>
      <c r="M28" s="23"/>
      <c r="N28" s="146"/>
      <c r="O28" s="40">
        <f t="shared" si="57"/>
        <v>0</v>
      </c>
      <c r="P28" s="183" t="str">
        <f t="shared" si="58"/>
        <v/>
      </c>
      <c r="S28" s="18">
        <f t="shared" si="32"/>
        <v>0</v>
      </c>
      <c r="T28" s="18">
        <f t="shared" si="2"/>
        <v>0</v>
      </c>
      <c r="U28" s="18">
        <f>IF(C28="人工面",0,IF(G28="",0,IF(D28="湿性環境",VLOOKUP(G28,環境タイプⅡによる点数DB!A:B,2,FALSE),IF(D28="樹林",VLOOKUP(G28,環境タイプⅡによる点数DB!A:C,3,FALSE),IF(D28="低木・草地",VLOOKUP(G28,環境タイプⅡによる点数DB!A:D,4,FALSE),0)))))</f>
        <v>0</v>
      </c>
      <c r="V28" s="24" t="str">
        <f>$H28&amp;"in"&amp;基本情報!$C$13</f>
        <v>in</v>
      </c>
      <c r="W28" s="24">
        <f t="shared" si="3"/>
        <v>0</v>
      </c>
      <c r="X28" s="24">
        <f>IF($H28="",0,IF($D28="樹林",IF(ISERROR(VLOOKUP($V28,市町村・植物種ごとの樹林点数DB!$A:$G,7,FALSE))=TRUE,20,VLOOKUP($V28,市町村・植物種ごとの樹林点数DB!$A:$G,7,FALSE)),IF($D28="低木・草地",IF($H28="【ススキ】・【ネザサ】・【チガヤ】",45,10),0)))</f>
        <v>0</v>
      </c>
      <c r="Y28" s="24">
        <f t="shared" si="59"/>
        <v>0</v>
      </c>
      <c r="Z28" s="24">
        <f t="shared" si="60"/>
        <v>1</v>
      </c>
      <c r="AA28" s="24">
        <f t="shared" si="61"/>
        <v>1</v>
      </c>
      <c r="AB28" s="24">
        <f t="shared" si="62"/>
        <v>0</v>
      </c>
      <c r="AC28" s="25">
        <f t="shared" si="63"/>
        <v>0</v>
      </c>
      <c r="AD28" s="25">
        <f t="shared" si="64"/>
        <v>0</v>
      </c>
      <c r="AE28" s="25">
        <f t="shared" si="65"/>
        <v>0</v>
      </c>
      <c r="AF28" s="25" t="str">
        <f t="shared" si="66"/>
        <v/>
      </c>
      <c r="AG28" s="25" t="str">
        <f t="shared" si="67"/>
        <v/>
      </c>
      <c r="AH28" s="25" t="str">
        <f t="shared" si="68"/>
        <v/>
      </c>
      <c r="AI28" s="25">
        <f>IF(ISERROR(VLOOKUP(K28,割合DB!$A:$B,2,FALSE))=TRUE,100,VLOOKUP(K28,割合DB!$A:$B,2,FALSE))</f>
        <v>100</v>
      </c>
      <c r="AJ28" s="25">
        <f>IF(ISERROR(VLOOKUP(L28,割合DB!$A:$B,2,FALSE))=TRUE,100,VLOOKUP(L28,割合DB!$A:$B,2,FALSE))</f>
        <v>100</v>
      </c>
      <c r="AK28" s="25">
        <f>IF(ISERROR(VLOOKUP(M28,割合DB!$A:$B,2,FALSE))=TRUE,100,VLOOKUP(M28,割合DB!$A:$B,2,FALSE))</f>
        <v>100</v>
      </c>
      <c r="AL28" s="25">
        <f t="shared" si="69"/>
        <v>0</v>
      </c>
      <c r="AM28" s="18">
        <f t="shared" si="70"/>
        <v>0</v>
      </c>
      <c r="AN28" s="18">
        <f t="shared" si="71"/>
        <v>0</v>
      </c>
      <c r="AO28" s="18">
        <f t="shared" si="17"/>
        <v>0</v>
      </c>
      <c r="AP28" s="18">
        <f>IF($C28="人工面",0,IF($G28="",70,IF($D28="湿性環境",VLOOKUP($G28,環境タイプⅡによる点数DB!$A:$B,2,FALSE),IF($D28="樹林",VLOOKUP($G28,環境タイプⅡによる点数DB!$A:$C,3,FALSE),IF($D28="低木・草地",VLOOKUP($G28,環境タイプⅡによる点数DB!$A:$D,4,FALSE),0)))))</f>
        <v>70</v>
      </c>
      <c r="AQ28" s="24" t="str">
        <f>$H28&amp;"in"&amp;基本情報!$C$13</f>
        <v>in</v>
      </c>
      <c r="AR28" s="24">
        <f t="shared" si="18"/>
        <v>0</v>
      </c>
      <c r="AS28" s="24">
        <f>IF($H28="",0,IF($D28="樹林",IF(ISERROR(VLOOKUP($V28,市町村・植物種ごとの樹林点数DB!$A:$F,6,FALSE))=TRUE,10,VLOOKUP($V28,市町村・植物種ごとの樹林点数DB!$A:$F,6,FALSE)),IF($D28="低木・草地",IF(OR($H28="【ススキ】・【ネザサ】・【チガヤ】",$H28="不明"),45,10),0)))</f>
        <v>0</v>
      </c>
      <c r="AT28" s="24">
        <f t="shared" si="19"/>
        <v>0</v>
      </c>
      <c r="AU28" s="24">
        <f t="shared" si="20"/>
        <v>1</v>
      </c>
      <c r="AV28" s="24">
        <f t="shared" si="21"/>
        <v>0</v>
      </c>
      <c r="AW28" s="24">
        <f t="shared" si="22"/>
        <v>1</v>
      </c>
      <c r="AX28" s="25">
        <f t="shared" si="72"/>
        <v>0</v>
      </c>
      <c r="AY28" s="25">
        <f t="shared" si="73"/>
        <v>0</v>
      </c>
      <c r="AZ28" s="25">
        <f t="shared" si="74"/>
        <v>0</v>
      </c>
      <c r="BA28" s="25" t="str">
        <f t="shared" si="75"/>
        <v/>
      </c>
      <c r="BB28" s="25" t="str">
        <f t="shared" si="76"/>
        <v/>
      </c>
      <c r="BC28" s="25" t="str">
        <f t="shared" si="77"/>
        <v/>
      </c>
      <c r="BD28" s="25">
        <f>IF(ISERROR(VLOOKUP($K28,割合DB!$A:$B,2,FALSE))=TRUE,0,VLOOKUP($K28,割合DB!$A:$B,2,FALSE))</f>
        <v>0</v>
      </c>
      <c r="BE28" s="25">
        <f>IF(ISERROR(VLOOKUP($L28,割合DB!$A:$B,2,FALSE))=TRUE,0,VLOOKUP($L28,割合DB!$A:$B,2,FALSE))</f>
        <v>0</v>
      </c>
      <c r="BF28" s="25">
        <f>IF(ISERROR(VLOOKUP($M28,割合DB!$A:$B,2,FALSE))=TRUE,0,VLOOKUP($M28,割合DB!$A:$B,2,FALSE))</f>
        <v>0</v>
      </c>
      <c r="BG28" s="25">
        <f t="shared" si="78"/>
        <v>100</v>
      </c>
      <c r="BH28" s="18">
        <f t="shared" si="79"/>
        <v>100</v>
      </c>
      <c r="BI28" s="18">
        <f t="shared" si="33"/>
        <v>1</v>
      </c>
      <c r="BJ28" s="176"/>
      <c r="BK28" s="176"/>
      <c r="BL28" s="176"/>
      <c r="BM28" s="176"/>
      <c r="BN28" s="176"/>
      <c r="BO28" s="176"/>
      <c r="BP28" s="176"/>
      <c r="BQ28" s="176"/>
      <c r="BR28" s="176"/>
      <c r="BS28" s="176"/>
      <c r="BT28" s="176"/>
      <c r="BU28" s="176"/>
      <c r="BV28" s="176"/>
      <c r="BW28" s="176"/>
      <c r="BX28" s="176"/>
      <c r="BY28" s="176"/>
      <c r="BZ28" s="176"/>
      <c r="CA28" s="176"/>
    </row>
    <row r="29" spans="1:79" ht="27" customHeight="1" x14ac:dyDescent="0.15">
      <c r="A29" s="160" t="s">
        <v>521</v>
      </c>
      <c r="B29" s="21"/>
      <c r="C29" s="19"/>
      <c r="D29" s="40" t="str">
        <f t="shared" si="31"/>
        <v/>
      </c>
      <c r="E29" s="19"/>
      <c r="F29" s="26"/>
      <c r="G29" s="21"/>
      <c r="H29" s="22"/>
      <c r="I29" s="22"/>
      <c r="J29" s="22"/>
      <c r="K29" s="23"/>
      <c r="L29" s="23"/>
      <c r="M29" s="23"/>
      <c r="N29" s="146"/>
      <c r="O29" s="40">
        <f t="shared" si="57"/>
        <v>0</v>
      </c>
      <c r="P29" s="183" t="str">
        <f t="shared" si="58"/>
        <v/>
      </c>
      <c r="S29" s="18">
        <f t="shared" si="32"/>
        <v>0</v>
      </c>
      <c r="T29" s="18">
        <f t="shared" si="2"/>
        <v>0</v>
      </c>
      <c r="U29" s="18">
        <f>IF(C29="人工面",0,IF(G29="",0,IF(D29="湿性環境",VLOOKUP(G29,環境タイプⅡによる点数DB!A:B,2,FALSE),IF(D29="樹林",VLOOKUP(G29,環境タイプⅡによる点数DB!A:C,3,FALSE),IF(D29="低木・草地",VLOOKUP(G29,環境タイプⅡによる点数DB!A:D,4,FALSE),0)))))</f>
        <v>0</v>
      </c>
      <c r="V29" s="24" t="str">
        <f>$H29&amp;"in"&amp;基本情報!$C$13</f>
        <v>in</v>
      </c>
      <c r="W29" s="24">
        <f t="shared" si="3"/>
        <v>0</v>
      </c>
      <c r="X29" s="24">
        <f>IF($H29="",0,IF($D29="樹林",IF(ISERROR(VLOOKUP($V29,市町村・植物種ごとの樹林点数DB!$A:$G,7,FALSE))=TRUE,20,VLOOKUP($V29,市町村・植物種ごとの樹林点数DB!$A:$G,7,FALSE)),IF($D29="低木・草地",IF($H29="【ススキ】・【ネザサ】・【チガヤ】",45,10),0)))</f>
        <v>0</v>
      </c>
      <c r="Y29" s="24">
        <f t="shared" si="59"/>
        <v>0</v>
      </c>
      <c r="Z29" s="24">
        <f t="shared" si="60"/>
        <v>1</v>
      </c>
      <c r="AA29" s="24">
        <f t="shared" si="61"/>
        <v>1</v>
      </c>
      <c r="AB29" s="24">
        <f t="shared" si="62"/>
        <v>0</v>
      </c>
      <c r="AC29" s="25">
        <f t="shared" si="63"/>
        <v>0</v>
      </c>
      <c r="AD29" s="25">
        <f t="shared" si="64"/>
        <v>0</v>
      </c>
      <c r="AE29" s="25">
        <f t="shared" si="65"/>
        <v>0</v>
      </c>
      <c r="AF29" s="25" t="str">
        <f t="shared" si="66"/>
        <v/>
      </c>
      <c r="AG29" s="25" t="str">
        <f t="shared" si="67"/>
        <v/>
      </c>
      <c r="AH29" s="25" t="str">
        <f t="shared" si="68"/>
        <v/>
      </c>
      <c r="AI29" s="25">
        <f>IF(ISERROR(VLOOKUP(K29,割合DB!$A:$B,2,FALSE))=TRUE,100,VLOOKUP(K29,割合DB!$A:$B,2,FALSE))</f>
        <v>100</v>
      </c>
      <c r="AJ29" s="25">
        <f>IF(ISERROR(VLOOKUP(L29,割合DB!$A:$B,2,FALSE))=TRUE,100,VLOOKUP(L29,割合DB!$A:$B,2,FALSE))</f>
        <v>100</v>
      </c>
      <c r="AK29" s="25">
        <f>IF(ISERROR(VLOOKUP(M29,割合DB!$A:$B,2,FALSE))=TRUE,100,VLOOKUP(M29,割合DB!$A:$B,2,FALSE))</f>
        <v>100</v>
      </c>
      <c r="AL29" s="25">
        <f t="shared" si="69"/>
        <v>0</v>
      </c>
      <c r="AM29" s="18">
        <f t="shared" si="70"/>
        <v>0</v>
      </c>
      <c r="AN29" s="18">
        <f t="shared" si="71"/>
        <v>0</v>
      </c>
      <c r="AO29" s="18">
        <f t="shared" si="17"/>
        <v>0</v>
      </c>
      <c r="AP29" s="18">
        <f>IF($C29="人工面",0,IF($G29="",70,IF($D29="湿性環境",VLOOKUP($G29,環境タイプⅡによる点数DB!$A:$B,2,FALSE),IF($D29="樹林",VLOOKUP($G29,環境タイプⅡによる点数DB!$A:$C,3,FALSE),IF($D29="低木・草地",VLOOKUP($G29,環境タイプⅡによる点数DB!$A:$D,4,FALSE),0)))))</f>
        <v>70</v>
      </c>
      <c r="AQ29" s="24" t="str">
        <f>$H29&amp;"in"&amp;基本情報!$C$13</f>
        <v>in</v>
      </c>
      <c r="AR29" s="24">
        <f t="shared" si="18"/>
        <v>0</v>
      </c>
      <c r="AS29" s="24">
        <f>IF($H29="",0,IF($D29="樹林",IF(ISERROR(VLOOKUP($V29,市町村・植物種ごとの樹林点数DB!$A:$F,6,FALSE))=TRUE,10,VLOOKUP($V29,市町村・植物種ごとの樹林点数DB!$A:$F,6,FALSE)),IF($D29="低木・草地",IF(OR($H29="【ススキ】・【ネザサ】・【チガヤ】",$H29="不明"),45,10),0)))</f>
        <v>0</v>
      </c>
      <c r="AT29" s="24">
        <f t="shared" si="19"/>
        <v>0</v>
      </c>
      <c r="AU29" s="24">
        <f t="shared" si="20"/>
        <v>1</v>
      </c>
      <c r="AV29" s="24">
        <f t="shared" si="21"/>
        <v>0</v>
      </c>
      <c r="AW29" s="24">
        <f t="shared" si="22"/>
        <v>1</v>
      </c>
      <c r="AX29" s="25">
        <f t="shared" si="72"/>
        <v>0</v>
      </c>
      <c r="AY29" s="25">
        <f t="shared" si="73"/>
        <v>0</v>
      </c>
      <c r="AZ29" s="25">
        <f t="shared" si="74"/>
        <v>0</v>
      </c>
      <c r="BA29" s="25" t="str">
        <f t="shared" si="75"/>
        <v/>
      </c>
      <c r="BB29" s="25" t="str">
        <f t="shared" si="76"/>
        <v/>
      </c>
      <c r="BC29" s="25" t="str">
        <f t="shared" si="77"/>
        <v/>
      </c>
      <c r="BD29" s="25">
        <f>IF(ISERROR(VLOOKUP($K29,割合DB!$A:$B,2,FALSE))=TRUE,0,VLOOKUP($K29,割合DB!$A:$B,2,FALSE))</f>
        <v>0</v>
      </c>
      <c r="BE29" s="25">
        <f>IF(ISERROR(VLOOKUP($L29,割合DB!$A:$B,2,FALSE))=TRUE,0,VLOOKUP($L29,割合DB!$A:$B,2,FALSE))</f>
        <v>0</v>
      </c>
      <c r="BF29" s="25">
        <f>IF(ISERROR(VLOOKUP($M29,割合DB!$A:$B,2,FALSE))=TRUE,0,VLOOKUP($M29,割合DB!$A:$B,2,FALSE))</f>
        <v>0</v>
      </c>
      <c r="BG29" s="25">
        <f t="shared" si="78"/>
        <v>100</v>
      </c>
      <c r="BH29" s="18">
        <f t="shared" si="79"/>
        <v>100</v>
      </c>
      <c r="BI29" s="18">
        <f t="shared" si="33"/>
        <v>1</v>
      </c>
      <c r="BJ29" s="176"/>
      <c r="BK29" s="176"/>
      <c r="BL29" s="176"/>
      <c r="BM29" s="176"/>
      <c r="BN29" s="176"/>
      <c r="BO29" s="176"/>
      <c r="BP29" s="176"/>
      <c r="BQ29" s="176"/>
      <c r="BR29" s="176"/>
      <c r="BS29" s="176"/>
      <c r="BT29" s="176"/>
      <c r="BU29" s="176"/>
      <c r="BV29" s="176"/>
      <c r="BW29" s="176"/>
      <c r="BX29" s="176"/>
      <c r="BY29" s="176"/>
      <c r="BZ29" s="176"/>
      <c r="CA29" s="176"/>
    </row>
    <row r="30" spans="1:79" ht="27" customHeight="1" x14ac:dyDescent="0.15">
      <c r="A30" s="160" t="s">
        <v>522</v>
      </c>
      <c r="B30" s="21"/>
      <c r="C30" s="19"/>
      <c r="D30" s="40" t="str">
        <f t="shared" si="31"/>
        <v/>
      </c>
      <c r="E30" s="19"/>
      <c r="F30" s="26"/>
      <c r="G30" s="21"/>
      <c r="H30" s="22"/>
      <c r="I30" s="22"/>
      <c r="J30" s="22"/>
      <c r="K30" s="23"/>
      <c r="L30" s="23"/>
      <c r="M30" s="23"/>
      <c r="N30" s="146"/>
      <c r="O30" s="40">
        <f t="shared" si="57"/>
        <v>0</v>
      </c>
      <c r="P30" s="183" t="str">
        <f t="shared" si="58"/>
        <v/>
      </c>
      <c r="S30" s="18">
        <f t="shared" si="32"/>
        <v>0</v>
      </c>
      <c r="T30" s="18">
        <f t="shared" si="2"/>
        <v>0</v>
      </c>
      <c r="U30" s="18">
        <f>IF(C30="人工面",0,IF(G30="",0,IF(D30="湿性環境",VLOOKUP(G30,環境タイプⅡによる点数DB!A:B,2,FALSE),IF(D30="樹林",VLOOKUP(G30,環境タイプⅡによる点数DB!A:C,3,FALSE),IF(D30="低木・草地",VLOOKUP(G30,環境タイプⅡによる点数DB!A:D,4,FALSE),0)))))</f>
        <v>0</v>
      </c>
      <c r="V30" s="24" t="str">
        <f>$H30&amp;"in"&amp;基本情報!$C$13</f>
        <v>in</v>
      </c>
      <c r="W30" s="24">
        <f t="shared" si="3"/>
        <v>0</v>
      </c>
      <c r="X30" s="24">
        <f>IF($H30="",0,IF($D30="樹林",IF(ISERROR(VLOOKUP($V30,市町村・植物種ごとの樹林点数DB!$A:$G,7,FALSE))=TRUE,20,VLOOKUP($V30,市町村・植物種ごとの樹林点数DB!$A:$G,7,FALSE)),IF($D30="低木・草地",IF($H30="【ススキ】・【ネザサ】・【チガヤ】",45,10),0)))</f>
        <v>0</v>
      </c>
      <c r="Y30" s="24">
        <f t="shared" si="59"/>
        <v>0</v>
      </c>
      <c r="Z30" s="24">
        <f t="shared" si="60"/>
        <v>1</v>
      </c>
      <c r="AA30" s="24">
        <f t="shared" si="61"/>
        <v>1</v>
      </c>
      <c r="AB30" s="24">
        <f t="shared" si="62"/>
        <v>0</v>
      </c>
      <c r="AC30" s="25">
        <f t="shared" si="63"/>
        <v>0</v>
      </c>
      <c r="AD30" s="25">
        <f t="shared" si="64"/>
        <v>0</v>
      </c>
      <c r="AE30" s="25">
        <f t="shared" si="65"/>
        <v>0</v>
      </c>
      <c r="AF30" s="25" t="str">
        <f t="shared" si="66"/>
        <v/>
      </c>
      <c r="AG30" s="25" t="str">
        <f t="shared" si="67"/>
        <v/>
      </c>
      <c r="AH30" s="25" t="str">
        <f t="shared" si="68"/>
        <v/>
      </c>
      <c r="AI30" s="25">
        <f>IF(ISERROR(VLOOKUP(K30,割合DB!$A:$B,2,FALSE))=TRUE,100,VLOOKUP(K30,割合DB!$A:$B,2,FALSE))</f>
        <v>100</v>
      </c>
      <c r="AJ30" s="25">
        <f>IF(ISERROR(VLOOKUP(L30,割合DB!$A:$B,2,FALSE))=TRUE,100,VLOOKUP(L30,割合DB!$A:$B,2,FALSE))</f>
        <v>100</v>
      </c>
      <c r="AK30" s="25">
        <f>IF(ISERROR(VLOOKUP(M30,割合DB!$A:$B,2,FALSE))=TRUE,100,VLOOKUP(M30,割合DB!$A:$B,2,FALSE))</f>
        <v>100</v>
      </c>
      <c r="AL30" s="25">
        <f t="shared" si="69"/>
        <v>0</v>
      </c>
      <c r="AM30" s="18">
        <f t="shared" si="70"/>
        <v>0</v>
      </c>
      <c r="AN30" s="18">
        <f t="shared" si="71"/>
        <v>0</v>
      </c>
      <c r="AO30" s="18">
        <f t="shared" si="17"/>
        <v>0</v>
      </c>
      <c r="AP30" s="18">
        <f>IF($C30="人工面",0,IF($G30="",70,IF($D30="湿性環境",VLOOKUP($G30,環境タイプⅡによる点数DB!$A:$B,2,FALSE),IF($D30="樹林",VLOOKUP($G30,環境タイプⅡによる点数DB!$A:$C,3,FALSE),IF($D30="低木・草地",VLOOKUP($G30,環境タイプⅡによる点数DB!$A:$D,4,FALSE),0)))))</f>
        <v>70</v>
      </c>
      <c r="AQ30" s="24" t="str">
        <f>$H30&amp;"in"&amp;基本情報!$C$13</f>
        <v>in</v>
      </c>
      <c r="AR30" s="24">
        <f t="shared" si="18"/>
        <v>0</v>
      </c>
      <c r="AS30" s="24">
        <f>IF($H30="",0,IF($D30="樹林",IF(ISERROR(VLOOKUP($V30,市町村・植物種ごとの樹林点数DB!$A:$F,6,FALSE))=TRUE,10,VLOOKUP($V30,市町村・植物種ごとの樹林点数DB!$A:$F,6,FALSE)),IF($D30="低木・草地",IF(OR($H30="【ススキ】・【ネザサ】・【チガヤ】",$H30="不明"),45,10),0)))</f>
        <v>0</v>
      </c>
      <c r="AT30" s="24">
        <f t="shared" si="19"/>
        <v>0</v>
      </c>
      <c r="AU30" s="24">
        <f t="shared" si="20"/>
        <v>1</v>
      </c>
      <c r="AV30" s="24">
        <f t="shared" si="21"/>
        <v>0</v>
      </c>
      <c r="AW30" s="24">
        <f t="shared" si="22"/>
        <v>1</v>
      </c>
      <c r="AX30" s="25">
        <f t="shared" si="72"/>
        <v>0</v>
      </c>
      <c r="AY30" s="25">
        <f t="shared" si="73"/>
        <v>0</v>
      </c>
      <c r="AZ30" s="25">
        <f t="shared" si="74"/>
        <v>0</v>
      </c>
      <c r="BA30" s="25" t="str">
        <f t="shared" si="75"/>
        <v/>
      </c>
      <c r="BB30" s="25" t="str">
        <f t="shared" si="76"/>
        <v/>
      </c>
      <c r="BC30" s="25" t="str">
        <f t="shared" si="77"/>
        <v/>
      </c>
      <c r="BD30" s="25">
        <f>IF(ISERROR(VLOOKUP($K30,割合DB!$A:$B,2,FALSE))=TRUE,0,VLOOKUP($K30,割合DB!$A:$B,2,FALSE))</f>
        <v>0</v>
      </c>
      <c r="BE30" s="25">
        <f>IF(ISERROR(VLOOKUP($L30,割合DB!$A:$B,2,FALSE))=TRUE,0,VLOOKUP($L30,割合DB!$A:$B,2,FALSE))</f>
        <v>0</v>
      </c>
      <c r="BF30" s="25">
        <f>IF(ISERROR(VLOOKUP($M30,割合DB!$A:$B,2,FALSE))=TRUE,0,VLOOKUP($M30,割合DB!$A:$B,2,FALSE))</f>
        <v>0</v>
      </c>
      <c r="BG30" s="25">
        <f t="shared" si="78"/>
        <v>100</v>
      </c>
      <c r="BH30" s="18">
        <f t="shared" si="79"/>
        <v>100</v>
      </c>
      <c r="BI30" s="18">
        <f t="shared" si="33"/>
        <v>1</v>
      </c>
      <c r="BJ30" s="176"/>
      <c r="BK30" s="176"/>
      <c r="BL30" s="176"/>
      <c r="BM30" s="176"/>
      <c r="BN30" s="176"/>
      <c r="BO30" s="176"/>
      <c r="BP30" s="176"/>
      <c r="BQ30" s="176"/>
      <c r="BR30" s="176"/>
      <c r="BS30" s="176"/>
      <c r="BT30" s="176"/>
      <c r="BU30" s="176"/>
      <c r="BV30" s="176"/>
      <c r="BW30" s="176"/>
      <c r="BX30" s="176"/>
      <c r="BY30" s="176"/>
      <c r="BZ30" s="176"/>
      <c r="CA30" s="176"/>
    </row>
    <row r="31" spans="1:79" ht="27" customHeight="1" x14ac:dyDescent="0.15">
      <c r="A31" s="160" t="s">
        <v>523</v>
      </c>
      <c r="B31" s="21"/>
      <c r="C31" s="19"/>
      <c r="D31" s="40" t="str">
        <f t="shared" si="31"/>
        <v/>
      </c>
      <c r="E31" s="19"/>
      <c r="F31" s="26"/>
      <c r="G31" s="21"/>
      <c r="H31" s="22"/>
      <c r="I31" s="22"/>
      <c r="J31" s="22"/>
      <c r="K31" s="23"/>
      <c r="L31" s="23"/>
      <c r="M31" s="23"/>
      <c r="N31" s="146"/>
      <c r="O31" s="40">
        <f t="shared" si="57"/>
        <v>0</v>
      </c>
      <c r="P31" s="183" t="str">
        <f t="shared" si="58"/>
        <v/>
      </c>
      <c r="S31" s="18">
        <f t="shared" si="32"/>
        <v>0</v>
      </c>
      <c r="T31" s="18">
        <f t="shared" si="2"/>
        <v>0</v>
      </c>
      <c r="U31" s="18">
        <f>IF(C31="人工面",0,IF(G31="",0,IF(D31="湿性環境",VLOOKUP(G31,環境タイプⅡによる点数DB!A:B,2,FALSE),IF(D31="樹林",VLOOKUP(G31,環境タイプⅡによる点数DB!A:C,3,FALSE),IF(D31="低木・草地",VLOOKUP(G31,環境タイプⅡによる点数DB!A:D,4,FALSE),0)))))</f>
        <v>0</v>
      </c>
      <c r="V31" s="24" t="str">
        <f>$H31&amp;"in"&amp;基本情報!$C$13</f>
        <v>in</v>
      </c>
      <c r="W31" s="24">
        <f t="shared" si="3"/>
        <v>0</v>
      </c>
      <c r="X31" s="24">
        <f>IF($H31="",0,IF($D31="樹林",IF(ISERROR(VLOOKUP($V31,市町村・植物種ごとの樹林点数DB!$A:$G,7,FALSE))=TRUE,20,VLOOKUP($V31,市町村・植物種ごとの樹林点数DB!$A:$G,7,FALSE)),IF($D31="低木・草地",IF($H31="【ススキ】・【ネザサ】・【チガヤ】",45,10),0)))</f>
        <v>0</v>
      </c>
      <c r="Y31" s="24">
        <f t="shared" si="59"/>
        <v>0</v>
      </c>
      <c r="Z31" s="24">
        <f t="shared" si="60"/>
        <v>1</v>
      </c>
      <c r="AA31" s="24">
        <f t="shared" si="61"/>
        <v>1</v>
      </c>
      <c r="AB31" s="24">
        <f t="shared" si="62"/>
        <v>0</v>
      </c>
      <c r="AC31" s="25">
        <f t="shared" si="63"/>
        <v>0</v>
      </c>
      <c r="AD31" s="25">
        <f t="shared" si="64"/>
        <v>0</v>
      </c>
      <c r="AE31" s="25">
        <f t="shared" si="65"/>
        <v>0</v>
      </c>
      <c r="AF31" s="25" t="str">
        <f t="shared" si="66"/>
        <v/>
      </c>
      <c r="AG31" s="25" t="str">
        <f t="shared" si="67"/>
        <v/>
      </c>
      <c r="AH31" s="25" t="str">
        <f t="shared" si="68"/>
        <v/>
      </c>
      <c r="AI31" s="25">
        <f>IF(ISERROR(VLOOKUP(K31,割合DB!$A:$B,2,FALSE))=TRUE,100,VLOOKUP(K31,割合DB!$A:$B,2,FALSE))</f>
        <v>100</v>
      </c>
      <c r="AJ31" s="25">
        <f>IF(ISERROR(VLOOKUP(L31,割合DB!$A:$B,2,FALSE))=TRUE,100,VLOOKUP(L31,割合DB!$A:$B,2,FALSE))</f>
        <v>100</v>
      </c>
      <c r="AK31" s="25">
        <f>IF(ISERROR(VLOOKUP(M31,割合DB!$A:$B,2,FALSE))=TRUE,100,VLOOKUP(M31,割合DB!$A:$B,2,FALSE))</f>
        <v>100</v>
      </c>
      <c r="AL31" s="25">
        <f t="shared" si="69"/>
        <v>0</v>
      </c>
      <c r="AM31" s="18">
        <f t="shared" si="70"/>
        <v>0</v>
      </c>
      <c r="AN31" s="18">
        <f t="shared" si="71"/>
        <v>0</v>
      </c>
      <c r="AO31" s="18">
        <f t="shared" si="17"/>
        <v>0</v>
      </c>
      <c r="AP31" s="18">
        <f>IF($C31="人工面",0,IF($G31="",70,IF($D31="湿性環境",VLOOKUP($G31,環境タイプⅡによる点数DB!$A:$B,2,FALSE),IF($D31="樹林",VLOOKUP($G31,環境タイプⅡによる点数DB!$A:$C,3,FALSE),IF($D31="低木・草地",VLOOKUP($G31,環境タイプⅡによる点数DB!$A:$D,4,FALSE),0)))))</f>
        <v>70</v>
      </c>
      <c r="AQ31" s="24" t="str">
        <f>$H31&amp;"in"&amp;基本情報!$C$13</f>
        <v>in</v>
      </c>
      <c r="AR31" s="24">
        <f t="shared" si="18"/>
        <v>0</v>
      </c>
      <c r="AS31" s="24">
        <f>IF($H31="",0,IF($D31="樹林",IF(ISERROR(VLOOKUP($V31,市町村・植物種ごとの樹林点数DB!$A:$F,6,FALSE))=TRUE,10,VLOOKUP($V31,市町村・植物種ごとの樹林点数DB!$A:$F,6,FALSE)),IF($D31="低木・草地",IF(OR($H31="【ススキ】・【ネザサ】・【チガヤ】",$H31="不明"),45,10),0)))</f>
        <v>0</v>
      </c>
      <c r="AT31" s="24">
        <f t="shared" si="19"/>
        <v>0</v>
      </c>
      <c r="AU31" s="24">
        <f t="shared" si="20"/>
        <v>1</v>
      </c>
      <c r="AV31" s="24">
        <f t="shared" si="21"/>
        <v>0</v>
      </c>
      <c r="AW31" s="24">
        <f t="shared" si="22"/>
        <v>1</v>
      </c>
      <c r="AX31" s="25">
        <f t="shared" si="72"/>
        <v>0</v>
      </c>
      <c r="AY31" s="25">
        <f t="shared" si="73"/>
        <v>0</v>
      </c>
      <c r="AZ31" s="25">
        <f t="shared" si="74"/>
        <v>0</v>
      </c>
      <c r="BA31" s="25" t="str">
        <f t="shared" si="75"/>
        <v/>
      </c>
      <c r="BB31" s="25" t="str">
        <f t="shared" si="76"/>
        <v/>
      </c>
      <c r="BC31" s="25" t="str">
        <f t="shared" si="77"/>
        <v/>
      </c>
      <c r="BD31" s="25">
        <f>IF(ISERROR(VLOOKUP($K31,割合DB!$A:$B,2,FALSE))=TRUE,0,VLOOKUP($K31,割合DB!$A:$B,2,FALSE))</f>
        <v>0</v>
      </c>
      <c r="BE31" s="25">
        <f>IF(ISERROR(VLOOKUP($L31,割合DB!$A:$B,2,FALSE))=TRUE,0,VLOOKUP($L31,割合DB!$A:$B,2,FALSE))</f>
        <v>0</v>
      </c>
      <c r="BF31" s="25">
        <f>IF(ISERROR(VLOOKUP($M31,割合DB!$A:$B,2,FALSE))=TRUE,0,VLOOKUP($M31,割合DB!$A:$B,2,FALSE))</f>
        <v>0</v>
      </c>
      <c r="BG31" s="25">
        <f t="shared" si="78"/>
        <v>100</v>
      </c>
      <c r="BH31" s="18">
        <f t="shared" si="79"/>
        <v>100</v>
      </c>
      <c r="BI31" s="18">
        <f t="shared" si="33"/>
        <v>1</v>
      </c>
      <c r="BJ31" s="176"/>
      <c r="BK31" s="176"/>
      <c r="BL31" s="176"/>
      <c r="BM31" s="176"/>
      <c r="BN31" s="176"/>
      <c r="BO31" s="176"/>
      <c r="BP31" s="176"/>
      <c r="BQ31" s="176"/>
      <c r="BR31" s="176"/>
      <c r="BS31" s="176"/>
      <c r="BT31" s="176"/>
      <c r="BU31" s="176"/>
      <c r="BV31" s="176"/>
      <c r="BW31" s="176"/>
      <c r="BX31" s="176"/>
      <c r="BY31" s="176"/>
      <c r="BZ31" s="176"/>
      <c r="CA31" s="176"/>
    </row>
    <row r="32" spans="1:79" ht="27" customHeight="1" x14ac:dyDescent="0.15">
      <c r="A32" s="160" t="s">
        <v>524</v>
      </c>
      <c r="B32" s="21"/>
      <c r="C32" s="19"/>
      <c r="D32" s="40" t="str">
        <f t="shared" si="31"/>
        <v/>
      </c>
      <c r="E32" s="19"/>
      <c r="F32" s="26"/>
      <c r="G32" s="21"/>
      <c r="H32" s="22"/>
      <c r="I32" s="22"/>
      <c r="J32" s="22"/>
      <c r="K32" s="23"/>
      <c r="L32" s="23"/>
      <c r="M32" s="23"/>
      <c r="N32" s="146"/>
      <c r="O32" s="40">
        <f t="shared" si="57"/>
        <v>0</v>
      </c>
      <c r="P32" s="183" t="str">
        <f t="shared" si="58"/>
        <v/>
      </c>
      <c r="S32" s="18">
        <f t="shared" si="32"/>
        <v>0</v>
      </c>
      <c r="T32" s="18">
        <f t="shared" si="2"/>
        <v>0</v>
      </c>
      <c r="U32" s="18">
        <f>IF(C32="人工面",0,IF(G32="",0,IF(D32="湿性環境",VLOOKUP(G32,環境タイプⅡによる点数DB!A:B,2,FALSE),IF(D32="樹林",VLOOKUP(G32,環境タイプⅡによる点数DB!A:C,3,FALSE),IF(D32="低木・草地",VLOOKUP(G32,環境タイプⅡによる点数DB!A:D,4,FALSE),0)))))</f>
        <v>0</v>
      </c>
      <c r="V32" s="24" t="str">
        <f>$H32&amp;"in"&amp;基本情報!$C$13</f>
        <v>in</v>
      </c>
      <c r="W32" s="24">
        <f t="shared" si="3"/>
        <v>0</v>
      </c>
      <c r="X32" s="24">
        <f>IF($H32="",0,IF($D32="樹林",IF(ISERROR(VLOOKUP($V32,市町村・植物種ごとの樹林点数DB!$A:$G,7,FALSE))=TRUE,20,VLOOKUP($V32,市町村・植物種ごとの樹林点数DB!$A:$G,7,FALSE)),IF($D32="低木・草地",IF($H32="【ススキ】・【ネザサ】・【チガヤ】",45,10),0)))</f>
        <v>0</v>
      </c>
      <c r="Y32" s="24">
        <f t="shared" si="59"/>
        <v>0</v>
      </c>
      <c r="Z32" s="24">
        <f t="shared" si="60"/>
        <v>1</v>
      </c>
      <c r="AA32" s="24">
        <f t="shared" si="61"/>
        <v>1</v>
      </c>
      <c r="AB32" s="24">
        <f t="shared" si="62"/>
        <v>0</v>
      </c>
      <c r="AC32" s="25">
        <f t="shared" si="63"/>
        <v>0</v>
      </c>
      <c r="AD32" s="25">
        <f t="shared" si="64"/>
        <v>0</v>
      </c>
      <c r="AE32" s="25">
        <f t="shared" si="65"/>
        <v>0</v>
      </c>
      <c r="AF32" s="25" t="str">
        <f t="shared" si="66"/>
        <v/>
      </c>
      <c r="AG32" s="25" t="str">
        <f t="shared" si="67"/>
        <v/>
      </c>
      <c r="AH32" s="25" t="str">
        <f t="shared" si="68"/>
        <v/>
      </c>
      <c r="AI32" s="25">
        <f>IF(ISERROR(VLOOKUP(K32,割合DB!$A:$B,2,FALSE))=TRUE,100,VLOOKUP(K32,割合DB!$A:$B,2,FALSE))</f>
        <v>100</v>
      </c>
      <c r="AJ32" s="25">
        <f>IF(ISERROR(VLOOKUP(L32,割合DB!$A:$B,2,FALSE))=TRUE,100,VLOOKUP(L32,割合DB!$A:$B,2,FALSE))</f>
        <v>100</v>
      </c>
      <c r="AK32" s="25">
        <f>IF(ISERROR(VLOOKUP(M32,割合DB!$A:$B,2,FALSE))=TRUE,100,VLOOKUP(M32,割合DB!$A:$B,2,FALSE))</f>
        <v>100</v>
      </c>
      <c r="AL32" s="25">
        <f t="shared" si="69"/>
        <v>0</v>
      </c>
      <c r="AM32" s="18">
        <f t="shared" si="70"/>
        <v>0</v>
      </c>
      <c r="AN32" s="18">
        <f t="shared" si="71"/>
        <v>0</v>
      </c>
      <c r="AO32" s="18">
        <f t="shared" si="17"/>
        <v>0</v>
      </c>
      <c r="AP32" s="18">
        <f>IF($C32="人工面",0,IF($G32="",70,IF($D32="湿性環境",VLOOKUP($G32,環境タイプⅡによる点数DB!$A:$B,2,FALSE),IF($D32="樹林",VLOOKUP($G32,環境タイプⅡによる点数DB!$A:$C,3,FALSE),IF($D32="低木・草地",VLOOKUP($G32,環境タイプⅡによる点数DB!$A:$D,4,FALSE),0)))))</f>
        <v>70</v>
      </c>
      <c r="AQ32" s="24" t="str">
        <f>$H32&amp;"in"&amp;基本情報!$C$13</f>
        <v>in</v>
      </c>
      <c r="AR32" s="24">
        <f t="shared" si="18"/>
        <v>0</v>
      </c>
      <c r="AS32" s="24">
        <f>IF($H32="",0,IF($D32="樹林",IF(ISERROR(VLOOKUP($V32,市町村・植物種ごとの樹林点数DB!$A:$F,6,FALSE))=TRUE,10,VLOOKUP($V32,市町村・植物種ごとの樹林点数DB!$A:$F,6,FALSE)),IF($D32="低木・草地",IF(OR($H32="【ススキ】・【ネザサ】・【チガヤ】",$H32="不明"),45,10),0)))</f>
        <v>0</v>
      </c>
      <c r="AT32" s="24">
        <f t="shared" si="19"/>
        <v>0</v>
      </c>
      <c r="AU32" s="24">
        <f t="shared" si="20"/>
        <v>1</v>
      </c>
      <c r="AV32" s="24">
        <f t="shared" si="21"/>
        <v>0</v>
      </c>
      <c r="AW32" s="24">
        <f t="shared" si="22"/>
        <v>1</v>
      </c>
      <c r="AX32" s="25">
        <f t="shared" si="72"/>
        <v>0</v>
      </c>
      <c r="AY32" s="25">
        <f t="shared" si="73"/>
        <v>0</v>
      </c>
      <c r="AZ32" s="25">
        <f t="shared" si="74"/>
        <v>0</v>
      </c>
      <c r="BA32" s="25" t="str">
        <f t="shared" si="75"/>
        <v/>
      </c>
      <c r="BB32" s="25" t="str">
        <f t="shared" si="76"/>
        <v/>
      </c>
      <c r="BC32" s="25" t="str">
        <f t="shared" si="77"/>
        <v/>
      </c>
      <c r="BD32" s="25">
        <f>IF(ISERROR(VLOOKUP($K32,割合DB!$A:$B,2,FALSE))=TRUE,0,VLOOKUP($K32,割合DB!$A:$B,2,FALSE))</f>
        <v>0</v>
      </c>
      <c r="BE32" s="25">
        <f>IF(ISERROR(VLOOKUP($L32,割合DB!$A:$B,2,FALSE))=TRUE,0,VLOOKUP($L32,割合DB!$A:$B,2,FALSE))</f>
        <v>0</v>
      </c>
      <c r="BF32" s="25">
        <f>IF(ISERROR(VLOOKUP($M32,割合DB!$A:$B,2,FALSE))=TRUE,0,VLOOKUP($M32,割合DB!$A:$B,2,FALSE))</f>
        <v>0</v>
      </c>
      <c r="BG32" s="25">
        <f t="shared" si="78"/>
        <v>100</v>
      </c>
      <c r="BH32" s="18">
        <f t="shared" si="79"/>
        <v>100</v>
      </c>
      <c r="BI32" s="18">
        <f t="shared" si="33"/>
        <v>1</v>
      </c>
      <c r="BJ32" s="176"/>
      <c r="BK32" s="176"/>
      <c r="BL32" s="176"/>
      <c r="BM32" s="176"/>
      <c r="BN32" s="176"/>
      <c r="BO32" s="176"/>
      <c r="BP32" s="176"/>
      <c r="BQ32" s="176"/>
      <c r="BR32" s="176"/>
      <c r="BS32" s="176"/>
      <c r="BT32" s="176"/>
      <c r="BU32" s="176"/>
      <c r="BV32" s="176"/>
      <c r="BW32" s="176"/>
      <c r="BX32" s="176"/>
      <c r="BY32" s="176"/>
      <c r="BZ32" s="176"/>
      <c r="CA32" s="176"/>
    </row>
    <row r="33" spans="1:79" ht="27" customHeight="1" x14ac:dyDescent="0.15">
      <c r="A33" s="160" t="s">
        <v>525</v>
      </c>
      <c r="B33" s="21"/>
      <c r="C33" s="19"/>
      <c r="D33" s="40" t="str">
        <f t="shared" si="31"/>
        <v/>
      </c>
      <c r="E33" s="19"/>
      <c r="F33" s="26"/>
      <c r="G33" s="21"/>
      <c r="H33" s="22"/>
      <c r="I33" s="22"/>
      <c r="J33" s="22"/>
      <c r="K33" s="23"/>
      <c r="L33" s="23"/>
      <c r="M33" s="23"/>
      <c r="N33" s="146"/>
      <c r="O33" s="40">
        <f t="shared" si="57"/>
        <v>0</v>
      </c>
      <c r="P33" s="183" t="str">
        <f t="shared" si="58"/>
        <v/>
      </c>
      <c r="S33" s="18">
        <f t="shared" si="32"/>
        <v>0</v>
      </c>
      <c r="T33" s="18">
        <f t="shared" si="2"/>
        <v>0</v>
      </c>
      <c r="U33" s="18">
        <f>IF(C33="人工面",0,IF(G33="",0,IF(D33="湿性環境",VLOOKUP(G33,環境タイプⅡによる点数DB!A:B,2,FALSE),IF(D33="樹林",VLOOKUP(G33,環境タイプⅡによる点数DB!A:C,3,FALSE),IF(D33="低木・草地",VLOOKUP(G33,環境タイプⅡによる点数DB!A:D,4,FALSE),0)))))</f>
        <v>0</v>
      </c>
      <c r="V33" s="24" t="str">
        <f>$H33&amp;"in"&amp;基本情報!$C$13</f>
        <v>in</v>
      </c>
      <c r="W33" s="24">
        <f t="shared" si="3"/>
        <v>0</v>
      </c>
      <c r="X33" s="24">
        <f>IF($H33="",0,IF($D33="樹林",IF(ISERROR(VLOOKUP($V33,市町村・植物種ごとの樹林点数DB!$A:$G,7,FALSE))=TRUE,20,VLOOKUP($V33,市町村・植物種ごとの樹林点数DB!$A:$G,7,FALSE)),IF($D33="低木・草地",IF($H33="【ススキ】・【ネザサ】・【チガヤ】",45,10),0)))</f>
        <v>0</v>
      </c>
      <c r="Y33" s="24">
        <f t="shared" si="59"/>
        <v>0</v>
      </c>
      <c r="Z33" s="24">
        <f t="shared" si="60"/>
        <v>1</v>
      </c>
      <c r="AA33" s="24">
        <f t="shared" si="61"/>
        <v>1</v>
      </c>
      <c r="AB33" s="24">
        <f t="shared" si="62"/>
        <v>0</v>
      </c>
      <c r="AC33" s="25">
        <f t="shared" si="63"/>
        <v>0</v>
      </c>
      <c r="AD33" s="25">
        <f t="shared" si="64"/>
        <v>0</v>
      </c>
      <c r="AE33" s="25">
        <f t="shared" si="65"/>
        <v>0</v>
      </c>
      <c r="AF33" s="25" t="str">
        <f t="shared" si="66"/>
        <v/>
      </c>
      <c r="AG33" s="25" t="str">
        <f t="shared" si="67"/>
        <v/>
      </c>
      <c r="AH33" s="25" t="str">
        <f t="shared" si="68"/>
        <v/>
      </c>
      <c r="AI33" s="25">
        <f>IF(ISERROR(VLOOKUP(K33,割合DB!$A:$B,2,FALSE))=TRUE,100,VLOOKUP(K33,割合DB!$A:$B,2,FALSE))</f>
        <v>100</v>
      </c>
      <c r="AJ33" s="25">
        <f>IF(ISERROR(VLOOKUP(L33,割合DB!$A:$B,2,FALSE))=TRUE,100,VLOOKUP(L33,割合DB!$A:$B,2,FALSE))</f>
        <v>100</v>
      </c>
      <c r="AK33" s="25">
        <f>IF(ISERROR(VLOOKUP(M33,割合DB!$A:$B,2,FALSE))=TRUE,100,VLOOKUP(M33,割合DB!$A:$B,2,FALSE))</f>
        <v>100</v>
      </c>
      <c r="AL33" s="25">
        <f t="shared" si="69"/>
        <v>0</v>
      </c>
      <c r="AM33" s="18">
        <f t="shared" si="70"/>
        <v>0</v>
      </c>
      <c r="AN33" s="18">
        <f t="shared" si="71"/>
        <v>0</v>
      </c>
      <c r="AO33" s="18">
        <f t="shared" si="17"/>
        <v>0</v>
      </c>
      <c r="AP33" s="18">
        <f>IF($C33="人工面",0,IF($G33="",70,IF($D33="湿性環境",VLOOKUP($G33,環境タイプⅡによる点数DB!$A:$B,2,FALSE),IF($D33="樹林",VLOOKUP($G33,環境タイプⅡによる点数DB!$A:$C,3,FALSE),IF($D33="低木・草地",VLOOKUP($G33,環境タイプⅡによる点数DB!$A:$D,4,FALSE),0)))))</f>
        <v>70</v>
      </c>
      <c r="AQ33" s="24" t="str">
        <f>$H33&amp;"in"&amp;基本情報!$C$13</f>
        <v>in</v>
      </c>
      <c r="AR33" s="24">
        <f t="shared" si="18"/>
        <v>0</v>
      </c>
      <c r="AS33" s="24">
        <f>IF($H33="",0,IF($D33="樹林",IF(ISERROR(VLOOKUP($V33,市町村・植物種ごとの樹林点数DB!$A:$F,6,FALSE))=TRUE,10,VLOOKUP($V33,市町村・植物種ごとの樹林点数DB!$A:$F,6,FALSE)),IF($D33="低木・草地",IF(OR($H33="【ススキ】・【ネザサ】・【チガヤ】",$H33="不明"),45,10),0)))</f>
        <v>0</v>
      </c>
      <c r="AT33" s="24">
        <f t="shared" si="19"/>
        <v>0</v>
      </c>
      <c r="AU33" s="24">
        <f t="shared" si="20"/>
        <v>1</v>
      </c>
      <c r="AV33" s="24">
        <f t="shared" si="21"/>
        <v>0</v>
      </c>
      <c r="AW33" s="24">
        <f t="shared" si="22"/>
        <v>1</v>
      </c>
      <c r="AX33" s="25">
        <f t="shared" si="72"/>
        <v>0</v>
      </c>
      <c r="AY33" s="25">
        <f t="shared" si="73"/>
        <v>0</v>
      </c>
      <c r="AZ33" s="25">
        <f t="shared" si="74"/>
        <v>0</v>
      </c>
      <c r="BA33" s="25" t="str">
        <f t="shared" si="75"/>
        <v/>
      </c>
      <c r="BB33" s="25" t="str">
        <f t="shared" si="76"/>
        <v/>
      </c>
      <c r="BC33" s="25" t="str">
        <f t="shared" si="77"/>
        <v/>
      </c>
      <c r="BD33" s="25">
        <f>IF(ISERROR(VLOOKUP($K33,割合DB!$A:$B,2,FALSE))=TRUE,0,VLOOKUP($K33,割合DB!$A:$B,2,FALSE))</f>
        <v>0</v>
      </c>
      <c r="BE33" s="25">
        <f>IF(ISERROR(VLOOKUP($L33,割合DB!$A:$B,2,FALSE))=TRUE,0,VLOOKUP($L33,割合DB!$A:$B,2,FALSE))</f>
        <v>0</v>
      </c>
      <c r="BF33" s="25">
        <f>IF(ISERROR(VLOOKUP($M33,割合DB!$A:$B,2,FALSE))=TRUE,0,VLOOKUP($M33,割合DB!$A:$B,2,FALSE))</f>
        <v>0</v>
      </c>
      <c r="BG33" s="25">
        <f t="shared" si="78"/>
        <v>100</v>
      </c>
      <c r="BH33" s="18">
        <f t="shared" si="79"/>
        <v>100</v>
      </c>
      <c r="BI33" s="18">
        <f t="shared" si="33"/>
        <v>1</v>
      </c>
      <c r="BJ33" s="176"/>
      <c r="BK33" s="176"/>
      <c r="BL33" s="176"/>
      <c r="BM33" s="176"/>
      <c r="BN33" s="176"/>
      <c r="BO33" s="176"/>
      <c r="BP33" s="176"/>
      <c r="BQ33" s="176"/>
      <c r="BR33" s="176"/>
      <c r="BS33" s="176"/>
      <c r="BT33" s="176"/>
      <c r="BU33" s="176"/>
      <c r="BV33" s="176"/>
      <c r="BW33" s="176"/>
      <c r="BX33" s="176"/>
      <c r="BY33" s="176"/>
      <c r="BZ33" s="176"/>
      <c r="CA33" s="176"/>
    </row>
    <row r="34" spans="1:79" ht="27" customHeight="1" x14ac:dyDescent="0.15">
      <c r="A34" s="160" t="s">
        <v>526</v>
      </c>
      <c r="B34" s="21"/>
      <c r="C34" s="19"/>
      <c r="D34" s="40" t="str">
        <f t="shared" si="31"/>
        <v/>
      </c>
      <c r="E34" s="19"/>
      <c r="F34" s="26"/>
      <c r="G34" s="21"/>
      <c r="H34" s="22"/>
      <c r="I34" s="22"/>
      <c r="J34" s="22"/>
      <c r="K34" s="23"/>
      <c r="L34" s="23"/>
      <c r="M34" s="23"/>
      <c r="N34" s="146"/>
      <c r="O34" s="40">
        <f t="shared" si="57"/>
        <v>0</v>
      </c>
      <c r="P34" s="183" t="str">
        <f t="shared" si="58"/>
        <v/>
      </c>
      <c r="S34" s="18">
        <f t="shared" si="32"/>
        <v>0</v>
      </c>
      <c r="T34" s="18">
        <f t="shared" si="2"/>
        <v>0</v>
      </c>
      <c r="U34" s="18">
        <f>IF(C34="人工面",0,IF(G34="",0,IF(D34="湿性環境",VLOOKUP(G34,環境タイプⅡによる点数DB!A:B,2,FALSE),IF(D34="樹林",VLOOKUP(G34,環境タイプⅡによる点数DB!A:C,3,FALSE),IF(D34="低木・草地",VLOOKUP(G34,環境タイプⅡによる点数DB!A:D,4,FALSE),0)))))</f>
        <v>0</v>
      </c>
      <c r="V34" s="24" t="str">
        <f>$H34&amp;"in"&amp;基本情報!$C$13</f>
        <v>in</v>
      </c>
      <c r="W34" s="24">
        <f t="shared" si="3"/>
        <v>0</v>
      </c>
      <c r="X34" s="24">
        <f>IF($H34="",0,IF($D34="樹林",IF(ISERROR(VLOOKUP($V34,市町村・植物種ごとの樹林点数DB!$A:$G,7,FALSE))=TRUE,20,VLOOKUP($V34,市町村・植物種ごとの樹林点数DB!$A:$G,7,FALSE)),IF($D34="低木・草地",IF($H34="【ススキ】・【ネザサ】・【チガヤ】",45,10),0)))</f>
        <v>0</v>
      </c>
      <c r="Y34" s="24">
        <f t="shared" si="59"/>
        <v>0</v>
      </c>
      <c r="Z34" s="24">
        <f t="shared" si="60"/>
        <v>1</v>
      </c>
      <c r="AA34" s="24">
        <f t="shared" si="61"/>
        <v>1</v>
      </c>
      <c r="AB34" s="24">
        <f t="shared" si="62"/>
        <v>0</v>
      </c>
      <c r="AC34" s="25">
        <f t="shared" si="63"/>
        <v>0</v>
      </c>
      <c r="AD34" s="25">
        <f t="shared" si="64"/>
        <v>0</v>
      </c>
      <c r="AE34" s="25">
        <f t="shared" si="65"/>
        <v>0</v>
      </c>
      <c r="AF34" s="25" t="str">
        <f t="shared" si="66"/>
        <v/>
      </c>
      <c r="AG34" s="25" t="str">
        <f t="shared" si="67"/>
        <v/>
      </c>
      <c r="AH34" s="25" t="str">
        <f t="shared" si="68"/>
        <v/>
      </c>
      <c r="AI34" s="25">
        <f>IF(ISERROR(VLOOKUP(K34,割合DB!$A:$B,2,FALSE))=TRUE,100,VLOOKUP(K34,割合DB!$A:$B,2,FALSE))</f>
        <v>100</v>
      </c>
      <c r="AJ34" s="25">
        <f>IF(ISERROR(VLOOKUP(L34,割合DB!$A:$B,2,FALSE))=TRUE,100,VLOOKUP(L34,割合DB!$A:$B,2,FALSE))</f>
        <v>100</v>
      </c>
      <c r="AK34" s="25">
        <f>IF(ISERROR(VLOOKUP(M34,割合DB!$A:$B,2,FALSE))=TRUE,100,VLOOKUP(M34,割合DB!$A:$B,2,FALSE))</f>
        <v>100</v>
      </c>
      <c r="AL34" s="25">
        <f t="shared" si="69"/>
        <v>0</v>
      </c>
      <c r="AM34" s="18">
        <f t="shared" si="70"/>
        <v>0</v>
      </c>
      <c r="AN34" s="18">
        <f t="shared" si="71"/>
        <v>0</v>
      </c>
      <c r="AO34" s="18">
        <f t="shared" si="17"/>
        <v>0</v>
      </c>
      <c r="AP34" s="18">
        <f>IF($C34="人工面",0,IF($G34="",70,IF($D34="湿性環境",VLOOKUP($G34,環境タイプⅡによる点数DB!$A:$B,2,FALSE),IF($D34="樹林",VLOOKUP($G34,環境タイプⅡによる点数DB!$A:$C,3,FALSE),IF($D34="低木・草地",VLOOKUP($G34,環境タイプⅡによる点数DB!$A:$D,4,FALSE),0)))))</f>
        <v>70</v>
      </c>
      <c r="AQ34" s="24" t="str">
        <f>$H34&amp;"in"&amp;基本情報!$C$13</f>
        <v>in</v>
      </c>
      <c r="AR34" s="24">
        <f t="shared" si="18"/>
        <v>0</v>
      </c>
      <c r="AS34" s="24">
        <f>IF($H34="",0,IF($D34="樹林",IF(ISERROR(VLOOKUP($V34,市町村・植物種ごとの樹林点数DB!$A:$F,6,FALSE))=TRUE,10,VLOOKUP($V34,市町村・植物種ごとの樹林点数DB!$A:$F,6,FALSE)),IF($D34="低木・草地",IF(OR($H34="【ススキ】・【ネザサ】・【チガヤ】",$H34="不明"),45,10),0)))</f>
        <v>0</v>
      </c>
      <c r="AT34" s="24">
        <f t="shared" si="19"/>
        <v>0</v>
      </c>
      <c r="AU34" s="24">
        <f t="shared" si="20"/>
        <v>1</v>
      </c>
      <c r="AV34" s="24">
        <f t="shared" si="21"/>
        <v>0</v>
      </c>
      <c r="AW34" s="24">
        <f t="shared" si="22"/>
        <v>1</v>
      </c>
      <c r="AX34" s="25">
        <f t="shared" si="72"/>
        <v>0</v>
      </c>
      <c r="AY34" s="25">
        <f t="shared" si="73"/>
        <v>0</v>
      </c>
      <c r="AZ34" s="25">
        <f t="shared" si="74"/>
        <v>0</v>
      </c>
      <c r="BA34" s="25" t="str">
        <f t="shared" si="75"/>
        <v/>
      </c>
      <c r="BB34" s="25" t="str">
        <f t="shared" si="76"/>
        <v/>
      </c>
      <c r="BC34" s="25" t="str">
        <f t="shared" si="77"/>
        <v/>
      </c>
      <c r="BD34" s="25">
        <f>IF(ISERROR(VLOOKUP($K34,割合DB!$A:$B,2,FALSE))=TRUE,0,VLOOKUP($K34,割合DB!$A:$B,2,FALSE))</f>
        <v>0</v>
      </c>
      <c r="BE34" s="25">
        <f>IF(ISERROR(VLOOKUP($L34,割合DB!$A:$B,2,FALSE))=TRUE,0,VLOOKUP($L34,割合DB!$A:$B,2,FALSE))</f>
        <v>0</v>
      </c>
      <c r="BF34" s="25">
        <f>IF(ISERROR(VLOOKUP($M34,割合DB!$A:$B,2,FALSE))=TRUE,0,VLOOKUP($M34,割合DB!$A:$B,2,FALSE))</f>
        <v>0</v>
      </c>
      <c r="BG34" s="25">
        <f t="shared" si="78"/>
        <v>100</v>
      </c>
      <c r="BH34" s="18">
        <f t="shared" si="79"/>
        <v>100</v>
      </c>
      <c r="BI34" s="18">
        <f t="shared" si="33"/>
        <v>1</v>
      </c>
      <c r="BJ34" s="176"/>
      <c r="BK34" s="176"/>
      <c r="BL34" s="176"/>
      <c r="BM34" s="176"/>
      <c r="BN34" s="176"/>
      <c r="BO34" s="176"/>
      <c r="BP34" s="176"/>
      <c r="BQ34" s="176"/>
      <c r="BR34" s="176"/>
      <c r="BS34" s="176"/>
      <c r="BT34" s="176"/>
      <c r="BU34" s="176"/>
      <c r="BV34" s="176"/>
      <c r="BW34" s="176"/>
      <c r="BX34" s="176"/>
      <c r="BY34" s="176"/>
      <c r="BZ34" s="176"/>
      <c r="CA34" s="176"/>
    </row>
    <row r="35" spans="1:79" ht="27" customHeight="1" x14ac:dyDescent="0.15">
      <c r="A35" s="160" t="s">
        <v>527</v>
      </c>
      <c r="B35" s="21"/>
      <c r="C35" s="19"/>
      <c r="D35" s="40" t="str">
        <f t="shared" si="31"/>
        <v/>
      </c>
      <c r="E35" s="19"/>
      <c r="F35" s="26"/>
      <c r="G35" s="21"/>
      <c r="H35" s="22"/>
      <c r="I35" s="22"/>
      <c r="J35" s="22"/>
      <c r="K35" s="23"/>
      <c r="L35" s="23"/>
      <c r="M35" s="23"/>
      <c r="N35" s="146"/>
      <c r="O35" s="40">
        <f t="shared" si="57"/>
        <v>0</v>
      </c>
      <c r="P35" s="183" t="str">
        <f t="shared" si="58"/>
        <v/>
      </c>
      <c r="S35" s="18">
        <f t="shared" si="32"/>
        <v>0</v>
      </c>
      <c r="T35" s="18">
        <f t="shared" si="2"/>
        <v>0</v>
      </c>
      <c r="U35" s="18">
        <f>IF(C35="人工面",0,IF(G35="",0,IF(D35="湿性環境",VLOOKUP(G35,環境タイプⅡによる点数DB!A:B,2,FALSE),IF(D35="樹林",VLOOKUP(G35,環境タイプⅡによる点数DB!A:C,3,FALSE),IF(D35="低木・草地",VLOOKUP(G35,環境タイプⅡによる点数DB!A:D,4,FALSE),0)))))</f>
        <v>0</v>
      </c>
      <c r="V35" s="24" t="str">
        <f>$H35&amp;"in"&amp;基本情報!$C$13</f>
        <v>in</v>
      </c>
      <c r="W35" s="24">
        <f t="shared" si="3"/>
        <v>0</v>
      </c>
      <c r="X35" s="24">
        <f>IF($H35="",0,IF($D35="樹林",IF(ISERROR(VLOOKUP($V35,市町村・植物種ごとの樹林点数DB!$A:$G,7,FALSE))=TRUE,20,VLOOKUP($V35,市町村・植物種ごとの樹林点数DB!$A:$G,7,FALSE)),IF($D35="低木・草地",IF($H35="【ススキ】・【ネザサ】・【チガヤ】",45,10),0)))</f>
        <v>0</v>
      </c>
      <c r="Y35" s="24">
        <f t="shared" si="59"/>
        <v>0</v>
      </c>
      <c r="Z35" s="24">
        <f t="shared" si="60"/>
        <v>1</v>
      </c>
      <c r="AA35" s="24">
        <f t="shared" si="61"/>
        <v>1</v>
      </c>
      <c r="AB35" s="24">
        <f t="shared" si="62"/>
        <v>0</v>
      </c>
      <c r="AC35" s="25">
        <f t="shared" si="63"/>
        <v>0</v>
      </c>
      <c r="AD35" s="25">
        <f t="shared" si="64"/>
        <v>0</v>
      </c>
      <c r="AE35" s="25">
        <f t="shared" si="65"/>
        <v>0</v>
      </c>
      <c r="AF35" s="25" t="str">
        <f t="shared" si="66"/>
        <v/>
      </c>
      <c r="AG35" s="25" t="str">
        <f t="shared" si="67"/>
        <v/>
      </c>
      <c r="AH35" s="25" t="str">
        <f t="shared" si="68"/>
        <v/>
      </c>
      <c r="AI35" s="25">
        <f>IF(ISERROR(VLOOKUP(K35,割合DB!$A:$B,2,FALSE))=TRUE,100,VLOOKUP(K35,割合DB!$A:$B,2,FALSE))</f>
        <v>100</v>
      </c>
      <c r="AJ35" s="25">
        <f>IF(ISERROR(VLOOKUP(L35,割合DB!$A:$B,2,FALSE))=TRUE,100,VLOOKUP(L35,割合DB!$A:$B,2,FALSE))</f>
        <v>100</v>
      </c>
      <c r="AK35" s="25">
        <f>IF(ISERROR(VLOOKUP(M35,割合DB!$A:$B,2,FALSE))=TRUE,100,VLOOKUP(M35,割合DB!$A:$B,2,FALSE))</f>
        <v>100</v>
      </c>
      <c r="AL35" s="25">
        <f t="shared" si="69"/>
        <v>0</v>
      </c>
      <c r="AM35" s="18">
        <f t="shared" si="70"/>
        <v>0</v>
      </c>
      <c r="AN35" s="18">
        <f t="shared" si="71"/>
        <v>0</v>
      </c>
      <c r="AO35" s="18">
        <f t="shared" si="17"/>
        <v>0</v>
      </c>
      <c r="AP35" s="18">
        <f>IF($C35="人工面",0,IF($G35="",70,IF($D35="湿性環境",VLOOKUP($G35,環境タイプⅡによる点数DB!$A:$B,2,FALSE),IF($D35="樹林",VLOOKUP($G35,環境タイプⅡによる点数DB!$A:$C,3,FALSE),IF($D35="低木・草地",VLOOKUP($G35,環境タイプⅡによる点数DB!$A:$D,4,FALSE),0)))))</f>
        <v>70</v>
      </c>
      <c r="AQ35" s="24" t="str">
        <f>$H35&amp;"in"&amp;基本情報!$C$13</f>
        <v>in</v>
      </c>
      <c r="AR35" s="24">
        <f t="shared" si="18"/>
        <v>0</v>
      </c>
      <c r="AS35" s="24">
        <f>IF($H35="",0,IF($D35="樹林",IF(ISERROR(VLOOKUP($V35,市町村・植物種ごとの樹林点数DB!$A:$F,6,FALSE))=TRUE,10,VLOOKUP($V35,市町村・植物種ごとの樹林点数DB!$A:$F,6,FALSE)),IF($D35="低木・草地",IF(OR($H35="【ススキ】・【ネザサ】・【チガヤ】",$H35="不明"),45,10),0)))</f>
        <v>0</v>
      </c>
      <c r="AT35" s="24">
        <f t="shared" si="19"/>
        <v>0</v>
      </c>
      <c r="AU35" s="24">
        <f t="shared" si="20"/>
        <v>1</v>
      </c>
      <c r="AV35" s="24">
        <f t="shared" si="21"/>
        <v>0</v>
      </c>
      <c r="AW35" s="24">
        <f t="shared" si="22"/>
        <v>1</v>
      </c>
      <c r="AX35" s="25">
        <f t="shared" si="72"/>
        <v>0</v>
      </c>
      <c r="AY35" s="25">
        <f t="shared" si="73"/>
        <v>0</v>
      </c>
      <c r="AZ35" s="25">
        <f t="shared" si="74"/>
        <v>0</v>
      </c>
      <c r="BA35" s="25" t="str">
        <f t="shared" si="75"/>
        <v/>
      </c>
      <c r="BB35" s="25" t="str">
        <f t="shared" si="76"/>
        <v/>
      </c>
      <c r="BC35" s="25" t="str">
        <f t="shared" si="77"/>
        <v/>
      </c>
      <c r="BD35" s="25">
        <f>IF(ISERROR(VLOOKUP($K35,割合DB!$A:$B,2,FALSE))=TRUE,0,VLOOKUP($K35,割合DB!$A:$B,2,FALSE))</f>
        <v>0</v>
      </c>
      <c r="BE35" s="25">
        <f>IF(ISERROR(VLOOKUP($L35,割合DB!$A:$B,2,FALSE))=TRUE,0,VLOOKUP($L35,割合DB!$A:$B,2,FALSE))</f>
        <v>0</v>
      </c>
      <c r="BF35" s="25">
        <f>IF(ISERROR(VLOOKUP($M35,割合DB!$A:$B,2,FALSE))=TRUE,0,VLOOKUP($M35,割合DB!$A:$B,2,FALSE))</f>
        <v>0</v>
      </c>
      <c r="BG35" s="25">
        <f t="shared" si="78"/>
        <v>100</v>
      </c>
      <c r="BH35" s="18">
        <f t="shared" si="79"/>
        <v>100</v>
      </c>
      <c r="BI35" s="18">
        <f t="shared" si="33"/>
        <v>1</v>
      </c>
      <c r="BJ35" s="176"/>
      <c r="BK35" s="176"/>
      <c r="BL35" s="176"/>
      <c r="BM35" s="176"/>
      <c r="BN35" s="176"/>
      <c r="BO35" s="176"/>
      <c r="BP35" s="176"/>
      <c r="BQ35" s="176"/>
      <c r="BR35" s="176"/>
      <c r="BS35" s="176"/>
      <c r="BT35" s="176"/>
      <c r="BU35" s="176"/>
      <c r="BV35" s="176"/>
      <c r="BW35" s="176"/>
      <c r="BX35" s="176"/>
      <c r="BY35" s="176"/>
      <c r="BZ35" s="176"/>
      <c r="CA35" s="176"/>
    </row>
    <row r="36" spans="1:79" ht="27" customHeight="1" x14ac:dyDescent="0.15">
      <c r="A36" s="160" t="s">
        <v>528</v>
      </c>
      <c r="B36" s="21"/>
      <c r="C36" s="19"/>
      <c r="D36" s="40" t="str">
        <f t="shared" si="31"/>
        <v/>
      </c>
      <c r="E36" s="19"/>
      <c r="F36" s="26"/>
      <c r="G36" s="21"/>
      <c r="H36" s="22"/>
      <c r="I36" s="22"/>
      <c r="J36" s="22"/>
      <c r="K36" s="23"/>
      <c r="L36" s="23"/>
      <c r="M36" s="23"/>
      <c r="N36" s="146"/>
      <c r="O36" s="40">
        <f t="shared" si="57"/>
        <v>0</v>
      </c>
      <c r="P36" s="183" t="str">
        <f t="shared" si="58"/>
        <v/>
      </c>
      <c r="S36" s="18">
        <f t="shared" si="32"/>
        <v>0</v>
      </c>
      <c r="T36" s="18">
        <f t="shared" si="2"/>
        <v>0</v>
      </c>
      <c r="U36" s="18">
        <f>IF(C36="人工面",0,IF(G36="",0,IF(D36="湿性環境",VLOOKUP(G36,環境タイプⅡによる点数DB!A:B,2,FALSE),IF(D36="樹林",VLOOKUP(G36,環境タイプⅡによる点数DB!A:C,3,FALSE),IF(D36="低木・草地",VLOOKUP(G36,環境タイプⅡによる点数DB!A:D,4,FALSE),0)))))</f>
        <v>0</v>
      </c>
      <c r="V36" s="24" t="str">
        <f>$H36&amp;"in"&amp;基本情報!$C$13</f>
        <v>in</v>
      </c>
      <c r="W36" s="24">
        <f t="shared" si="3"/>
        <v>0</v>
      </c>
      <c r="X36" s="24">
        <f>IF($H36="",0,IF($D36="樹林",IF(ISERROR(VLOOKUP($V36,市町村・植物種ごとの樹林点数DB!$A:$G,7,FALSE))=TRUE,20,VLOOKUP($V36,市町村・植物種ごとの樹林点数DB!$A:$G,7,FALSE)),IF($D36="低木・草地",IF($H36="【ススキ】・【ネザサ】・【チガヤ】",45,10),0)))</f>
        <v>0</v>
      </c>
      <c r="Y36" s="24">
        <f t="shared" si="59"/>
        <v>0</v>
      </c>
      <c r="Z36" s="24">
        <f t="shared" si="60"/>
        <v>1</v>
      </c>
      <c r="AA36" s="24">
        <f t="shared" si="61"/>
        <v>1</v>
      </c>
      <c r="AB36" s="24">
        <f t="shared" si="62"/>
        <v>0</v>
      </c>
      <c r="AC36" s="25">
        <f t="shared" si="63"/>
        <v>0</v>
      </c>
      <c r="AD36" s="25">
        <f t="shared" si="64"/>
        <v>0</v>
      </c>
      <c r="AE36" s="25">
        <f t="shared" si="65"/>
        <v>0</v>
      </c>
      <c r="AF36" s="25" t="str">
        <f t="shared" si="66"/>
        <v/>
      </c>
      <c r="AG36" s="25" t="str">
        <f t="shared" si="67"/>
        <v/>
      </c>
      <c r="AH36" s="25" t="str">
        <f t="shared" si="68"/>
        <v/>
      </c>
      <c r="AI36" s="25">
        <f>IF(ISERROR(VLOOKUP(K36,割合DB!$A:$B,2,FALSE))=TRUE,100,VLOOKUP(K36,割合DB!$A:$B,2,FALSE))</f>
        <v>100</v>
      </c>
      <c r="AJ36" s="25">
        <f>IF(ISERROR(VLOOKUP(L36,割合DB!$A:$B,2,FALSE))=TRUE,100,VLOOKUP(L36,割合DB!$A:$B,2,FALSE))</f>
        <v>100</v>
      </c>
      <c r="AK36" s="25">
        <f>IF(ISERROR(VLOOKUP(M36,割合DB!$A:$B,2,FALSE))=TRUE,100,VLOOKUP(M36,割合DB!$A:$B,2,FALSE))</f>
        <v>100</v>
      </c>
      <c r="AL36" s="25">
        <f t="shared" si="69"/>
        <v>0</v>
      </c>
      <c r="AM36" s="18">
        <f t="shared" si="70"/>
        <v>0</v>
      </c>
      <c r="AN36" s="18">
        <f t="shared" si="71"/>
        <v>0</v>
      </c>
      <c r="AO36" s="18">
        <f t="shared" si="17"/>
        <v>0</v>
      </c>
      <c r="AP36" s="18">
        <f>IF($C36="人工面",0,IF($G36="",70,IF($D36="湿性環境",VLOOKUP($G36,環境タイプⅡによる点数DB!$A:$B,2,FALSE),IF($D36="樹林",VLOOKUP($G36,環境タイプⅡによる点数DB!$A:$C,3,FALSE),IF($D36="低木・草地",VLOOKUP($G36,環境タイプⅡによる点数DB!$A:$D,4,FALSE),0)))))</f>
        <v>70</v>
      </c>
      <c r="AQ36" s="24" t="str">
        <f>$H36&amp;"in"&amp;基本情報!$C$13</f>
        <v>in</v>
      </c>
      <c r="AR36" s="24">
        <f t="shared" si="18"/>
        <v>0</v>
      </c>
      <c r="AS36" s="24">
        <f>IF($H36="",0,IF($D36="樹林",IF(ISERROR(VLOOKUP($V36,市町村・植物種ごとの樹林点数DB!$A:$F,6,FALSE))=TRUE,10,VLOOKUP($V36,市町村・植物種ごとの樹林点数DB!$A:$F,6,FALSE)),IF($D36="低木・草地",IF(OR($H36="【ススキ】・【ネザサ】・【チガヤ】",$H36="不明"),45,10),0)))</f>
        <v>0</v>
      </c>
      <c r="AT36" s="24">
        <f t="shared" si="19"/>
        <v>0</v>
      </c>
      <c r="AU36" s="24">
        <f t="shared" si="20"/>
        <v>1</v>
      </c>
      <c r="AV36" s="24">
        <f t="shared" si="21"/>
        <v>0</v>
      </c>
      <c r="AW36" s="24">
        <f t="shared" si="22"/>
        <v>1</v>
      </c>
      <c r="AX36" s="25">
        <f t="shared" si="72"/>
        <v>0</v>
      </c>
      <c r="AY36" s="25">
        <f t="shared" si="73"/>
        <v>0</v>
      </c>
      <c r="AZ36" s="25">
        <f t="shared" si="74"/>
        <v>0</v>
      </c>
      <c r="BA36" s="25" t="str">
        <f t="shared" si="75"/>
        <v/>
      </c>
      <c r="BB36" s="25" t="str">
        <f t="shared" si="76"/>
        <v/>
      </c>
      <c r="BC36" s="25" t="str">
        <f t="shared" si="77"/>
        <v/>
      </c>
      <c r="BD36" s="25">
        <f>IF(ISERROR(VLOOKUP($K36,割合DB!$A:$B,2,FALSE))=TRUE,0,VLOOKUP($K36,割合DB!$A:$B,2,FALSE))</f>
        <v>0</v>
      </c>
      <c r="BE36" s="25">
        <f>IF(ISERROR(VLOOKUP($L36,割合DB!$A:$B,2,FALSE))=TRUE,0,VLOOKUP($L36,割合DB!$A:$B,2,FALSE))</f>
        <v>0</v>
      </c>
      <c r="BF36" s="25">
        <f>IF(ISERROR(VLOOKUP($M36,割合DB!$A:$B,2,FALSE))=TRUE,0,VLOOKUP($M36,割合DB!$A:$B,2,FALSE))</f>
        <v>0</v>
      </c>
      <c r="BG36" s="25">
        <f t="shared" si="78"/>
        <v>100</v>
      </c>
      <c r="BH36" s="18">
        <f t="shared" si="79"/>
        <v>100</v>
      </c>
      <c r="BI36" s="18">
        <f t="shared" si="33"/>
        <v>1</v>
      </c>
      <c r="BJ36" s="176"/>
      <c r="BK36" s="176"/>
      <c r="BL36" s="176"/>
      <c r="BM36" s="176"/>
      <c r="BN36" s="176"/>
      <c r="BO36" s="176"/>
      <c r="BP36" s="176"/>
      <c r="BQ36" s="176"/>
      <c r="BR36" s="176"/>
      <c r="BS36" s="176"/>
      <c r="BT36" s="176"/>
      <c r="BU36" s="176"/>
      <c r="BV36" s="176"/>
      <c r="BW36" s="176"/>
      <c r="BX36" s="176"/>
      <c r="BY36" s="176"/>
      <c r="BZ36" s="176"/>
      <c r="CA36" s="176"/>
    </row>
    <row r="37" spans="1:79" ht="27" customHeight="1" x14ac:dyDescent="0.15">
      <c r="A37" s="160" t="s">
        <v>529</v>
      </c>
      <c r="B37" s="21"/>
      <c r="C37" s="19"/>
      <c r="D37" s="40" t="str">
        <f t="shared" si="31"/>
        <v/>
      </c>
      <c r="E37" s="19"/>
      <c r="F37" s="26"/>
      <c r="G37" s="21"/>
      <c r="H37" s="22"/>
      <c r="I37" s="22"/>
      <c r="J37" s="22"/>
      <c r="K37" s="23"/>
      <c r="L37" s="23"/>
      <c r="M37" s="23"/>
      <c r="N37" s="146"/>
      <c r="O37" s="40">
        <f t="shared" si="57"/>
        <v>0</v>
      </c>
      <c r="P37" s="183" t="str">
        <f t="shared" si="58"/>
        <v/>
      </c>
      <c r="S37" s="18">
        <f t="shared" si="32"/>
        <v>0</v>
      </c>
      <c r="T37" s="18">
        <f t="shared" si="2"/>
        <v>0</v>
      </c>
      <c r="U37" s="18">
        <f>IF(C37="人工面",0,IF(G37="",0,IF(D37="湿性環境",VLOOKUP(G37,環境タイプⅡによる点数DB!A:B,2,FALSE),IF(D37="樹林",VLOOKUP(G37,環境タイプⅡによる点数DB!A:C,3,FALSE),IF(D37="低木・草地",VLOOKUP(G37,環境タイプⅡによる点数DB!A:D,4,FALSE),0)))))</f>
        <v>0</v>
      </c>
      <c r="V37" s="24" t="str">
        <f>$H37&amp;"in"&amp;基本情報!$C$13</f>
        <v>in</v>
      </c>
      <c r="W37" s="24">
        <f t="shared" si="3"/>
        <v>0</v>
      </c>
      <c r="X37" s="24">
        <f>IF($H37="",0,IF($D37="樹林",IF(ISERROR(VLOOKUP($V37,市町村・植物種ごとの樹林点数DB!$A:$G,7,FALSE))=TRUE,20,VLOOKUP($V37,市町村・植物種ごとの樹林点数DB!$A:$G,7,FALSE)),IF($D37="低木・草地",IF($H37="【ススキ】・【ネザサ】・【チガヤ】",45,10),0)))</f>
        <v>0</v>
      </c>
      <c r="Y37" s="24">
        <f t="shared" si="59"/>
        <v>0</v>
      </c>
      <c r="Z37" s="24">
        <f t="shared" si="60"/>
        <v>1</v>
      </c>
      <c r="AA37" s="24">
        <f t="shared" si="61"/>
        <v>1</v>
      </c>
      <c r="AB37" s="24">
        <f t="shared" si="62"/>
        <v>0</v>
      </c>
      <c r="AC37" s="25">
        <f t="shared" si="63"/>
        <v>0</v>
      </c>
      <c r="AD37" s="25">
        <f t="shared" si="64"/>
        <v>0</v>
      </c>
      <c r="AE37" s="25">
        <f t="shared" si="65"/>
        <v>0</v>
      </c>
      <c r="AF37" s="25" t="str">
        <f t="shared" si="66"/>
        <v/>
      </c>
      <c r="AG37" s="25" t="str">
        <f t="shared" si="67"/>
        <v/>
      </c>
      <c r="AH37" s="25" t="str">
        <f t="shared" si="68"/>
        <v/>
      </c>
      <c r="AI37" s="25">
        <f>IF(ISERROR(VLOOKUP(K37,割合DB!$A:$B,2,FALSE))=TRUE,100,VLOOKUP(K37,割合DB!$A:$B,2,FALSE))</f>
        <v>100</v>
      </c>
      <c r="AJ37" s="25">
        <f>IF(ISERROR(VLOOKUP(L37,割合DB!$A:$B,2,FALSE))=TRUE,100,VLOOKUP(L37,割合DB!$A:$B,2,FALSE))</f>
        <v>100</v>
      </c>
      <c r="AK37" s="25">
        <f>IF(ISERROR(VLOOKUP(M37,割合DB!$A:$B,2,FALSE))=TRUE,100,VLOOKUP(M37,割合DB!$A:$B,2,FALSE))</f>
        <v>100</v>
      </c>
      <c r="AL37" s="25">
        <f t="shared" si="69"/>
        <v>0</v>
      </c>
      <c r="AM37" s="18">
        <f t="shared" si="70"/>
        <v>0</v>
      </c>
      <c r="AN37" s="18">
        <f t="shared" si="71"/>
        <v>0</v>
      </c>
      <c r="AO37" s="18">
        <f t="shared" si="17"/>
        <v>0</v>
      </c>
      <c r="AP37" s="18">
        <f>IF($C37="人工面",0,IF($G37="",70,IF($D37="湿性環境",VLOOKUP($G37,環境タイプⅡによる点数DB!$A:$B,2,FALSE),IF($D37="樹林",VLOOKUP($G37,環境タイプⅡによる点数DB!$A:$C,3,FALSE),IF($D37="低木・草地",VLOOKUP($G37,環境タイプⅡによる点数DB!$A:$D,4,FALSE),0)))))</f>
        <v>70</v>
      </c>
      <c r="AQ37" s="24" t="str">
        <f>$H37&amp;"in"&amp;基本情報!$C$13</f>
        <v>in</v>
      </c>
      <c r="AR37" s="24">
        <f t="shared" si="18"/>
        <v>0</v>
      </c>
      <c r="AS37" s="24">
        <f>IF($H37="",0,IF($D37="樹林",IF(ISERROR(VLOOKUP($V37,市町村・植物種ごとの樹林点数DB!$A:$F,6,FALSE))=TRUE,10,VLOOKUP($V37,市町村・植物種ごとの樹林点数DB!$A:$F,6,FALSE)),IF($D37="低木・草地",IF(OR($H37="【ススキ】・【ネザサ】・【チガヤ】",$H37="不明"),45,10),0)))</f>
        <v>0</v>
      </c>
      <c r="AT37" s="24">
        <f t="shared" si="19"/>
        <v>0</v>
      </c>
      <c r="AU37" s="24">
        <f t="shared" si="20"/>
        <v>1</v>
      </c>
      <c r="AV37" s="24">
        <f t="shared" si="21"/>
        <v>0</v>
      </c>
      <c r="AW37" s="24">
        <f t="shared" si="22"/>
        <v>1</v>
      </c>
      <c r="AX37" s="25">
        <f t="shared" si="72"/>
        <v>0</v>
      </c>
      <c r="AY37" s="25">
        <f t="shared" si="73"/>
        <v>0</v>
      </c>
      <c r="AZ37" s="25">
        <f t="shared" si="74"/>
        <v>0</v>
      </c>
      <c r="BA37" s="25" t="str">
        <f t="shared" si="75"/>
        <v/>
      </c>
      <c r="BB37" s="25" t="str">
        <f t="shared" si="76"/>
        <v/>
      </c>
      <c r="BC37" s="25" t="str">
        <f t="shared" si="77"/>
        <v/>
      </c>
      <c r="BD37" s="25">
        <f>IF(ISERROR(VLOOKUP($K37,割合DB!$A:$B,2,FALSE))=TRUE,0,VLOOKUP($K37,割合DB!$A:$B,2,FALSE))</f>
        <v>0</v>
      </c>
      <c r="BE37" s="25">
        <f>IF(ISERROR(VLOOKUP($L37,割合DB!$A:$B,2,FALSE))=TRUE,0,VLOOKUP($L37,割合DB!$A:$B,2,FALSE))</f>
        <v>0</v>
      </c>
      <c r="BF37" s="25">
        <f>IF(ISERROR(VLOOKUP($M37,割合DB!$A:$B,2,FALSE))=TRUE,0,VLOOKUP($M37,割合DB!$A:$B,2,FALSE))</f>
        <v>0</v>
      </c>
      <c r="BG37" s="25">
        <f t="shared" si="78"/>
        <v>100</v>
      </c>
      <c r="BH37" s="18">
        <f t="shared" si="79"/>
        <v>100</v>
      </c>
      <c r="BI37" s="18">
        <f t="shared" si="33"/>
        <v>1</v>
      </c>
      <c r="BJ37" s="176"/>
      <c r="BK37" s="176"/>
      <c r="BL37" s="176"/>
      <c r="BM37" s="176"/>
      <c r="BN37" s="176"/>
      <c r="BO37" s="176"/>
      <c r="BP37" s="176"/>
      <c r="BQ37" s="176"/>
      <c r="BR37" s="176"/>
      <c r="BS37" s="176"/>
      <c r="BT37" s="176"/>
      <c r="BU37" s="176"/>
      <c r="BV37" s="176"/>
      <c r="BW37" s="176"/>
      <c r="BX37" s="176"/>
      <c r="BY37" s="176"/>
      <c r="BZ37" s="176"/>
      <c r="CA37" s="176"/>
    </row>
    <row r="38" spans="1:79" ht="27" customHeight="1" x14ac:dyDescent="0.15">
      <c r="A38" s="160" t="s">
        <v>530</v>
      </c>
      <c r="B38" s="21"/>
      <c r="C38" s="19"/>
      <c r="D38" s="40" t="str">
        <f t="shared" si="31"/>
        <v/>
      </c>
      <c r="E38" s="19"/>
      <c r="F38" s="26"/>
      <c r="G38" s="21"/>
      <c r="H38" s="22"/>
      <c r="I38" s="22"/>
      <c r="J38" s="22"/>
      <c r="K38" s="23"/>
      <c r="L38" s="23"/>
      <c r="M38" s="23"/>
      <c r="N38" s="146"/>
      <c r="O38" s="40">
        <f t="shared" si="57"/>
        <v>0</v>
      </c>
      <c r="P38" s="183" t="str">
        <f t="shared" si="58"/>
        <v/>
      </c>
      <c r="S38" s="18">
        <f t="shared" si="32"/>
        <v>0</v>
      </c>
      <c r="T38" s="18">
        <f t="shared" si="2"/>
        <v>0</v>
      </c>
      <c r="U38" s="18">
        <f>IF(C38="人工面",0,IF(G38="",0,IF(D38="湿性環境",VLOOKUP(G38,環境タイプⅡによる点数DB!A:B,2,FALSE),IF(D38="樹林",VLOOKUP(G38,環境タイプⅡによる点数DB!A:C,3,FALSE),IF(D38="低木・草地",VLOOKUP(G38,環境タイプⅡによる点数DB!A:D,4,FALSE),0)))))</f>
        <v>0</v>
      </c>
      <c r="V38" s="24" t="str">
        <f>$H38&amp;"in"&amp;基本情報!$C$13</f>
        <v>in</v>
      </c>
      <c r="W38" s="24">
        <f t="shared" si="3"/>
        <v>0</v>
      </c>
      <c r="X38" s="24">
        <f>IF($H38="",0,IF($D38="樹林",IF(ISERROR(VLOOKUP($V38,市町村・植物種ごとの樹林点数DB!$A:$G,7,FALSE))=TRUE,20,VLOOKUP($V38,市町村・植物種ごとの樹林点数DB!$A:$G,7,FALSE)),IF($D38="低木・草地",IF($H38="【ススキ】・【ネザサ】・【チガヤ】",45,10),0)))</f>
        <v>0</v>
      </c>
      <c r="Y38" s="24">
        <f t="shared" si="59"/>
        <v>0</v>
      </c>
      <c r="Z38" s="24">
        <f t="shared" si="60"/>
        <v>1</v>
      </c>
      <c r="AA38" s="24">
        <f t="shared" si="61"/>
        <v>1</v>
      </c>
      <c r="AB38" s="24">
        <f t="shared" si="62"/>
        <v>0</v>
      </c>
      <c r="AC38" s="25">
        <f t="shared" si="63"/>
        <v>0</v>
      </c>
      <c r="AD38" s="25">
        <f t="shared" si="64"/>
        <v>0</v>
      </c>
      <c r="AE38" s="25">
        <f t="shared" si="65"/>
        <v>0</v>
      </c>
      <c r="AF38" s="25" t="str">
        <f t="shared" si="66"/>
        <v/>
      </c>
      <c r="AG38" s="25" t="str">
        <f t="shared" si="67"/>
        <v/>
      </c>
      <c r="AH38" s="25" t="str">
        <f t="shared" si="68"/>
        <v/>
      </c>
      <c r="AI38" s="25">
        <f>IF(ISERROR(VLOOKUP(K38,割合DB!$A:$B,2,FALSE))=TRUE,100,VLOOKUP(K38,割合DB!$A:$B,2,FALSE))</f>
        <v>100</v>
      </c>
      <c r="AJ38" s="25">
        <f>IF(ISERROR(VLOOKUP(L38,割合DB!$A:$B,2,FALSE))=TRUE,100,VLOOKUP(L38,割合DB!$A:$B,2,FALSE))</f>
        <v>100</v>
      </c>
      <c r="AK38" s="25">
        <f>IF(ISERROR(VLOOKUP(M38,割合DB!$A:$B,2,FALSE))=TRUE,100,VLOOKUP(M38,割合DB!$A:$B,2,FALSE))</f>
        <v>100</v>
      </c>
      <c r="AL38" s="25">
        <f t="shared" si="69"/>
        <v>0</v>
      </c>
      <c r="AM38" s="18">
        <f t="shared" si="70"/>
        <v>0</v>
      </c>
      <c r="AN38" s="18">
        <f t="shared" si="71"/>
        <v>0</v>
      </c>
      <c r="AO38" s="18">
        <f t="shared" si="17"/>
        <v>0</v>
      </c>
      <c r="AP38" s="18">
        <f>IF($C38="人工面",0,IF($G38="",70,IF($D38="湿性環境",VLOOKUP($G38,環境タイプⅡによる点数DB!$A:$B,2,FALSE),IF($D38="樹林",VLOOKUP($G38,環境タイプⅡによる点数DB!$A:$C,3,FALSE),IF($D38="低木・草地",VLOOKUP($G38,環境タイプⅡによる点数DB!$A:$D,4,FALSE),0)))))</f>
        <v>70</v>
      </c>
      <c r="AQ38" s="24" t="str">
        <f>$H38&amp;"in"&amp;基本情報!$C$13</f>
        <v>in</v>
      </c>
      <c r="AR38" s="24">
        <f t="shared" si="18"/>
        <v>0</v>
      </c>
      <c r="AS38" s="24">
        <f>IF($H38="",0,IF($D38="樹林",IF(ISERROR(VLOOKUP($V38,市町村・植物種ごとの樹林点数DB!$A:$F,6,FALSE))=TRUE,10,VLOOKUP($V38,市町村・植物種ごとの樹林点数DB!$A:$F,6,FALSE)),IF($D38="低木・草地",IF(OR($H38="【ススキ】・【ネザサ】・【チガヤ】",$H38="不明"),45,10),0)))</f>
        <v>0</v>
      </c>
      <c r="AT38" s="24">
        <f t="shared" si="19"/>
        <v>0</v>
      </c>
      <c r="AU38" s="24">
        <f t="shared" si="20"/>
        <v>1</v>
      </c>
      <c r="AV38" s="24">
        <f t="shared" si="21"/>
        <v>0</v>
      </c>
      <c r="AW38" s="24">
        <f t="shared" si="22"/>
        <v>1</v>
      </c>
      <c r="AX38" s="25">
        <f t="shared" si="72"/>
        <v>0</v>
      </c>
      <c r="AY38" s="25">
        <f t="shared" si="73"/>
        <v>0</v>
      </c>
      <c r="AZ38" s="25">
        <f t="shared" si="74"/>
        <v>0</v>
      </c>
      <c r="BA38" s="25" t="str">
        <f t="shared" si="75"/>
        <v/>
      </c>
      <c r="BB38" s="25" t="str">
        <f t="shared" si="76"/>
        <v/>
      </c>
      <c r="BC38" s="25" t="str">
        <f t="shared" si="77"/>
        <v/>
      </c>
      <c r="BD38" s="25">
        <f>IF(ISERROR(VLOOKUP($K38,割合DB!$A:$B,2,FALSE))=TRUE,0,VLOOKUP($K38,割合DB!$A:$B,2,FALSE))</f>
        <v>0</v>
      </c>
      <c r="BE38" s="25">
        <f>IF(ISERROR(VLOOKUP($L38,割合DB!$A:$B,2,FALSE))=TRUE,0,VLOOKUP($L38,割合DB!$A:$B,2,FALSE))</f>
        <v>0</v>
      </c>
      <c r="BF38" s="25">
        <f>IF(ISERROR(VLOOKUP($M38,割合DB!$A:$B,2,FALSE))=TRUE,0,VLOOKUP($M38,割合DB!$A:$B,2,FALSE))</f>
        <v>0</v>
      </c>
      <c r="BG38" s="25">
        <f t="shared" si="78"/>
        <v>100</v>
      </c>
      <c r="BH38" s="18">
        <f t="shared" si="79"/>
        <v>100</v>
      </c>
      <c r="BI38" s="18">
        <f t="shared" si="33"/>
        <v>1</v>
      </c>
      <c r="BJ38" s="176"/>
      <c r="BK38" s="176"/>
      <c r="BL38" s="176"/>
      <c r="BM38" s="176"/>
      <c r="BN38" s="176"/>
      <c r="BO38" s="176"/>
      <c r="BP38" s="176"/>
      <c r="BQ38" s="176"/>
      <c r="BR38" s="176"/>
      <c r="BS38" s="176"/>
      <c r="BT38" s="176"/>
      <c r="BU38" s="176"/>
      <c r="BV38" s="176"/>
      <c r="BW38" s="176"/>
      <c r="BX38" s="176"/>
      <c r="BY38" s="176"/>
      <c r="BZ38" s="176"/>
      <c r="CA38" s="176"/>
    </row>
    <row r="39" spans="1:79" ht="27" customHeight="1" x14ac:dyDescent="0.15">
      <c r="A39" s="160" t="s">
        <v>531</v>
      </c>
      <c r="B39" s="21"/>
      <c r="C39" s="19"/>
      <c r="D39" s="40" t="str">
        <f t="shared" si="31"/>
        <v/>
      </c>
      <c r="E39" s="19"/>
      <c r="F39" s="26"/>
      <c r="G39" s="21"/>
      <c r="H39" s="22"/>
      <c r="I39" s="22"/>
      <c r="J39" s="22"/>
      <c r="K39" s="23"/>
      <c r="L39" s="23"/>
      <c r="M39" s="23"/>
      <c r="N39" s="146"/>
      <c r="O39" s="40">
        <f t="shared" si="57"/>
        <v>0</v>
      </c>
      <c r="P39" s="183" t="str">
        <f t="shared" si="58"/>
        <v/>
      </c>
      <c r="S39" s="18">
        <f t="shared" si="32"/>
        <v>0</v>
      </c>
      <c r="T39" s="18">
        <f t="shared" si="2"/>
        <v>0</v>
      </c>
      <c r="U39" s="18">
        <f>IF(C39="人工面",0,IF(G39="",0,IF(D39="湿性環境",VLOOKUP(G39,環境タイプⅡによる点数DB!A:B,2,FALSE),IF(D39="樹林",VLOOKUP(G39,環境タイプⅡによる点数DB!A:C,3,FALSE),IF(D39="低木・草地",VLOOKUP(G39,環境タイプⅡによる点数DB!A:D,4,FALSE),0)))))</f>
        <v>0</v>
      </c>
      <c r="V39" s="24" t="str">
        <f>$H39&amp;"in"&amp;基本情報!$C$13</f>
        <v>in</v>
      </c>
      <c r="W39" s="24">
        <f t="shared" si="3"/>
        <v>0</v>
      </c>
      <c r="X39" s="24">
        <f>IF($H39="",0,IF($D39="樹林",IF(ISERROR(VLOOKUP($V39,市町村・植物種ごとの樹林点数DB!$A:$G,7,FALSE))=TRUE,20,VLOOKUP($V39,市町村・植物種ごとの樹林点数DB!$A:$G,7,FALSE)),IF($D39="低木・草地",IF($H39="【ススキ】・【ネザサ】・【チガヤ】",45,10),0)))</f>
        <v>0</v>
      </c>
      <c r="Y39" s="24">
        <f t="shared" si="59"/>
        <v>0</v>
      </c>
      <c r="Z39" s="24">
        <f t="shared" si="60"/>
        <v>1</v>
      </c>
      <c r="AA39" s="24">
        <f t="shared" si="61"/>
        <v>1</v>
      </c>
      <c r="AB39" s="24">
        <f t="shared" si="62"/>
        <v>0</v>
      </c>
      <c r="AC39" s="25">
        <f t="shared" si="63"/>
        <v>0</v>
      </c>
      <c r="AD39" s="25">
        <f t="shared" si="64"/>
        <v>0</v>
      </c>
      <c r="AE39" s="25">
        <f t="shared" si="65"/>
        <v>0</v>
      </c>
      <c r="AF39" s="25" t="str">
        <f t="shared" si="66"/>
        <v/>
      </c>
      <c r="AG39" s="25" t="str">
        <f t="shared" si="67"/>
        <v/>
      </c>
      <c r="AH39" s="25" t="str">
        <f t="shared" si="68"/>
        <v/>
      </c>
      <c r="AI39" s="25">
        <f>IF(ISERROR(VLOOKUP(K39,割合DB!$A:$B,2,FALSE))=TRUE,100,VLOOKUP(K39,割合DB!$A:$B,2,FALSE))</f>
        <v>100</v>
      </c>
      <c r="AJ39" s="25">
        <f>IF(ISERROR(VLOOKUP(L39,割合DB!$A:$B,2,FALSE))=TRUE,100,VLOOKUP(L39,割合DB!$A:$B,2,FALSE))</f>
        <v>100</v>
      </c>
      <c r="AK39" s="25">
        <f>IF(ISERROR(VLOOKUP(M39,割合DB!$A:$B,2,FALSE))=TRUE,100,VLOOKUP(M39,割合DB!$A:$B,2,FALSE))</f>
        <v>100</v>
      </c>
      <c r="AL39" s="25">
        <f t="shared" si="69"/>
        <v>0</v>
      </c>
      <c r="AM39" s="18">
        <f t="shared" si="70"/>
        <v>0</v>
      </c>
      <c r="AN39" s="18">
        <f t="shared" si="71"/>
        <v>0</v>
      </c>
      <c r="AO39" s="18">
        <f t="shared" si="17"/>
        <v>0</v>
      </c>
      <c r="AP39" s="18">
        <f>IF($C39="人工面",0,IF($G39="",70,IF($D39="湿性環境",VLOOKUP($G39,環境タイプⅡによる点数DB!$A:$B,2,FALSE),IF($D39="樹林",VLOOKUP($G39,環境タイプⅡによる点数DB!$A:$C,3,FALSE),IF($D39="低木・草地",VLOOKUP($G39,環境タイプⅡによる点数DB!$A:$D,4,FALSE),0)))))</f>
        <v>70</v>
      </c>
      <c r="AQ39" s="24" t="str">
        <f>$H39&amp;"in"&amp;基本情報!$C$13</f>
        <v>in</v>
      </c>
      <c r="AR39" s="24">
        <f t="shared" si="18"/>
        <v>0</v>
      </c>
      <c r="AS39" s="24">
        <f>IF($H39="",0,IF($D39="樹林",IF(ISERROR(VLOOKUP($V39,市町村・植物種ごとの樹林点数DB!$A:$F,6,FALSE))=TRUE,10,VLOOKUP($V39,市町村・植物種ごとの樹林点数DB!$A:$F,6,FALSE)),IF($D39="低木・草地",IF(OR($H39="【ススキ】・【ネザサ】・【チガヤ】",$H39="不明"),45,10),0)))</f>
        <v>0</v>
      </c>
      <c r="AT39" s="24">
        <f t="shared" si="19"/>
        <v>0</v>
      </c>
      <c r="AU39" s="24">
        <f t="shared" si="20"/>
        <v>1</v>
      </c>
      <c r="AV39" s="24">
        <f t="shared" si="21"/>
        <v>0</v>
      </c>
      <c r="AW39" s="24">
        <f t="shared" si="22"/>
        <v>1</v>
      </c>
      <c r="AX39" s="25">
        <f t="shared" si="72"/>
        <v>0</v>
      </c>
      <c r="AY39" s="25">
        <f t="shared" si="73"/>
        <v>0</v>
      </c>
      <c r="AZ39" s="25">
        <f t="shared" si="74"/>
        <v>0</v>
      </c>
      <c r="BA39" s="25" t="str">
        <f t="shared" si="75"/>
        <v/>
      </c>
      <c r="BB39" s="25" t="str">
        <f t="shared" si="76"/>
        <v/>
      </c>
      <c r="BC39" s="25" t="str">
        <f t="shared" si="77"/>
        <v/>
      </c>
      <c r="BD39" s="25">
        <f>IF(ISERROR(VLOOKUP($K39,割合DB!$A:$B,2,FALSE))=TRUE,0,VLOOKUP($K39,割合DB!$A:$B,2,FALSE))</f>
        <v>0</v>
      </c>
      <c r="BE39" s="25">
        <f>IF(ISERROR(VLOOKUP($L39,割合DB!$A:$B,2,FALSE))=TRUE,0,VLOOKUP($L39,割合DB!$A:$B,2,FALSE))</f>
        <v>0</v>
      </c>
      <c r="BF39" s="25">
        <f>IF(ISERROR(VLOOKUP($M39,割合DB!$A:$B,2,FALSE))=TRUE,0,VLOOKUP($M39,割合DB!$A:$B,2,FALSE))</f>
        <v>0</v>
      </c>
      <c r="BG39" s="25">
        <f t="shared" si="78"/>
        <v>100</v>
      </c>
      <c r="BH39" s="18">
        <f t="shared" si="79"/>
        <v>100</v>
      </c>
      <c r="BI39" s="18">
        <f t="shared" si="33"/>
        <v>1</v>
      </c>
      <c r="BJ39" s="176"/>
      <c r="BK39" s="176"/>
      <c r="BL39" s="176"/>
      <c r="BM39" s="176"/>
      <c r="BN39" s="176"/>
      <c r="BO39" s="176"/>
      <c r="BP39" s="176"/>
      <c r="BQ39" s="176"/>
      <c r="BR39" s="176"/>
      <c r="BS39" s="176"/>
      <c r="BT39" s="176"/>
      <c r="BU39" s="176"/>
      <c r="BV39" s="176"/>
      <c r="BW39" s="176"/>
      <c r="BX39" s="176"/>
      <c r="BY39" s="176"/>
      <c r="BZ39" s="176"/>
      <c r="CA39" s="176"/>
    </row>
    <row r="40" spans="1:79" ht="27" customHeight="1" x14ac:dyDescent="0.15">
      <c r="A40" s="160" t="s">
        <v>532</v>
      </c>
      <c r="B40" s="21"/>
      <c r="C40" s="19"/>
      <c r="D40" s="40" t="str">
        <f t="shared" si="31"/>
        <v/>
      </c>
      <c r="E40" s="19"/>
      <c r="F40" s="26"/>
      <c r="G40" s="21"/>
      <c r="H40" s="22"/>
      <c r="I40" s="22"/>
      <c r="J40" s="22"/>
      <c r="K40" s="23"/>
      <c r="L40" s="23"/>
      <c r="M40" s="23"/>
      <c r="N40" s="146"/>
      <c r="O40" s="40">
        <f t="shared" si="57"/>
        <v>0</v>
      </c>
      <c r="P40" s="183" t="str">
        <f t="shared" si="58"/>
        <v/>
      </c>
      <c r="S40" s="18">
        <f t="shared" si="32"/>
        <v>0</v>
      </c>
      <c r="T40" s="18">
        <f t="shared" si="2"/>
        <v>0</v>
      </c>
      <c r="U40" s="18">
        <f>IF(C40="人工面",0,IF(G40="",0,IF(D40="湿性環境",VLOOKUP(G40,環境タイプⅡによる点数DB!A:B,2,FALSE),IF(D40="樹林",VLOOKUP(G40,環境タイプⅡによる点数DB!A:C,3,FALSE),IF(D40="低木・草地",VLOOKUP(G40,環境タイプⅡによる点数DB!A:D,4,FALSE),0)))))</f>
        <v>0</v>
      </c>
      <c r="V40" s="24" t="str">
        <f>$H40&amp;"in"&amp;基本情報!$C$13</f>
        <v>in</v>
      </c>
      <c r="W40" s="24">
        <f t="shared" si="3"/>
        <v>0</v>
      </c>
      <c r="X40" s="24">
        <f>IF($H40="",0,IF($D40="樹林",IF(ISERROR(VLOOKUP($V40,市町村・植物種ごとの樹林点数DB!$A:$G,7,FALSE))=TRUE,20,VLOOKUP($V40,市町村・植物種ごとの樹林点数DB!$A:$G,7,FALSE)),IF($D40="低木・草地",IF($H40="【ススキ】・【ネザサ】・【チガヤ】",45,10),0)))</f>
        <v>0</v>
      </c>
      <c r="Y40" s="24">
        <f t="shared" si="59"/>
        <v>0</v>
      </c>
      <c r="Z40" s="24">
        <f t="shared" si="60"/>
        <v>1</v>
      </c>
      <c r="AA40" s="24">
        <f t="shared" si="61"/>
        <v>1</v>
      </c>
      <c r="AB40" s="24">
        <f t="shared" si="62"/>
        <v>0</v>
      </c>
      <c r="AC40" s="25">
        <f t="shared" si="63"/>
        <v>0</v>
      </c>
      <c r="AD40" s="25">
        <f t="shared" si="64"/>
        <v>0</v>
      </c>
      <c r="AE40" s="25">
        <f t="shared" si="65"/>
        <v>0</v>
      </c>
      <c r="AF40" s="25" t="str">
        <f t="shared" si="66"/>
        <v/>
      </c>
      <c r="AG40" s="25" t="str">
        <f t="shared" si="67"/>
        <v/>
      </c>
      <c r="AH40" s="25" t="str">
        <f t="shared" si="68"/>
        <v/>
      </c>
      <c r="AI40" s="25">
        <f>IF(ISERROR(VLOOKUP(K40,割合DB!$A:$B,2,FALSE))=TRUE,100,VLOOKUP(K40,割合DB!$A:$B,2,FALSE))</f>
        <v>100</v>
      </c>
      <c r="AJ40" s="25">
        <f>IF(ISERROR(VLOOKUP(L40,割合DB!$A:$B,2,FALSE))=TRUE,100,VLOOKUP(L40,割合DB!$A:$B,2,FALSE))</f>
        <v>100</v>
      </c>
      <c r="AK40" s="25">
        <f>IF(ISERROR(VLOOKUP(M40,割合DB!$A:$B,2,FALSE))=TRUE,100,VLOOKUP(M40,割合DB!$A:$B,2,FALSE))</f>
        <v>100</v>
      </c>
      <c r="AL40" s="25">
        <f t="shared" si="69"/>
        <v>0</v>
      </c>
      <c r="AM40" s="18">
        <f t="shared" si="70"/>
        <v>0</v>
      </c>
      <c r="AN40" s="18">
        <f t="shared" si="71"/>
        <v>0</v>
      </c>
      <c r="AO40" s="18">
        <f t="shared" si="17"/>
        <v>0</v>
      </c>
      <c r="AP40" s="18">
        <f>IF($C40="人工面",0,IF($G40="",70,IF($D40="湿性環境",VLOOKUP($G40,環境タイプⅡによる点数DB!$A:$B,2,FALSE),IF($D40="樹林",VLOOKUP($G40,環境タイプⅡによる点数DB!$A:$C,3,FALSE),IF($D40="低木・草地",VLOOKUP($G40,環境タイプⅡによる点数DB!$A:$D,4,FALSE),0)))))</f>
        <v>70</v>
      </c>
      <c r="AQ40" s="24" t="str">
        <f>$H40&amp;"in"&amp;基本情報!$C$13</f>
        <v>in</v>
      </c>
      <c r="AR40" s="24">
        <f t="shared" si="18"/>
        <v>0</v>
      </c>
      <c r="AS40" s="24">
        <f>IF($H40="",0,IF($D40="樹林",IF(ISERROR(VLOOKUP($V40,市町村・植物種ごとの樹林点数DB!$A:$F,6,FALSE))=TRUE,10,VLOOKUP($V40,市町村・植物種ごとの樹林点数DB!$A:$F,6,FALSE)),IF($D40="低木・草地",IF(OR($H40="【ススキ】・【ネザサ】・【チガヤ】",$H40="不明"),45,10),0)))</f>
        <v>0</v>
      </c>
      <c r="AT40" s="24">
        <f t="shared" si="19"/>
        <v>0</v>
      </c>
      <c r="AU40" s="24">
        <f t="shared" si="20"/>
        <v>1</v>
      </c>
      <c r="AV40" s="24">
        <f t="shared" si="21"/>
        <v>0</v>
      </c>
      <c r="AW40" s="24">
        <f t="shared" si="22"/>
        <v>1</v>
      </c>
      <c r="AX40" s="25">
        <f t="shared" si="72"/>
        <v>0</v>
      </c>
      <c r="AY40" s="25">
        <f t="shared" si="73"/>
        <v>0</v>
      </c>
      <c r="AZ40" s="25">
        <f t="shared" si="74"/>
        <v>0</v>
      </c>
      <c r="BA40" s="25" t="str">
        <f t="shared" si="75"/>
        <v/>
      </c>
      <c r="BB40" s="25" t="str">
        <f t="shared" si="76"/>
        <v/>
      </c>
      <c r="BC40" s="25" t="str">
        <f t="shared" si="77"/>
        <v/>
      </c>
      <c r="BD40" s="25">
        <f>IF(ISERROR(VLOOKUP($K40,割合DB!$A:$B,2,FALSE))=TRUE,0,VLOOKUP($K40,割合DB!$A:$B,2,FALSE))</f>
        <v>0</v>
      </c>
      <c r="BE40" s="25">
        <f>IF(ISERROR(VLOOKUP($L40,割合DB!$A:$B,2,FALSE))=TRUE,0,VLOOKUP($L40,割合DB!$A:$B,2,FALSE))</f>
        <v>0</v>
      </c>
      <c r="BF40" s="25">
        <f>IF(ISERROR(VLOOKUP($M40,割合DB!$A:$B,2,FALSE))=TRUE,0,VLOOKUP($M40,割合DB!$A:$B,2,FALSE))</f>
        <v>0</v>
      </c>
      <c r="BG40" s="25">
        <f t="shared" si="78"/>
        <v>100</v>
      </c>
      <c r="BH40" s="18">
        <f t="shared" si="79"/>
        <v>100</v>
      </c>
      <c r="BI40" s="18">
        <f t="shared" si="33"/>
        <v>1</v>
      </c>
      <c r="BJ40" s="176"/>
      <c r="BK40" s="176"/>
      <c r="BL40" s="176"/>
      <c r="BM40" s="176"/>
      <c r="BN40" s="176"/>
      <c r="BO40" s="176"/>
      <c r="BP40" s="176"/>
      <c r="BQ40" s="176"/>
      <c r="BR40" s="176"/>
      <c r="BS40" s="176"/>
      <c r="BT40" s="176"/>
      <c r="BU40" s="176"/>
      <c r="BV40" s="176"/>
      <c r="BW40" s="176"/>
      <c r="BX40" s="176"/>
      <c r="BY40" s="176"/>
      <c r="BZ40" s="176"/>
      <c r="CA40" s="176"/>
    </row>
    <row r="41" spans="1:79" ht="27" customHeight="1" x14ac:dyDescent="0.15">
      <c r="A41" s="160" t="s">
        <v>533</v>
      </c>
      <c r="B41" s="21"/>
      <c r="C41" s="19"/>
      <c r="D41" s="40" t="str">
        <f t="shared" si="31"/>
        <v/>
      </c>
      <c r="E41" s="19"/>
      <c r="F41" s="26"/>
      <c r="G41" s="21"/>
      <c r="H41" s="22"/>
      <c r="I41" s="22"/>
      <c r="J41" s="22"/>
      <c r="K41" s="23"/>
      <c r="L41" s="23"/>
      <c r="M41" s="23"/>
      <c r="N41" s="146"/>
      <c r="O41" s="40">
        <f t="shared" si="57"/>
        <v>0</v>
      </c>
      <c r="P41" s="183" t="str">
        <f t="shared" si="58"/>
        <v/>
      </c>
      <c r="S41" s="18">
        <f t="shared" si="32"/>
        <v>0</v>
      </c>
      <c r="T41" s="18">
        <f t="shared" si="2"/>
        <v>0</v>
      </c>
      <c r="U41" s="18">
        <f>IF(C41="人工面",0,IF(G41="",0,IF(D41="湿性環境",VLOOKUP(G41,環境タイプⅡによる点数DB!A:B,2,FALSE),IF(D41="樹林",VLOOKUP(G41,環境タイプⅡによる点数DB!A:C,3,FALSE),IF(D41="低木・草地",VLOOKUP(G41,環境タイプⅡによる点数DB!A:D,4,FALSE),0)))))</f>
        <v>0</v>
      </c>
      <c r="V41" s="24" t="str">
        <f>$H41&amp;"in"&amp;基本情報!$C$13</f>
        <v>in</v>
      </c>
      <c r="W41" s="24">
        <f t="shared" si="3"/>
        <v>0</v>
      </c>
      <c r="X41" s="24">
        <f>IF($H41="",0,IF($D41="樹林",IF(ISERROR(VLOOKUP($V41,市町村・植物種ごとの樹林点数DB!$A:$G,7,FALSE))=TRUE,20,VLOOKUP($V41,市町村・植物種ごとの樹林点数DB!$A:$G,7,FALSE)),IF($D41="低木・草地",IF($H41="【ススキ】・【ネザサ】・【チガヤ】",45,10),0)))</f>
        <v>0</v>
      </c>
      <c r="Y41" s="24">
        <f t="shared" si="59"/>
        <v>0</v>
      </c>
      <c r="Z41" s="24">
        <f t="shared" si="60"/>
        <v>1</v>
      </c>
      <c r="AA41" s="24">
        <f t="shared" si="61"/>
        <v>1</v>
      </c>
      <c r="AB41" s="24">
        <f t="shared" si="62"/>
        <v>0</v>
      </c>
      <c r="AC41" s="25">
        <f t="shared" si="63"/>
        <v>0</v>
      </c>
      <c r="AD41" s="25">
        <f t="shared" si="64"/>
        <v>0</v>
      </c>
      <c r="AE41" s="25">
        <f t="shared" si="65"/>
        <v>0</v>
      </c>
      <c r="AF41" s="25" t="str">
        <f t="shared" si="66"/>
        <v/>
      </c>
      <c r="AG41" s="25" t="str">
        <f t="shared" si="67"/>
        <v/>
      </c>
      <c r="AH41" s="25" t="str">
        <f t="shared" si="68"/>
        <v/>
      </c>
      <c r="AI41" s="25">
        <f>IF(ISERROR(VLOOKUP(K41,割合DB!$A:$B,2,FALSE))=TRUE,100,VLOOKUP(K41,割合DB!$A:$B,2,FALSE))</f>
        <v>100</v>
      </c>
      <c r="AJ41" s="25">
        <f>IF(ISERROR(VLOOKUP(L41,割合DB!$A:$B,2,FALSE))=TRUE,100,VLOOKUP(L41,割合DB!$A:$B,2,FALSE))</f>
        <v>100</v>
      </c>
      <c r="AK41" s="25">
        <f>IF(ISERROR(VLOOKUP(M41,割合DB!$A:$B,2,FALSE))=TRUE,100,VLOOKUP(M41,割合DB!$A:$B,2,FALSE))</f>
        <v>100</v>
      </c>
      <c r="AL41" s="25">
        <f t="shared" si="69"/>
        <v>0</v>
      </c>
      <c r="AM41" s="18">
        <f t="shared" si="70"/>
        <v>0</v>
      </c>
      <c r="AN41" s="18">
        <f t="shared" si="71"/>
        <v>0</v>
      </c>
      <c r="AO41" s="18">
        <f t="shared" si="17"/>
        <v>0</v>
      </c>
      <c r="AP41" s="18">
        <f>IF($C41="人工面",0,IF($G41="",70,IF($D41="湿性環境",VLOOKUP($G41,環境タイプⅡによる点数DB!$A:$B,2,FALSE),IF($D41="樹林",VLOOKUP($G41,環境タイプⅡによる点数DB!$A:$C,3,FALSE),IF($D41="低木・草地",VLOOKUP($G41,環境タイプⅡによる点数DB!$A:$D,4,FALSE),0)))))</f>
        <v>70</v>
      </c>
      <c r="AQ41" s="24" t="str">
        <f>$H41&amp;"in"&amp;基本情報!$C$13</f>
        <v>in</v>
      </c>
      <c r="AR41" s="24">
        <f t="shared" si="18"/>
        <v>0</v>
      </c>
      <c r="AS41" s="24">
        <f>IF($H41="",0,IF($D41="樹林",IF(ISERROR(VLOOKUP($V41,市町村・植物種ごとの樹林点数DB!$A:$F,6,FALSE))=TRUE,10,VLOOKUP($V41,市町村・植物種ごとの樹林点数DB!$A:$F,6,FALSE)),IF($D41="低木・草地",IF(OR($H41="【ススキ】・【ネザサ】・【チガヤ】",$H41="不明"),45,10),0)))</f>
        <v>0</v>
      </c>
      <c r="AT41" s="24">
        <f t="shared" si="19"/>
        <v>0</v>
      </c>
      <c r="AU41" s="24">
        <f t="shared" si="20"/>
        <v>1</v>
      </c>
      <c r="AV41" s="24">
        <f t="shared" si="21"/>
        <v>0</v>
      </c>
      <c r="AW41" s="24">
        <f t="shared" si="22"/>
        <v>1</v>
      </c>
      <c r="AX41" s="25">
        <f t="shared" si="72"/>
        <v>0</v>
      </c>
      <c r="AY41" s="25">
        <f t="shared" si="73"/>
        <v>0</v>
      </c>
      <c r="AZ41" s="25">
        <f t="shared" si="74"/>
        <v>0</v>
      </c>
      <c r="BA41" s="25" t="str">
        <f t="shared" si="75"/>
        <v/>
      </c>
      <c r="BB41" s="25" t="str">
        <f t="shared" si="76"/>
        <v/>
      </c>
      <c r="BC41" s="25" t="str">
        <f t="shared" si="77"/>
        <v/>
      </c>
      <c r="BD41" s="25">
        <f>IF(ISERROR(VLOOKUP($K41,割合DB!$A:$B,2,FALSE))=TRUE,0,VLOOKUP($K41,割合DB!$A:$B,2,FALSE))</f>
        <v>0</v>
      </c>
      <c r="BE41" s="25">
        <f>IF(ISERROR(VLOOKUP($L41,割合DB!$A:$B,2,FALSE))=TRUE,0,VLOOKUP($L41,割合DB!$A:$B,2,FALSE))</f>
        <v>0</v>
      </c>
      <c r="BF41" s="25">
        <f>IF(ISERROR(VLOOKUP($M41,割合DB!$A:$B,2,FALSE))=TRUE,0,VLOOKUP($M41,割合DB!$A:$B,2,FALSE))</f>
        <v>0</v>
      </c>
      <c r="BG41" s="25">
        <f t="shared" si="78"/>
        <v>100</v>
      </c>
      <c r="BH41" s="18">
        <f t="shared" si="79"/>
        <v>100</v>
      </c>
      <c r="BI41" s="18">
        <f t="shared" si="33"/>
        <v>1</v>
      </c>
      <c r="BJ41" s="176"/>
      <c r="BK41" s="176"/>
      <c r="BL41" s="176"/>
      <c r="BM41" s="176"/>
      <c r="BN41" s="176"/>
      <c r="BO41" s="176"/>
      <c r="BP41" s="176"/>
      <c r="BQ41" s="176"/>
      <c r="BR41" s="176"/>
      <c r="BS41" s="176"/>
      <c r="BT41" s="176"/>
      <c r="BU41" s="176"/>
      <c r="BV41" s="176"/>
      <c r="BW41" s="176"/>
      <c r="BX41" s="176"/>
      <c r="BY41" s="176"/>
      <c r="BZ41" s="176"/>
      <c r="CA41" s="176"/>
    </row>
    <row r="42" spans="1:79" ht="27" customHeight="1" x14ac:dyDescent="0.15">
      <c r="A42" s="160" t="s">
        <v>534</v>
      </c>
      <c r="B42" s="21"/>
      <c r="C42" s="19"/>
      <c r="D42" s="40" t="str">
        <f t="shared" si="31"/>
        <v/>
      </c>
      <c r="E42" s="19"/>
      <c r="F42" s="26"/>
      <c r="G42" s="21"/>
      <c r="H42" s="22"/>
      <c r="I42" s="22"/>
      <c r="J42" s="22"/>
      <c r="K42" s="23"/>
      <c r="L42" s="23"/>
      <c r="M42" s="23"/>
      <c r="N42" s="146"/>
      <c r="O42" s="40">
        <f t="shared" si="57"/>
        <v>0</v>
      </c>
      <c r="P42" s="183" t="str">
        <f t="shared" si="58"/>
        <v/>
      </c>
      <c r="S42" s="18">
        <f t="shared" si="32"/>
        <v>0</v>
      </c>
      <c r="T42" s="18">
        <f t="shared" si="2"/>
        <v>0</v>
      </c>
      <c r="U42" s="18">
        <f>IF(C42="人工面",0,IF(G42="",0,IF(D42="湿性環境",VLOOKUP(G42,環境タイプⅡによる点数DB!A:B,2,FALSE),IF(D42="樹林",VLOOKUP(G42,環境タイプⅡによる点数DB!A:C,3,FALSE),IF(D42="低木・草地",VLOOKUP(G42,環境タイプⅡによる点数DB!A:D,4,FALSE),0)))))</f>
        <v>0</v>
      </c>
      <c r="V42" s="24" t="str">
        <f>$H42&amp;"in"&amp;基本情報!$C$13</f>
        <v>in</v>
      </c>
      <c r="W42" s="24">
        <f t="shared" si="3"/>
        <v>0</v>
      </c>
      <c r="X42" s="24">
        <f>IF($H42="",0,IF($D42="樹林",IF(ISERROR(VLOOKUP($V42,市町村・植物種ごとの樹林点数DB!$A:$G,7,FALSE))=TRUE,20,VLOOKUP($V42,市町村・植物種ごとの樹林点数DB!$A:$G,7,FALSE)),IF($D42="低木・草地",IF($H42="【ススキ】・【ネザサ】・【チガヤ】",45,10),0)))</f>
        <v>0</v>
      </c>
      <c r="Y42" s="24">
        <f t="shared" si="59"/>
        <v>0</v>
      </c>
      <c r="Z42" s="24">
        <f t="shared" si="60"/>
        <v>1</v>
      </c>
      <c r="AA42" s="24">
        <f t="shared" si="61"/>
        <v>1</v>
      </c>
      <c r="AB42" s="24">
        <f t="shared" si="62"/>
        <v>0</v>
      </c>
      <c r="AC42" s="25">
        <f t="shared" si="63"/>
        <v>0</v>
      </c>
      <c r="AD42" s="25">
        <f t="shared" si="64"/>
        <v>0</v>
      </c>
      <c r="AE42" s="25">
        <f t="shared" si="65"/>
        <v>0</v>
      </c>
      <c r="AF42" s="25" t="str">
        <f t="shared" si="66"/>
        <v/>
      </c>
      <c r="AG42" s="25" t="str">
        <f t="shared" si="67"/>
        <v/>
      </c>
      <c r="AH42" s="25" t="str">
        <f t="shared" si="68"/>
        <v/>
      </c>
      <c r="AI42" s="25">
        <f>IF(ISERROR(VLOOKUP(K42,割合DB!$A:$B,2,FALSE))=TRUE,100,VLOOKUP(K42,割合DB!$A:$B,2,FALSE))</f>
        <v>100</v>
      </c>
      <c r="AJ42" s="25">
        <f>IF(ISERROR(VLOOKUP(L42,割合DB!$A:$B,2,FALSE))=TRUE,100,VLOOKUP(L42,割合DB!$A:$B,2,FALSE))</f>
        <v>100</v>
      </c>
      <c r="AK42" s="25">
        <f>IF(ISERROR(VLOOKUP(M42,割合DB!$A:$B,2,FALSE))=TRUE,100,VLOOKUP(M42,割合DB!$A:$B,2,FALSE))</f>
        <v>100</v>
      </c>
      <c r="AL42" s="25">
        <f t="shared" si="69"/>
        <v>0</v>
      </c>
      <c r="AM42" s="18">
        <f t="shared" si="70"/>
        <v>0</v>
      </c>
      <c r="AN42" s="18">
        <f t="shared" si="71"/>
        <v>0</v>
      </c>
      <c r="AO42" s="18">
        <f t="shared" si="17"/>
        <v>0</v>
      </c>
      <c r="AP42" s="18">
        <f>IF($C42="人工面",0,IF($G42="",70,IF($D42="湿性環境",VLOOKUP($G42,環境タイプⅡによる点数DB!$A:$B,2,FALSE),IF($D42="樹林",VLOOKUP($G42,環境タイプⅡによる点数DB!$A:$C,3,FALSE),IF($D42="低木・草地",VLOOKUP($G42,環境タイプⅡによる点数DB!$A:$D,4,FALSE),0)))))</f>
        <v>70</v>
      </c>
      <c r="AQ42" s="24" t="str">
        <f>$H42&amp;"in"&amp;基本情報!$C$13</f>
        <v>in</v>
      </c>
      <c r="AR42" s="24">
        <f t="shared" si="18"/>
        <v>0</v>
      </c>
      <c r="AS42" s="24">
        <f>IF($H42="",0,IF($D42="樹林",IF(ISERROR(VLOOKUP($V42,市町村・植物種ごとの樹林点数DB!$A:$F,6,FALSE))=TRUE,10,VLOOKUP($V42,市町村・植物種ごとの樹林点数DB!$A:$F,6,FALSE)),IF($D42="低木・草地",IF(OR($H42="【ススキ】・【ネザサ】・【チガヤ】",$H42="不明"),45,10),0)))</f>
        <v>0</v>
      </c>
      <c r="AT42" s="24">
        <f t="shared" si="19"/>
        <v>0</v>
      </c>
      <c r="AU42" s="24">
        <f t="shared" si="20"/>
        <v>1</v>
      </c>
      <c r="AV42" s="24">
        <f t="shared" si="21"/>
        <v>0</v>
      </c>
      <c r="AW42" s="24">
        <f t="shared" si="22"/>
        <v>1</v>
      </c>
      <c r="AX42" s="25">
        <f t="shared" si="72"/>
        <v>0</v>
      </c>
      <c r="AY42" s="25">
        <f t="shared" si="73"/>
        <v>0</v>
      </c>
      <c r="AZ42" s="25">
        <f t="shared" si="74"/>
        <v>0</v>
      </c>
      <c r="BA42" s="25" t="str">
        <f t="shared" si="75"/>
        <v/>
      </c>
      <c r="BB42" s="25" t="str">
        <f t="shared" si="76"/>
        <v/>
      </c>
      <c r="BC42" s="25" t="str">
        <f t="shared" si="77"/>
        <v/>
      </c>
      <c r="BD42" s="25">
        <f>IF(ISERROR(VLOOKUP($K42,割合DB!$A:$B,2,FALSE))=TRUE,0,VLOOKUP($K42,割合DB!$A:$B,2,FALSE))</f>
        <v>0</v>
      </c>
      <c r="BE42" s="25">
        <f>IF(ISERROR(VLOOKUP($L42,割合DB!$A:$B,2,FALSE))=TRUE,0,VLOOKUP($L42,割合DB!$A:$B,2,FALSE))</f>
        <v>0</v>
      </c>
      <c r="BF42" s="25">
        <f>IF(ISERROR(VLOOKUP($M42,割合DB!$A:$B,2,FALSE))=TRUE,0,VLOOKUP($M42,割合DB!$A:$B,2,FALSE))</f>
        <v>0</v>
      </c>
      <c r="BG42" s="25">
        <f t="shared" si="78"/>
        <v>100</v>
      </c>
      <c r="BH42" s="18">
        <f t="shared" si="79"/>
        <v>100</v>
      </c>
      <c r="BI42" s="18">
        <f t="shared" si="33"/>
        <v>1</v>
      </c>
      <c r="BJ42" s="176"/>
      <c r="BK42" s="176"/>
      <c r="BL42" s="176"/>
      <c r="BM42" s="176"/>
      <c r="BN42" s="176"/>
      <c r="BO42" s="176"/>
      <c r="BP42" s="176"/>
      <c r="BQ42" s="176"/>
      <c r="BR42" s="176"/>
      <c r="BS42" s="176"/>
      <c r="BT42" s="176"/>
      <c r="BU42" s="176"/>
      <c r="BV42" s="176"/>
      <c r="BW42" s="176"/>
      <c r="BX42" s="176"/>
      <c r="BY42" s="176"/>
      <c r="BZ42" s="176"/>
      <c r="CA42" s="176"/>
    </row>
    <row r="43" spans="1:79" ht="27" customHeight="1" x14ac:dyDescent="0.15">
      <c r="A43" s="160" t="s">
        <v>535</v>
      </c>
      <c r="B43" s="21"/>
      <c r="C43" s="19"/>
      <c r="D43" s="40" t="str">
        <f t="shared" si="31"/>
        <v/>
      </c>
      <c r="E43" s="19"/>
      <c r="F43" s="26"/>
      <c r="G43" s="21"/>
      <c r="H43" s="22"/>
      <c r="I43" s="22"/>
      <c r="J43" s="22"/>
      <c r="K43" s="23"/>
      <c r="L43" s="23"/>
      <c r="M43" s="23"/>
      <c r="N43" s="146"/>
      <c r="O43" s="40">
        <f t="shared" si="57"/>
        <v>0</v>
      </c>
      <c r="P43" s="183" t="str">
        <f t="shared" si="58"/>
        <v/>
      </c>
      <c r="S43" s="18">
        <f t="shared" si="32"/>
        <v>0</v>
      </c>
      <c r="T43" s="18">
        <f t="shared" si="2"/>
        <v>0</v>
      </c>
      <c r="U43" s="18">
        <f>IF(C43="人工面",0,IF(G43="",0,IF(D43="湿性環境",VLOOKUP(G43,環境タイプⅡによる点数DB!A:B,2,FALSE),IF(D43="樹林",VLOOKUP(G43,環境タイプⅡによる点数DB!A:C,3,FALSE),IF(D43="低木・草地",VLOOKUP(G43,環境タイプⅡによる点数DB!A:D,4,FALSE),0)))))</f>
        <v>0</v>
      </c>
      <c r="V43" s="24" t="str">
        <f>$H43&amp;"in"&amp;基本情報!$C$13</f>
        <v>in</v>
      </c>
      <c r="W43" s="24">
        <f t="shared" si="3"/>
        <v>0</v>
      </c>
      <c r="X43" s="24">
        <f>IF($H43="",0,IF($D43="樹林",IF(ISERROR(VLOOKUP($V43,市町村・植物種ごとの樹林点数DB!$A:$G,7,FALSE))=TRUE,20,VLOOKUP($V43,市町村・植物種ごとの樹林点数DB!$A:$G,7,FALSE)),IF($D43="低木・草地",IF($H43="【ススキ】・【ネザサ】・【チガヤ】",45,10),0)))</f>
        <v>0</v>
      </c>
      <c r="Y43" s="24">
        <f t="shared" si="59"/>
        <v>0</v>
      </c>
      <c r="Z43" s="24">
        <f t="shared" si="60"/>
        <v>1</v>
      </c>
      <c r="AA43" s="24">
        <f t="shared" si="61"/>
        <v>1</v>
      </c>
      <c r="AB43" s="24">
        <f t="shared" si="62"/>
        <v>0</v>
      </c>
      <c r="AC43" s="25">
        <f t="shared" si="63"/>
        <v>0</v>
      </c>
      <c r="AD43" s="25">
        <f t="shared" si="64"/>
        <v>0</v>
      </c>
      <c r="AE43" s="25">
        <f t="shared" si="65"/>
        <v>0</v>
      </c>
      <c r="AF43" s="25" t="str">
        <f t="shared" si="66"/>
        <v/>
      </c>
      <c r="AG43" s="25" t="str">
        <f t="shared" si="67"/>
        <v/>
      </c>
      <c r="AH43" s="25" t="str">
        <f t="shared" si="68"/>
        <v/>
      </c>
      <c r="AI43" s="25">
        <f>IF(ISERROR(VLOOKUP(K43,割合DB!$A:$B,2,FALSE))=TRUE,100,VLOOKUP(K43,割合DB!$A:$B,2,FALSE))</f>
        <v>100</v>
      </c>
      <c r="AJ43" s="25">
        <f>IF(ISERROR(VLOOKUP(L43,割合DB!$A:$B,2,FALSE))=TRUE,100,VLOOKUP(L43,割合DB!$A:$B,2,FALSE))</f>
        <v>100</v>
      </c>
      <c r="AK43" s="25">
        <f>IF(ISERROR(VLOOKUP(M43,割合DB!$A:$B,2,FALSE))=TRUE,100,VLOOKUP(M43,割合DB!$A:$B,2,FALSE))</f>
        <v>100</v>
      </c>
      <c r="AL43" s="25">
        <f t="shared" si="69"/>
        <v>0</v>
      </c>
      <c r="AM43" s="18">
        <f t="shared" si="70"/>
        <v>0</v>
      </c>
      <c r="AN43" s="18">
        <f t="shared" si="71"/>
        <v>0</v>
      </c>
      <c r="AO43" s="18">
        <f t="shared" si="17"/>
        <v>0</v>
      </c>
      <c r="AP43" s="18">
        <f>IF($C43="人工面",0,IF($G43="",70,IF($D43="湿性環境",VLOOKUP($G43,環境タイプⅡによる点数DB!$A:$B,2,FALSE),IF($D43="樹林",VLOOKUP($G43,環境タイプⅡによる点数DB!$A:$C,3,FALSE),IF($D43="低木・草地",VLOOKUP($G43,環境タイプⅡによる点数DB!$A:$D,4,FALSE),0)))))</f>
        <v>70</v>
      </c>
      <c r="AQ43" s="24" t="str">
        <f>$H43&amp;"in"&amp;基本情報!$C$13</f>
        <v>in</v>
      </c>
      <c r="AR43" s="24">
        <f t="shared" si="18"/>
        <v>0</v>
      </c>
      <c r="AS43" s="24">
        <f>IF($H43="",0,IF($D43="樹林",IF(ISERROR(VLOOKUP($V43,市町村・植物種ごとの樹林点数DB!$A:$F,6,FALSE))=TRUE,10,VLOOKUP($V43,市町村・植物種ごとの樹林点数DB!$A:$F,6,FALSE)),IF($D43="低木・草地",IF(OR($H43="【ススキ】・【ネザサ】・【チガヤ】",$H43="不明"),45,10),0)))</f>
        <v>0</v>
      </c>
      <c r="AT43" s="24">
        <f t="shared" si="19"/>
        <v>0</v>
      </c>
      <c r="AU43" s="24">
        <f t="shared" si="20"/>
        <v>1</v>
      </c>
      <c r="AV43" s="24">
        <f t="shared" si="21"/>
        <v>0</v>
      </c>
      <c r="AW43" s="24">
        <f t="shared" si="22"/>
        <v>1</v>
      </c>
      <c r="AX43" s="25">
        <f t="shared" si="72"/>
        <v>0</v>
      </c>
      <c r="AY43" s="25">
        <f t="shared" si="73"/>
        <v>0</v>
      </c>
      <c r="AZ43" s="25">
        <f t="shared" si="74"/>
        <v>0</v>
      </c>
      <c r="BA43" s="25" t="str">
        <f t="shared" si="75"/>
        <v/>
      </c>
      <c r="BB43" s="25" t="str">
        <f t="shared" si="76"/>
        <v/>
      </c>
      <c r="BC43" s="25" t="str">
        <f t="shared" si="77"/>
        <v/>
      </c>
      <c r="BD43" s="25">
        <f>IF(ISERROR(VLOOKUP($K43,割合DB!$A:$B,2,FALSE))=TRUE,0,VLOOKUP($K43,割合DB!$A:$B,2,FALSE))</f>
        <v>0</v>
      </c>
      <c r="BE43" s="25">
        <f>IF(ISERROR(VLOOKUP($L43,割合DB!$A:$B,2,FALSE))=TRUE,0,VLOOKUP($L43,割合DB!$A:$B,2,FALSE))</f>
        <v>0</v>
      </c>
      <c r="BF43" s="25">
        <f>IF(ISERROR(VLOOKUP($M43,割合DB!$A:$B,2,FALSE))=TRUE,0,VLOOKUP($M43,割合DB!$A:$B,2,FALSE))</f>
        <v>0</v>
      </c>
      <c r="BG43" s="25">
        <f t="shared" si="78"/>
        <v>100</v>
      </c>
      <c r="BH43" s="18">
        <f t="shared" si="79"/>
        <v>100</v>
      </c>
      <c r="BI43" s="18">
        <f t="shared" si="33"/>
        <v>1</v>
      </c>
      <c r="BJ43" s="176"/>
      <c r="BK43" s="176"/>
      <c r="BL43" s="176"/>
      <c r="BM43" s="176"/>
      <c r="BN43" s="176"/>
      <c r="BO43" s="176"/>
      <c r="BP43" s="176"/>
      <c r="BQ43" s="176"/>
      <c r="BR43" s="176"/>
      <c r="BS43" s="176"/>
      <c r="BT43" s="176"/>
      <c r="BU43" s="176"/>
      <c r="BV43" s="176"/>
      <c r="BW43" s="176"/>
      <c r="BX43" s="176"/>
      <c r="BY43" s="176"/>
      <c r="BZ43" s="176"/>
      <c r="CA43" s="176"/>
    </row>
    <row r="44" spans="1:79" ht="27" customHeight="1" x14ac:dyDescent="0.15">
      <c r="A44" s="160" t="s">
        <v>536</v>
      </c>
      <c r="B44" s="21"/>
      <c r="C44" s="19"/>
      <c r="D44" s="40" t="str">
        <f t="shared" si="31"/>
        <v/>
      </c>
      <c r="E44" s="19"/>
      <c r="F44" s="26"/>
      <c r="G44" s="21"/>
      <c r="H44" s="22"/>
      <c r="I44" s="22"/>
      <c r="J44" s="22"/>
      <c r="K44" s="23"/>
      <c r="L44" s="23"/>
      <c r="M44" s="23"/>
      <c r="N44" s="146"/>
      <c r="O44" s="40">
        <f t="shared" si="57"/>
        <v>0</v>
      </c>
      <c r="P44" s="183" t="str">
        <f t="shared" si="58"/>
        <v/>
      </c>
      <c r="S44" s="18">
        <f t="shared" si="32"/>
        <v>0</v>
      </c>
      <c r="T44" s="18">
        <f t="shared" si="2"/>
        <v>0</v>
      </c>
      <c r="U44" s="18">
        <f>IF(C44="人工面",0,IF(G44="",0,IF(D44="湿性環境",VLOOKUP(G44,環境タイプⅡによる点数DB!A:B,2,FALSE),IF(D44="樹林",VLOOKUP(G44,環境タイプⅡによる点数DB!A:C,3,FALSE),IF(D44="低木・草地",VLOOKUP(G44,環境タイプⅡによる点数DB!A:D,4,FALSE),0)))))</f>
        <v>0</v>
      </c>
      <c r="V44" s="24" t="str">
        <f>$H44&amp;"in"&amp;基本情報!$C$13</f>
        <v>in</v>
      </c>
      <c r="W44" s="24">
        <f t="shared" si="3"/>
        <v>0</v>
      </c>
      <c r="X44" s="24">
        <f>IF($H44="",0,IF($D44="樹林",IF(ISERROR(VLOOKUP($V44,市町村・植物種ごとの樹林点数DB!$A:$G,7,FALSE))=TRUE,20,VLOOKUP($V44,市町村・植物種ごとの樹林点数DB!$A:$G,7,FALSE)),IF($D44="低木・草地",IF($H44="【ススキ】・【ネザサ】・【チガヤ】",45,10),0)))</f>
        <v>0</v>
      </c>
      <c r="Y44" s="24">
        <f t="shared" si="59"/>
        <v>0</v>
      </c>
      <c r="Z44" s="24">
        <f t="shared" si="60"/>
        <v>1</v>
      </c>
      <c r="AA44" s="24">
        <f t="shared" si="61"/>
        <v>1</v>
      </c>
      <c r="AB44" s="24">
        <f t="shared" si="62"/>
        <v>0</v>
      </c>
      <c r="AC44" s="25">
        <f t="shared" si="63"/>
        <v>0</v>
      </c>
      <c r="AD44" s="25">
        <f t="shared" si="64"/>
        <v>0</v>
      </c>
      <c r="AE44" s="25">
        <f t="shared" si="65"/>
        <v>0</v>
      </c>
      <c r="AF44" s="25" t="str">
        <f t="shared" si="66"/>
        <v/>
      </c>
      <c r="AG44" s="25" t="str">
        <f t="shared" si="67"/>
        <v/>
      </c>
      <c r="AH44" s="25" t="str">
        <f t="shared" si="68"/>
        <v/>
      </c>
      <c r="AI44" s="25">
        <f>IF(ISERROR(VLOOKUP(K44,割合DB!$A:$B,2,FALSE))=TRUE,100,VLOOKUP(K44,割合DB!$A:$B,2,FALSE))</f>
        <v>100</v>
      </c>
      <c r="AJ44" s="25">
        <f>IF(ISERROR(VLOOKUP(L44,割合DB!$A:$B,2,FALSE))=TRUE,100,VLOOKUP(L44,割合DB!$A:$B,2,FALSE))</f>
        <v>100</v>
      </c>
      <c r="AK44" s="25">
        <f>IF(ISERROR(VLOOKUP(M44,割合DB!$A:$B,2,FALSE))=TRUE,100,VLOOKUP(M44,割合DB!$A:$B,2,FALSE))</f>
        <v>100</v>
      </c>
      <c r="AL44" s="25">
        <f t="shared" si="69"/>
        <v>0</v>
      </c>
      <c r="AM44" s="18">
        <f t="shared" si="70"/>
        <v>0</v>
      </c>
      <c r="AN44" s="18">
        <f t="shared" si="71"/>
        <v>0</v>
      </c>
      <c r="AO44" s="18">
        <f t="shared" si="17"/>
        <v>0</v>
      </c>
      <c r="AP44" s="18">
        <f>IF($C44="人工面",0,IF($G44="",70,IF($D44="湿性環境",VLOOKUP($G44,環境タイプⅡによる点数DB!$A:$B,2,FALSE),IF($D44="樹林",VLOOKUP($G44,環境タイプⅡによる点数DB!$A:$C,3,FALSE),IF($D44="低木・草地",VLOOKUP($G44,環境タイプⅡによる点数DB!$A:$D,4,FALSE),0)))))</f>
        <v>70</v>
      </c>
      <c r="AQ44" s="24" t="str">
        <f>$H44&amp;"in"&amp;基本情報!$C$13</f>
        <v>in</v>
      </c>
      <c r="AR44" s="24">
        <f t="shared" si="18"/>
        <v>0</v>
      </c>
      <c r="AS44" s="24">
        <f>IF($H44="",0,IF($D44="樹林",IF(ISERROR(VLOOKUP($V44,市町村・植物種ごとの樹林点数DB!$A:$F,6,FALSE))=TRUE,10,VLOOKUP($V44,市町村・植物種ごとの樹林点数DB!$A:$F,6,FALSE)),IF($D44="低木・草地",IF(OR($H44="【ススキ】・【ネザサ】・【チガヤ】",$H44="不明"),45,10),0)))</f>
        <v>0</v>
      </c>
      <c r="AT44" s="24">
        <f t="shared" si="19"/>
        <v>0</v>
      </c>
      <c r="AU44" s="24">
        <f t="shared" si="20"/>
        <v>1</v>
      </c>
      <c r="AV44" s="24">
        <f t="shared" si="21"/>
        <v>0</v>
      </c>
      <c r="AW44" s="24">
        <f t="shared" si="22"/>
        <v>1</v>
      </c>
      <c r="AX44" s="25">
        <f t="shared" si="72"/>
        <v>0</v>
      </c>
      <c r="AY44" s="25">
        <f t="shared" si="73"/>
        <v>0</v>
      </c>
      <c r="AZ44" s="25">
        <f t="shared" si="74"/>
        <v>0</v>
      </c>
      <c r="BA44" s="25" t="str">
        <f t="shared" si="75"/>
        <v/>
      </c>
      <c r="BB44" s="25" t="str">
        <f t="shared" si="76"/>
        <v/>
      </c>
      <c r="BC44" s="25" t="str">
        <f t="shared" si="77"/>
        <v/>
      </c>
      <c r="BD44" s="25">
        <f>IF(ISERROR(VLOOKUP($K44,割合DB!$A:$B,2,FALSE))=TRUE,0,VLOOKUP($K44,割合DB!$A:$B,2,FALSE))</f>
        <v>0</v>
      </c>
      <c r="BE44" s="25">
        <f>IF(ISERROR(VLOOKUP($L44,割合DB!$A:$B,2,FALSE))=TRUE,0,VLOOKUP($L44,割合DB!$A:$B,2,FALSE))</f>
        <v>0</v>
      </c>
      <c r="BF44" s="25">
        <f>IF(ISERROR(VLOOKUP($M44,割合DB!$A:$B,2,FALSE))=TRUE,0,VLOOKUP($M44,割合DB!$A:$B,2,FALSE))</f>
        <v>0</v>
      </c>
      <c r="BG44" s="25">
        <f t="shared" si="78"/>
        <v>100</v>
      </c>
      <c r="BH44" s="18">
        <f t="shared" si="79"/>
        <v>100</v>
      </c>
      <c r="BI44" s="18">
        <f t="shared" si="33"/>
        <v>1</v>
      </c>
      <c r="BJ44" s="176"/>
      <c r="BK44" s="176"/>
      <c r="BL44" s="176"/>
      <c r="BM44" s="176"/>
      <c r="BN44" s="176"/>
      <c r="BO44" s="176"/>
      <c r="BP44" s="176"/>
      <c r="BQ44" s="176"/>
      <c r="BR44" s="176"/>
      <c r="BS44" s="176"/>
      <c r="BT44" s="176"/>
      <c r="BU44" s="176"/>
      <c r="BV44" s="176"/>
      <c r="BW44" s="176"/>
      <c r="BX44" s="176"/>
      <c r="BY44" s="176"/>
      <c r="BZ44" s="176"/>
      <c r="CA44" s="176"/>
    </row>
    <row r="45" spans="1:79" ht="27" customHeight="1" x14ac:dyDescent="0.15">
      <c r="A45" s="160" t="s">
        <v>537</v>
      </c>
      <c r="B45" s="21"/>
      <c r="C45" s="19"/>
      <c r="D45" s="40" t="str">
        <f t="shared" si="31"/>
        <v/>
      </c>
      <c r="E45" s="19"/>
      <c r="F45" s="26"/>
      <c r="G45" s="21"/>
      <c r="H45" s="22"/>
      <c r="I45" s="22"/>
      <c r="J45" s="22"/>
      <c r="K45" s="23"/>
      <c r="L45" s="23"/>
      <c r="M45" s="23"/>
      <c r="N45" s="146"/>
      <c r="O45" s="40">
        <f t="shared" si="57"/>
        <v>0</v>
      </c>
      <c r="P45" s="183" t="str">
        <f t="shared" si="58"/>
        <v/>
      </c>
      <c r="S45" s="18">
        <f t="shared" si="32"/>
        <v>0</v>
      </c>
      <c r="T45" s="18">
        <f t="shared" si="2"/>
        <v>0</v>
      </c>
      <c r="U45" s="18">
        <f>IF(C45="人工面",0,IF(G45="",0,IF(D45="湿性環境",VLOOKUP(G45,環境タイプⅡによる点数DB!A:B,2,FALSE),IF(D45="樹林",VLOOKUP(G45,環境タイプⅡによる点数DB!A:C,3,FALSE),IF(D45="低木・草地",VLOOKUP(G45,環境タイプⅡによる点数DB!A:D,4,FALSE),0)))))</f>
        <v>0</v>
      </c>
      <c r="V45" s="24" t="str">
        <f>$H45&amp;"in"&amp;基本情報!$C$13</f>
        <v>in</v>
      </c>
      <c r="W45" s="24">
        <f t="shared" si="3"/>
        <v>0</v>
      </c>
      <c r="X45" s="24">
        <f>IF($H45="",0,IF($D45="樹林",IF(ISERROR(VLOOKUP($V45,市町村・植物種ごとの樹林点数DB!$A:$G,7,FALSE))=TRUE,20,VLOOKUP($V45,市町村・植物種ごとの樹林点数DB!$A:$G,7,FALSE)),IF($D45="低木・草地",IF($H45="【ススキ】・【ネザサ】・【チガヤ】",45,10),0)))</f>
        <v>0</v>
      </c>
      <c r="Y45" s="24">
        <f t="shared" si="59"/>
        <v>0</v>
      </c>
      <c r="Z45" s="24">
        <f t="shared" si="60"/>
        <v>1</v>
      </c>
      <c r="AA45" s="24">
        <f t="shared" si="61"/>
        <v>1</v>
      </c>
      <c r="AB45" s="24">
        <f t="shared" si="62"/>
        <v>0</v>
      </c>
      <c r="AC45" s="25">
        <f t="shared" si="63"/>
        <v>0</v>
      </c>
      <c r="AD45" s="25">
        <f t="shared" si="64"/>
        <v>0</v>
      </c>
      <c r="AE45" s="25">
        <f t="shared" si="65"/>
        <v>0</v>
      </c>
      <c r="AF45" s="25" t="str">
        <f t="shared" si="66"/>
        <v/>
      </c>
      <c r="AG45" s="25" t="str">
        <f t="shared" si="67"/>
        <v/>
      </c>
      <c r="AH45" s="25" t="str">
        <f t="shared" si="68"/>
        <v/>
      </c>
      <c r="AI45" s="25">
        <f>IF(ISERROR(VLOOKUP(K45,割合DB!$A:$B,2,FALSE))=TRUE,100,VLOOKUP(K45,割合DB!$A:$B,2,FALSE))</f>
        <v>100</v>
      </c>
      <c r="AJ45" s="25">
        <f>IF(ISERROR(VLOOKUP(L45,割合DB!$A:$B,2,FALSE))=TRUE,100,VLOOKUP(L45,割合DB!$A:$B,2,FALSE))</f>
        <v>100</v>
      </c>
      <c r="AK45" s="25">
        <f>IF(ISERROR(VLOOKUP(M45,割合DB!$A:$B,2,FALSE))=TRUE,100,VLOOKUP(M45,割合DB!$A:$B,2,FALSE))</f>
        <v>100</v>
      </c>
      <c r="AL45" s="25">
        <f t="shared" si="69"/>
        <v>0</v>
      </c>
      <c r="AM45" s="18">
        <f t="shared" si="70"/>
        <v>0</v>
      </c>
      <c r="AN45" s="18">
        <f t="shared" si="71"/>
        <v>0</v>
      </c>
      <c r="AO45" s="18">
        <f t="shared" si="17"/>
        <v>0</v>
      </c>
      <c r="AP45" s="18">
        <f>IF($C45="人工面",0,IF($G45="",70,IF($D45="湿性環境",VLOOKUP($G45,環境タイプⅡによる点数DB!$A:$B,2,FALSE),IF($D45="樹林",VLOOKUP($G45,環境タイプⅡによる点数DB!$A:$C,3,FALSE),IF($D45="低木・草地",VLOOKUP($G45,環境タイプⅡによる点数DB!$A:$D,4,FALSE),0)))))</f>
        <v>70</v>
      </c>
      <c r="AQ45" s="24" t="str">
        <f>$H45&amp;"in"&amp;基本情報!$C$13</f>
        <v>in</v>
      </c>
      <c r="AR45" s="24">
        <f t="shared" si="18"/>
        <v>0</v>
      </c>
      <c r="AS45" s="24">
        <f>IF($H45="",0,IF($D45="樹林",IF(ISERROR(VLOOKUP($V45,市町村・植物種ごとの樹林点数DB!$A:$F,6,FALSE))=TRUE,10,VLOOKUP($V45,市町村・植物種ごとの樹林点数DB!$A:$F,6,FALSE)),IF($D45="低木・草地",IF(OR($H45="【ススキ】・【ネザサ】・【チガヤ】",$H45="不明"),45,10),0)))</f>
        <v>0</v>
      </c>
      <c r="AT45" s="24">
        <f t="shared" si="19"/>
        <v>0</v>
      </c>
      <c r="AU45" s="24">
        <f t="shared" si="20"/>
        <v>1</v>
      </c>
      <c r="AV45" s="24">
        <f t="shared" si="21"/>
        <v>0</v>
      </c>
      <c r="AW45" s="24">
        <f t="shared" si="22"/>
        <v>1</v>
      </c>
      <c r="AX45" s="25">
        <f t="shared" si="72"/>
        <v>0</v>
      </c>
      <c r="AY45" s="25">
        <f t="shared" si="73"/>
        <v>0</v>
      </c>
      <c r="AZ45" s="25">
        <f t="shared" si="74"/>
        <v>0</v>
      </c>
      <c r="BA45" s="25" t="str">
        <f t="shared" si="75"/>
        <v/>
      </c>
      <c r="BB45" s="25" t="str">
        <f t="shared" si="76"/>
        <v/>
      </c>
      <c r="BC45" s="25" t="str">
        <f t="shared" si="77"/>
        <v/>
      </c>
      <c r="BD45" s="25">
        <f>IF(ISERROR(VLOOKUP($K45,割合DB!$A:$B,2,FALSE))=TRUE,0,VLOOKUP($K45,割合DB!$A:$B,2,FALSE))</f>
        <v>0</v>
      </c>
      <c r="BE45" s="25">
        <f>IF(ISERROR(VLOOKUP($L45,割合DB!$A:$B,2,FALSE))=TRUE,0,VLOOKUP($L45,割合DB!$A:$B,2,FALSE))</f>
        <v>0</v>
      </c>
      <c r="BF45" s="25">
        <f>IF(ISERROR(VLOOKUP($M45,割合DB!$A:$B,2,FALSE))=TRUE,0,VLOOKUP($M45,割合DB!$A:$B,2,FALSE))</f>
        <v>0</v>
      </c>
      <c r="BG45" s="25">
        <f t="shared" si="78"/>
        <v>100</v>
      </c>
      <c r="BH45" s="18">
        <f t="shared" si="79"/>
        <v>100</v>
      </c>
      <c r="BI45" s="18">
        <f t="shared" si="33"/>
        <v>1</v>
      </c>
      <c r="BJ45" s="176"/>
      <c r="BK45" s="176"/>
      <c r="BL45" s="176"/>
      <c r="BM45" s="176"/>
      <c r="BN45" s="176"/>
      <c r="BO45" s="176"/>
      <c r="BP45" s="176"/>
      <c r="BQ45" s="176"/>
      <c r="BR45" s="176"/>
      <c r="BS45" s="176"/>
      <c r="BT45" s="176"/>
      <c r="BU45" s="176"/>
      <c r="BV45" s="176"/>
      <c r="BW45" s="176"/>
      <c r="BX45" s="176"/>
      <c r="BY45" s="176"/>
      <c r="BZ45" s="176"/>
      <c r="CA45" s="176"/>
    </row>
    <row r="46" spans="1:79" ht="27" customHeight="1" x14ac:dyDescent="0.15">
      <c r="A46" s="160" t="s">
        <v>538</v>
      </c>
      <c r="B46" s="21"/>
      <c r="C46" s="19"/>
      <c r="D46" s="40" t="str">
        <f t="shared" si="31"/>
        <v/>
      </c>
      <c r="E46" s="19"/>
      <c r="F46" s="26"/>
      <c r="G46" s="21"/>
      <c r="H46" s="22"/>
      <c r="I46" s="22"/>
      <c r="J46" s="22"/>
      <c r="K46" s="23"/>
      <c r="L46" s="23"/>
      <c r="M46" s="23"/>
      <c r="N46" s="146"/>
      <c r="O46" s="40">
        <f t="shared" si="57"/>
        <v>0</v>
      </c>
      <c r="P46" s="183" t="str">
        <f t="shared" si="58"/>
        <v/>
      </c>
      <c r="S46" s="18">
        <f t="shared" si="32"/>
        <v>0</v>
      </c>
      <c r="T46" s="18">
        <f t="shared" si="2"/>
        <v>0</v>
      </c>
      <c r="U46" s="18">
        <f>IF(C46="人工面",0,IF(G46="",0,IF(D46="湿性環境",VLOOKUP(G46,環境タイプⅡによる点数DB!A:B,2,FALSE),IF(D46="樹林",VLOOKUP(G46,環境タイプⅡによる点数DB!A:C,3,FALSE),IF(D46="低木・草地",VLOOKUP(G46,環境タイプⅡによる点数DB!A:D,4,FALSE),0)))))</f>
        <v>0</v>
      </c>
      <c r="V46" s="24" t="str">
        <f>$H46&amp;"in"&amp;基本情報!$C$13</f>
        <v>in</v>
      </c>
      <c r="W46" s="24">
        <f t="shared" si="3"/>
        <v>0</v>
      </c>
      <c r="X46" s="24">
        <f>IF($H46="",0,IF($D46="樹林",IF(ISERROR(VLOOKUP($V46,市町村・植物種ごとの樹林点数DB!$A:$G,7,FALSE))=TRUE,20,VLOOKUP($V46,市町村・植物種ごとの樹林点数DB!$A:$G,7,FALSE)),IF($D46="低木・草地",IF($H46="【ススキ】・【ネザサ】・【チガヤ】",45,10),0)))</f>
        <v>0</v>
      </c>
      <c r="Y46" s="24">
        <f t="shared" si="59"/>
        <v>0</v>
      </c>
      <c r="Z46" s="24">
        <f t="shared" si="60"/>
        <v>1</v>
      </c>
      <c r="AA46" s="24">
        <f t="shared" si="61"/>
        <v>1</v>
      </c>
      <c r="AB46" s="24">
        <f t="shared" si="62"/>
        <v>0</v>
      </c>
      <c r="AC46" s="25">
        <f t="shared" si="63"/>
        <v>0</v>
      </c>
      <c r="AD46" s="25">
        <f t="shared" si="64"/>
        <v>0</v>
      </c>
      <c r="AE46" s="25">
        <f t="shared" si="65"/>
        <v>0</v>
      </c>
      <c r="AF46" s="25" t="str">
        <f t="shared" si="66"/>
        <v/>
      </c>
      <c r="AG46" s="25" t="str">
        <f t="shared" si="67"/>
        <v/>
      </c>
      <c r="AH46" s="25" t="str">
        <f t="shared" si="68"/>
        <v/>
      </c>
      <c r="AI46" s="25">
        <f>IF(ISERROR(VLOOKUP(K46,割合DB!$A:$B,2,FALSE))=TRUE,100,VLOOKUP(K46,割合DB!$A:$B,2,FALSE))</f>
        <v>100</v>
      </c>
      <c r="AJ46" s="25">
        <f>IF(ISERROR(VLOOKUP(L46,割合DB!$A:$B,2,FALSE))=TRUE,100,VLOOKUP(L46,割合DB!$A:$B,2,FALSE))</f>
        <v>100</v>
      </c>
      <c r="AK46" s="25">
        <f>IF(ISERROR(VLOOKUP(M46,割合DB!$A:$B,2,FALSE))=TRUE,100,VLOOKUP(M46,割合DB!$A:$B,2,FALSE))</f>
        <v>100</v>
      </c>
      <c r="AL46" s="25">
        <f t="shared" si="69"/>
        <v>0</v>
      </c>
      <c r="AM46" s="18">
        <f t="shared" si="70"/>
        <v>0</v>
      </c>
      <c r="AN46" s="18">
        <f t="shared" si="71"/>
        <v>0</v>
      </c>
      <c r="AO46" s="18">
        <f t="shared" si="17"/>
        <v>0</v>
      </c>
      <c r="AP46" s="18">
        <f>IF($C46="人工面",0,IF($G46="",70,IF($D46="湿性環境",VLOOKUP($G46,環境タイプⅡによる点数DB!$A:$B,2,FALSE),IF($D46="樹林",VLOOKUP($G46,環境タイプⅡによる点数DB!$A:$C,3,FALSE),IF($D46="低木・草地",VLOOKUP($G46,環境タイプⅡによる点数DB!$A:$D,4,FALSE),0)))))</f>
        <v>70</v>
      </c>
      <c r="AQ46" s="24" t="str">
        <f>$H46&amp;"in"&amp;基本情報!$C$13</f>
        <v>in</v>
      </c>
      <c r="AR46" s="24">
        <f t="shared" si="18"/>
        <v>0</v>
      </c>
      <c r="AS46" s="24">
        <f>IF($H46="",0,IF($D46="樹林",IF(ISERROR(VLOOKUP($V46,市町村・植物種ごとの樹林点数DB!$A:$F,6,FALSE))=TRUE,10,VLOOKUP($V46,市町村・植物種ごとの樹林点数DB!$A:$F,6,FALSE)),IF($D46="低木・草地",IF(OR($H46="【ススキ】・【ネザサ】・【チガヤ】",$H46="不明"),45,10),0)))</f>
        <v>0</v>
      </c>
      <c r="AT46" s="24">
        <f t="shared" si="19"/>
        <v>0</v>
      </c>
      <c r="AU46" s="24">
        <f t="shared" si="20"/>
        <v>1</v>
      </c>
      <c r="AV46" s="24">
        <f t="shared" si="21"/>
        <v>0</v>
      </c>
      <c r="AW46" s="24">
        <f t="shared" si="22"/>
        <v>1</v>
      </c>
      <c r="AX46" s="25">
        <f t="shared" si="72"/>
        <v>0</v>
      </c>
      <c r="AY46" s="25">
        <f t="shared" si="73"/>
        <v>0</v>
      </c>
      <c r="AZ46" s="25">
        <f t="shared" si="74"/>
        <v>0</v>
      </c>
      <c r="BA46" s="25" t="str">
        <f t="shared" si="75"/>
        <v/>
      </c>
      <c r="BB46" s="25" t="str">
        <f t="shared" si="76"/>
        <v/>
      </c>
      <c r="BC46" s="25" t="str">
        <f t="shared" si="77"/>
        <v/>
      </c>
      <c r="BD46" s="25">
        <f>IF(ISERROR(VLOOKUP($K46,割合DB!$A:$B,2,FALSE))=TRUE,0,VLOOKUP($K46,割合DB!$A:$B,2,FALSE))</f>
        <v>0</v>
      </c>
      <c r="BE46" s="25">
        <f>IF(ISERROR(VLOOKUP($L46,割合DB!$A:$B,2,FALSE))=TRUE,0,VLOOKUP($L46,割合DB!$A:$B,2,FALSE))</f>
        <v>0</v>
      </c>
      <c r="BF46" s="25">
        <f>IF(ISERROR(VLOOKUP($M46,割合DB!$A:$B,2,FALSE))=TRUE,0,VLOOKUP($M46,割合DB!$A:$B,2,FALSE))</f>
        <v>0</v>
      </c>
      <c r="BG46" s="25">
        <f t="shared" si="78"/>
        <v>100</v>
      </c>
      <c r="BH46" s="18">
        <f t="shared" si="79"/>
        <v>100</v>
      </c>
      <c r="BI46" s="18">
        <f t="shared" si="33"/>
        <v>1</v>
      </c>
      <c r="BJ46" s="176"/>
      <c r="BK46" s="176"/>
      <c r="BL46" s="176"/>
      <c r="BM46" s="176"/>
      <c r="BN46" s="176"/>
      <c r="BO46" s="176"/>
      <c r="BP46" s="176"/>
      <c r="BQ46" s="176"/>
      <c r="BR46" s="176"/>
      <c r="BS46" s="176"/>
      <c r="BT46" s="176"/>
      <c r="BU46" s="176"/>
      <c r="BV46" s="176"/>
      <c r="BW46" s="176"/>
      <c r="BX46" s="176"/>
      <c r="BY46" s="176"/>
      <c r="BZ46" s="176"/>
      <c r="CA46" s="176"/>
    </row>
    <row r="47" spans="1:79" ht="27" customHeight="1" x14ac:dyDescent="0.15">
      <c r="A47" s="160" t="s">
        <v>539</v>
      </c>
      <c r="B47" s="21"/>
      <c r="C47" s="19"/>
      <c r="D47" s="40" t="str">
        <f t="shared" si="31"/>
        <v/>
      </c>
      <c r="E47" s="19"/>
      <c r="F47" s="26"/>
      <c r="G47" s="21"/>
      <c r="H47" s="22"/>
      <c r="I47" s="22"/>
      <c r="J47" s="22"/>
      <c r="K47" s="23"/>
      <c r="L47" s="23"/>
      <c r="M47" s="23"/>
      <c r="N47" s="146"/>
      <c r="O47" s="40">
        <f t="shared" si="57"/>
        <v>0</v>
      </c>
      <c r="P47" s="183" t="str">
        <f t="shared" si="58"/>
        <v/>
      </c>
      <c r="S47" s="18">
        <f t="shared" si="32"/>
        <v>0</v>
      </c>
      <c r="T47" s="18">
        <f t="shared" si="2"/>
        <v>0</v>
      </c>
      <c r="U47" s="18">
        <f>IF(C47="人工面",0,IF(G47="",0,IF(D47="湿性環境",VLOOKUP(G47,環境タイプⅡによる点数DB!A:B,2,FALSE),IF(D47="樹林",VLOOKUP(G47,環境タイプⅡによる点数DB!A:C,3,FALSE),IF(D47="低木・草地",VLOOKUP(G47,環境タイプⅡによる点数DB!A:D,4,FALSE),0)))))</f>
        <v>0</v>
      </c>
      <c r="V47" s="24" t="str">
        <f>$H47&amp;"in"&amp;基本情報!$C$13</f>
        <v>in</v>
      </c>
      <c r="W47" s="24">
        <f t="shared" si="3"/>
        <v>0</v>
      </c>
      <c r="X47" s="24">
        <f>IF($H47="",0,IF($D47="樹林",IF(ISERROR(VLOOKUP($V47,市町村・植物種ごとの樹林点数DB!$A:$G,7,FALSE))=TRUE,20,VLOOKUP($V47,市町村・植物種ごとの樹林点数DB!$A:$G,7,FALSE)),IF($D47="低木・草地",IF($H47="【ススキ】・【ネザサ】・【チガヤ】",45,10),0)))</f>
        <v>0</v>
      </c>
      <c r="Y47" s="24">
        <f t="shared" si="59"/>
        <v>0</v>
      </c>
      <c r="Z47" s="24">
        <f t="shared" si="60"/>
        <v>1</v>
      </c>
      <c r="AA47" s="24">
        <f t="shared" si="61"/>
        <v>1</v>
      </c>
      <c r="AB47" s="24">
        <f t="shared" si="62"/>
        <v>0</v>
      </c>
      <c r="AC47" s="25">
        <f t="shared" si="63"/>
        <v>0</v>
      </c>
      <c r="AD47" s="25">
        <f t="shared" si="64"/>
        <v>0</v>
      </c>
      <c r="AE47" s="25">
        <f t="shared" si="65"/>
        <v>0</v>
      </c>
      <c r="AF47" s="25" t="str">
        <f t="shared" si="66"/>
        <v/>
      </c>
      <c r="AG47" s="25" t="str">
        <f t="shared" si="67"/>
        <v/>
      </c>
      <c r="AH47" s="25" t="str">
        <f t="shared" si="68"/>
        <v/>
      </c>
      <c r="AI47" s="25">
        <f>IF(ISERROR(VLOOKUP(K47,割合DB!$A:$B,2,FALSE))=TRUE,100,VLOOKUP(K47,割合DB!$A:$B,2,FALSE))</f>
        <v>100</v>
      </c>
      <c r="AJ47" s="25">
        <f>IF(ISERROR(VLOOKUP(L47,割合DB!$A:$B,2,FALSE))=TRUE,100,VLOOKUP(L47,割合DB!$A:$B,2,FALSE))</f>
        <v>100</v>
      </c>
      <c r="AK47" s="25">
        <f>IF(ISERROR(VLOOKUP(M47,割合DB!$A:$B,2,FALSE))=TRUE,100,VLOOKUP(M47,割合DB!$A:$B,2,FALSE))</f>
        <v>100</v>
      </c>
      <c r="AL47" s="25">
        <f t="shared" si="69"/>
        <v>0</v>
      </c>
      <c r="AM47" s="18">
        <f t="shared" si="70"/>
        <v>0</v>
      </c>
      <c r="AN47" s="18">
        <f t="shared" si="71"/>
        <v>0</v>
      </c>
      <c r="AO47" s="18">
        <f t="shared" si="17"/>
        <v>0</v>
      </c>
      <c r="AP47" s="18">
        <f>IF($C47="人工面",0,IF($G47="",70,IF($D47="湿性環境",VLOOKUP($G47,環境タイプⅡによる点数DB!$A:$B,2,FALSE),IF($D47="樹林",VLOOKUP($G47,環境タイプⅡによる点数DB!$A:$C,3,FALSE),IF($D47="低木・草地",VLOOKUP($G47,環境タイプⅡによる点数DB!$A:$D,4,FALSE),0)))))</f>
        <v>70</v>
      </c>
      <c r="AQ47" s="24" t="str">
        <f>$H47&amp;"in"&amp;基本情報!$C$13</f>
        <v>in</v>
      </c>
      <c r="AR47" s="24">
        <f t="shared" si="18"/>
        <v>0</v>
      </c>
      <c r="AS47" s="24">
        <f>IF($H47="",0,IF($D47="樹林",IF(ISERROR(VLOOKUP($V47,市町村・植物種ごとの樹林点数DB!$A:$F,6,FALSE))=TRUE,10,VLOOKUP($V47,市町村・植物種ごとの樹林点数DB!$A:$F,6,FALSE)),IF($D47="低木・草地",IF(OR($H47="【ススキ】・【ネザサ】・【チガヤ】",$H47="不明"),45,10),0)))</f>
        <v>0</v>
      </c>
      <c r="AT47" s="24">
        <f t="shared" si="19"/>
        <v>0</v>
      </c>
      <c r="AU47" s="24">
        <f t="shared" si="20"/>
        <v>1</v>
      </c>
      <c r="AV47" s="24">
        <f t="shared" si="21"/>
        <v>0</v>
      </c>
      <c r="AW47" s="24">
        <f t="shared" si="22"/>
        <v>1</v>
      </c>
      <c r="AX47" s="25">
        <f t="shared" si="72"/>
        <v>0</v>
      </c>
      <c r="AY47" s="25">
        <f t="shared" si="73"/>
        <v>0</v>
      </c>
      <c r="AZ47" s="25">
        <f t="shared" si="74"/>
        <v>0</v>
      </c>
      <c r="BA47" s="25" t="str">
        <f t="shared" si="75"/>
        <v/>
      </c>
      <c r="BB47" s="25" t="str">
        <f t="shared" si="76"/>
        <v/>
      </c>
      <c r="BC47" s="25" t="str">
        <f t="shared" si="77"/>
        <v/>
      </c>
      <c r="BD47" s="25">
        <f>IF(ISERROR(VLOOKUP($K47,割合DB!$A:$B,2,FALSE))=TRUE,0,VLOOKUP($K47,割合DB!$A:$B,2,FALSE))</f>
        <v>0</v>
      </c>
      <c r="BE47" s="25">
        <f>IF(ISERROR(VLOOKUP($L47,割合DB!$A:$B,2,FALSE))=TRUE,0,VLOOKUP($L47,割合DB!$A:$B,2,FALSE))</f>
        <v>0</v>
      </c>
      <c r="BF47" s="25">
        <f>IF(ISERROR(VLOOKUP($M47,割合DB!$A:$B,2,FALSE))=TRUE,0,VLOOKUP($M47,割合DB!$A:$B,2,FALSE))</f>
        <v>0</v>
      </c>
      <c r="BG47" s="25">
        <f t="shared" si="78"/>
        <v>100</v>
      </c>
      <c r="BH47" s="18">
        <f t="shared" si="79"/>
        <v>100</v>
      </c>
      <c r="BI47" s="18">
        <f t="shared" si="33"/>
        <v>1</v>
      </c>
      <c r="BJ47" s="176"/>
      <c r="BK47" s="176"/>
      <c r="BL47" s="176"/>
      <c r="BM47" s="176"/>
      <c r="BN47" s="176"/>
      <c r="BO47" s="176"/>
      <c r="BP47" s="176"/>
      <c r="BQ47" s="176"/>
      <c r="BR47" s="176"/>
      <c r="BS47" s="176"/>
      <c r="BT47" s="176"/>
      <c r="BU47" s="176"/>
      <c r="BV47" s="176"/>
      <c r="BW47" s="176"/>
      <c r="BX47" s="176"/>
      <c r="BY47" s="176"/>
      <c r="BZ47" s="176"/>
      <c r="CA47" s="176"/>
    </row>
    <row r="48" spans="1:79" ht="27" customHeight="1" x14ac:dyDescent="0.15">
      <c r="A48" s="160" t="s">
        <v>540</v>
      </c>
      <c r="B48" s="21"/>
      <c r="C48" s="19"/>
      <c r="D48" s="40" t="str">
        <f t="shared" si="31"/>
        <v/>
      </c>
      <c r="E48" s="19"/>
      <c r="F48" s="26"/>
      <c r="G48" s="21"/>
      <c r="H48" s="22"/>
      <c r="I48" s="22"/>
      <c r="J48" s="22"/>
      <c r="K48" s="23"/>
      <c r="L48" s="23"/>
      <c r="M48" s="23"/>
      <c r="N48" s="146"/>
      <c r="O48" s="40">
        <f t="shared" si="57"/>
        <v>0</v>
      </c>
      <c r="P48" s="183" t="str">
        <f t="shared" si="58"/>
        <v/>
      </c>
      <c r="S48" s="18">
        <f t="shared" si="32"/>
        <v>0</v>
      </c>
      <c r="T48" s="18">
        <f t="shared" si="2"/>
        <v>0</v>
      </c>
      <c r="U48" s="18">
        <f>IF(C48="人工面",0,IF(G48="",0,IF(D48="湿性環境",VLOOKUP(G48,環境タイプⅡによる点数DB!A:B,2,FALSE),IF(D48="樹林",VLOOKUP(G48,環境タイプⅡによる点数DB!A:C,3,FALSE),IF(D48="低木・草地",VLOOKUP(G48,環境タイプⅡによる点数DB!A:D,4,FALSE),0)))))</f>
        <v>0</v>
      </c>
      <c r="V48" s="24" t="str">
        <f>$H48&amp;"in"&amp;基本情報!$C$13</f>
        <v>in</v>
      </c>
      <c r="W48" s="24">
        <f t="shared" si="3"/>
        <v>0</v>
      </c>
      <c r="X48" s="24">
        <f>IF($H48="",0,IF($D48="樹林",IF(ISERROR(VLOOKUP($V48,市町村・植物種ごとの樹林点数DB!$A:$G,7,FALSE))=TRUE,20,VLOOKUP($V48,市町村・植物種ごとの樹林点数DB!$A:$G,7,FALSE)),IF($D48="低木・草地",IF($H48="【ススキ】・【ネザサ】・【チガヤ】",45,10),0)))</f>
        <v>0</v>
      </c>
      <c r="Y48" s="24">
        <f t="shared" si="59"/>
        <v>0</v>
      </c>
      <c r="Z48" s="24">
        <f t="shared" si="60"/>
        <v>1</v>
      </c>
      <c r="AA48" s="24">
        <f t="shared" si="61"/>
        <v>1</v>
      </c>
      <c r="AB48" s="24">
        <f t="shared" si="62"/>
        <v>0</v>
      </c>
      <c r="AC48" s="25">
        <f t="shared" si="63"/>
        <v>0</v>
      </c>
      <c r="AD48" s="25">
        <f t="shared" si="64"/>
        <v>0</v>
      </c>
      <c r="AE48" s="25">
        <f t="shared" si="65"/>
        <v>0</v>
      </c>
      <c r="AF48" s="25" t="str">
        <f t="shared" si="66"/>
        <v/>
      </c>
      <c r="AG48" s="25" t="str">
        <f t="shared" si="67"/>
        <v/>
      </c>
      <c r="AH48" s="25" t="str">
        <f t="shared" si="68"/>
        <v/>
      </c>
      <c r="AI48" s="25">
        <f>IF(ISERROR(VLOOKUP(K48,割合DB!$A:$B,2,FALSE))=TRUE,100,VLOOKUP(K48,割合DB!$A:$B,2,FALSE))</f>
        <v>100</v>
      </c>
      <c r="AJ48" s="25">
        <f>IF(ISERROR(VLOOKUP(L48,割合DB!$A:$B,2,FALSE))=TRUE,100,VLOOKUP(L48,割合DB!$A:$B,2,FALSE))</f>
        <v>100</v>
      </c>
      <c r="AK48" s="25">
        <f>IF(ISERROR(VLOOKUP(M48,割合DB!$A:$B,2,FALSE))=TRUE,100,VLOOKUP(M48,割合DB!$A:$B,2,FALSE))</f>
        <v>100</v>
      </c>
      <c r="AL48" s="25">
        <f t="shared" si="69"/>
        <v>0</v>
      </c>
      <c r="AM48" s="18">
        <f t="shared" si="70"/>
        <v>0</v>
      </c>
      <c r="AN48" s="18">
        <f t="shared" si="71"/>
        <v>0</v>
      </c>
      <c r="AO48" s="18">
        <f t="shared" si="17"/>
        <v>0</v>
      </c>
      <c r="AP48" s="18">
        <f>IF($C48="人工面",0,IF($G48="",70,IF($D48="湿性環境",VLOOKUP($G48,環境タイプⅡによる点数DB!$A:$B,2,FALSE),IF($D48="樹林",VLOOKUP($G48,環境タイプⅡによる点数DB!$A:$C,3,FALSE),IF($D48="低木・草地",VLOOKUP($G48,環境タイプⅡによる点数DB!$A:$D,4,FALSE),0)))))</f>
        <v>70</v>
      </c>
      <c r="AQ48" s="24" t="str">
        <f>$H48&amp;"in"&amp;基本情報!$C$13</f>
        <v>in</v>
      </c>
      <c r="AR48" s="24">
        <f t="shared" si="18"/>
        <v>0</v>
      </c>
      <c r="AS48" s="24">
        <f>IF($H48="",0,IF($D48="樹林",IF(ISERROR(VLOOKUP($V48,市町村・植物種ごとの樹林点数DB!$A:$F,6,FALSE))=TRUE,10,VLOOKUP($V48,市町村・植物種ごとの樹林点数DB!$A:$F,6,FALSE)),IF($D48="低木・草地",IF(OR($H48="【ススキ】・【ネザサ】・【チガヤ】",$H48="不明"),45,10),0)))</f>
        <v>0</v>
      </c>
      <c r="AT48" s="24">
        <f t="shared" si="19"/>
        <v>0</v>
      </c>
      <c r="AU48" s="24">
        <f t="shared" si="20"/>
        <v>1</v>
      </c>
      <c r="AV48" s="24">
        <f t="shared" si="21"/>
        <v>0</v>
      </c>
      <c r="AW48" s="24">
        <f t="shared" si="22"/>
        <v>1</v>
      </c>
      <c r="AX48" s="25">
        <f t="shared" si="72"/>
        <v>0</v>
      </c>
      <c r="AY48" s="25">
        <f t="shared" si="73"/>
        <v>0</v>
      </c>
      <c r="AZ48" s="25">
        <f t="shared" si="74"/>
        <v>0</v>
      </c>
      <c r="BA48" s="25" t="str">
        <f t="shared" si="75"/>
        <v/>
      </c>
      <c r="BB48" s="25" t="str">
        <f t="shared" si="76"/>
        <v/>
      </c>
      <c r="BC48" s="25" t="str">
        <f t="shared" si="77"/>
        <v/>
      </c>
      <c r="BD48" s="25">
        <f>IF(ISERROR(VLOOKUP($K48,割合DB!$A:$B,2,FALSE))=TRUE,0,VLOOKUP($K48,割合DB!$A:$B,2,FALSE))</f>
        <v>0</v>
      </c>
      <c r="BE48" s="25">
        <f>IF(ISERROR(VLOOKUP($L48,割合DB!$A:$B,2,FALSE))=TRUE,0,VLOOKUP($L48,割合DB!$A:$B,2,FALSE))</f>
        <v>0</v>
      </c>
      <c r="BF48" s="25">
        <f>IF(ISERROR(VLOOKUP($M48,割合DB!$A:$B,2,FALSE))=TRUE,0,VLOOKUP($M48,割合DB!$A:$B,2,FALSE))</f>
        <v>0</v>
      </c>
      <c r="BG48" s="25">
        <f t="shared" si="78"/>
        <v>100</v>
      </c>
      <c r="BH48" s="18">
        <f t="shared" si="79"/>
        <v>100</v>
      </c>
      <c r="BI48" s="18">
        <f t="shared" si="33"/>
        <v>1</v>
      </c>
      <c r="BJ48" s="176"/>
      <c r="BK48" s="176"/>
      <c r="BL48" s="176"/>
      <c r="BM48" s="176"/>
      <c r="BN48" s="176"/>
      <c r="BO48" s="176"/>
      <c r="BP48" s="176"/>
      <c r="BQ48" s="176"/>
      <c r="BR48" s="176"/>
      <c r="BS48" s="176"/>
      <c r="BT48" s="176"/>
      <c r="BU48" s="176"/>
      <c r="BV48" s="176"/>
      <c r="BW48" s="176"/>
      <c r="BX48" s="176"/>
      <c r="BY48" s="176"/>
      <c r="BZ48" s="176"/>
      <c r="CA48" s="176"/>
    </row>
    <row r="49" spans="1:79" ht="27" customHeight="1" x14ac:dyDescent="0.15">
      <c r="A49" s="160" t="s">
        <v>541</v>
      </c>
      <c r="B49" s="21"/>
      <c r="C49" s="19"/>
      <c r="D49" s="40" t="str">
        <f t="shared" si="31"/>
        <v/>
      </c>
      <c r="E49" s="19"/>
      <c r="F49" s="26"/>
      <c r="G49" s="21"/>
      <c r="H49" s="22"/>
      <c r="I49" s="22"/>
      <c r="J49" s="22"/>
      <c r="K49" s="23"/>
      <c r="L49" s="23"/>
      <c r="M49" s="23"/>
      <c r="N49" s="146"/>
      <c r="O49" s="40">
        <f t="shared" si="57"/>
        <v>0</v>
      </c>
      <c r="P49" s="183" t="str">
        <f t="shared" si="58"/>
        <v/>
      </c>
      <c r="S49" s="18">
        <f t="shared" si="32"/>
        <v>0</v>
      </c>
      <c r="T49" s="18">
        <f t="shared" si="2"/>
        <v>0</v>
      </c>
      <c r="U49" s="18">
        <f>IF(C49="人工面",0,IF(G49="",0,IF(D49="湿性環境",VLOOKUP(G49,環境タイプⅡによる点数DB!A:B,2,FALSE),IF(D49="樹林",VLOOKUP(G49,環境タイプⅡによる点数DB!A:C,3,FALSE),IF(D49="低木・草地",VLOOKUP(G49,環境タイプⅡによる点数DB!A:D,4,FALSE),0)))))</f>
        <v>0</v>
      </c>
      <c r="V49" s="24" t="str">
        <f>$H49&amp;"in"&amp;基本情報!$C$13</f>
        <v>in</v>
      </c>
      <c r="W49" s="24">
        <f t="shared" si="3"/>
        <v>0</v>
      </c>
      <c r="X49" s="24">
        <f>IF($H49="",0,IF($D49="樹林",IF(ISERROR(VLOOKUP($V49,市町村・植物種ごとの樹林点数DB!$A:$G,7,FALSE))=TRUE,20,VLOOKUP($V49,市町村・植物種ごとの樹林点数DB!$A:$G,7,FALSE)),IF($D49="低木・草地",IF($H49="【ススキ】・【ネザサ】・【チガヤ】",45,10),0)))</f>
        <v>0</v>
      </c>
      <c r="Y49" s="24">
        <f t="shared" si="59"/>
        <v>0</v>
      </c>
      <c r="Z49" s="24">
        <f t="shared" si="60"/>
        <v>1</v>
      </c>
      <c r="AA49" s="24">
        <f t="shared" si="61"/>
        <v>1</v>
      </c>
      <c r="AB49" s="24">
        <f t="shared" si="62"/>
        <v>0</v>
      </c>
      <c r="AC49" s="25">
        <f t="shared" si="63"/>
        <v>0</v>
      </c>
      <c r="AD49" s="25">
        <f t="shared" si="64"/>
        <v>0</v>
      </c>
      <c r="AE49" s="25">
        <f t="shared" si="65"/>
        <v>0</v>
      </c>
      <c r="AF49" s="25" t="str">
        <f t="shared" si="66"/>
        <v/>
      </c>
      <c r="AG49" s="25" t="str">
        <f t="shared" si="67"/>
        <v/>
      </c>
      <c r="AH49" s="25" t="str">
        <f t="shared" si="68"/>
        <v/>
      </c>
      <c r="AI49" s="25">
        <f>IF(ISERROR(VLOOKUP(K49,割合DB!$A:$B,2,FALSE))=TRUE,100,VLOOKUP(K49,割合DB!$A:$B,2,FALSE))</f>
        <v>100</v>
      </c>
      <c r="AJ49" s="25">
        <f>IF(ISERROR(VLOOKUP(L49,割合DB!$A:$B,2,FALSE))=TRUE,100,VLOOKUP(L49,割合DB!$A:$B,2,FALSE))</f>
        <v>100</v>
      </c>
      <c r="AK49" s="25">
        <f>IF(ISERROR(VLOOKUP(M49,割合DB!$A:$B,2,FALSE))=TRUE,100,VLOOKUP(M49,割合DB!$A:$B,2,FALSE))</f>
        <v>100</v>
      </c>
      <c r="AL49" s="25">
        <f t="shared" si="69"/>
        <v>0</v>
      </c>
      <c r="AM49" s="18">
        <f t="shared" si="70"/>
        <v>0</v>
      </c>
      <c r="AN49" s="18">
        <f t="shared" si="71"/>
        <v>0</v>
      </c>
      <c r="AO49" s="18">
        <f t="shared" si="17"/>
        <v>0</v>
      </c>
      <c r="AP49" s="18">
        <f>IF($C49="人工面",0,IF($G49="",70,IF($D49="湿性環境",VLOOKUP($G49,環境タイプⅡによる点数DB!$A:$B,2,FALSE),IF($D49="樹林",VLOOKUP($G49,環境タイプⅡによる点数DB!$A:$C,3,FALSE),IF($D49="低木・草地",VLOOKUP($G49,環境タイプⅡによる点数DB!$A:$D,4,FALSE),0)))))</f>
        <v>70</v>
      </c>
      <c r="AQ49" s="24" t="str">
        <f>$H49&amp;"in"&amp;基本情報!$C$13</f>
        <v>in</v>
      </c>
      <c r="AR49" s="24">
        <f t="shared" si="18"/>
        <v>0</v>
      </c>
      <c r="AS49" s="24">
        <f>IF($H49="",0,IF($D49="樹林",IF(ISERROR(VLOOKUP($V49,市町村・植物種ごとの樹林点数DB!$A:$F,6,FALSE))=TRUE,10,VLOOKUP($V49,市町村・植物種ごとの樹林点数DB!$A:$F,6,FALSE)),IF($D49="低木・草地",IF(OR($H49="【ススキ】・【ネザサ】・【チガヤ】",$H49="不明"),45,10),0)))</f>
        <v>0</v>
      </c>
      <c r="AT49" s="24">
        <f t="shared" si="19"/>
        <v>0</v>
      </c>
      <c r="AU49" s="24">
        <f t="shared" si="20"/>
        <v>1</v>
      </c>
      <c r="AV49" s="24">
        <f t="shared" si="21"/>
        <v>0</v>
      </c>
      <c r="AW49" s="24">
        <f t="shared" si="22"/>
        <v>1</v>
      </c>
      <c r="AX49" s="25">
        <f t="shared" si="72"/>
        <v>0</v>
      </c>
      <c r="AY49" s="25">
        <f t="shared" si="73"/>
        <v>0</v>
      </c>
      <c r="AZ49" s="25">
        <f t="shared" si="74"/>
        <v>0</v>
      </c>
      <c r="BA49" s="25" t="str">
        <f t="shared" si="75"/>
        <v/>
      </c>
      <c r="BB49" s="25" t="str">
        <f t="shared" si="76"/>
        <v/>
      </c>
      <c r="BC49" s="25" t="str">
        <f t="shared" si="77"/>
        <v/>
      </c>
      <c r="BD49" s="25">
        <f>IF(ISERROR(VLOOKUP($K49,割合DB!$A:$B,2,FALSE))=TRUE,0,VLOOKUP($K49,割合DB!$A:$B,2,FALSE))</f>
        <v>0</v>
      </c>
      <c r="BE49" s="25">
        <f>IF(ISERROR(VLOOKUP($L49,割合DB!$A:$B,2,FALSE))=TRUE,0,VLOOKUP($L49,割合DB!$A:$B,2,FALSE))</f>
        <v>0</v>
      </c>
      <c r="BF49" s="25">
        <f>IF(ISERROR(VLOOKUP($M49,割合DB!$A:$B,2,FALSE))=TRUE,0,VLOOKUP($M49,割合DB!$A:$B,2,FALSE))</f>
        <v>0</v>
      </c>
      <c r="BG49" s="25">
        <f t="shared" si="78"/>
        <v>100</v>
      </c>
      <c r="BH49" s="18">
        <f t="shared" si="79"/>
        <v>100</v>
      </c>
      <c r="BI49" s="18">
        <f t="shared" si="33"/>
        <v>1</v>
      </c>
      <c r="BJ49" s="176"/>
      <c r="BK49" s="176"/>
      <c r="BL49" s="176"/>
      <c r="BM49" s="176"/>
      <c r="BN49" s="176"/>
      <c r="BO49" s="176"/>
      <c r="BP49" s="176"/>
      <c r="BQ49" s="176"/>
      <c r="BR49" s="176"/>
      <c r="BS49" s="176"/>
      <c r="BT49" s="176"/>
      <c r="BU49" s="176"/>
      <c r="BV49" s="176"/>
      <c r="BW49" s="176"/>
      <c r="BX49" s="176"/>
      <c r="BY49" s="176"/>
      <c r="BZ49" s="176"/>
      <c r="CA49" s="176"/>
    </row>
    <row r="50" spans="1:79" ht="27" customHeight="1" x14ac:dyDescent="0.15">
      <c r="A50" s="160" t="s">
        <v>542</v>
      </c>
      <c r="B50" s="21"/>
      <c r="C50" s="19"/>
      <c r="D50" s="40" t="str">
        <f t="shared" si="31"/>
        <v/>
      </c>
      <c r="E50" s="19"/>
      <c r="F50" s="26"/>
      <c r="G50" s="21"/>
      <c r="H50" s="22"/>
      <c r="I50" s="22"/>
      <c r="J50" s="22"/>
      <c r="K50" s="23"/>
      <c r="L50" s="23"/>
      <c r="M50" s="23"/>
      <c r="N50" s="146"/>
      <c r="O50" s="40">
        <f t="shared" si="57"/>
        <v>0</v>
      </c>
      <c r="P50" s="183" t="str">
        <f t="shared" si="58"/>
        <v/>
      </c>
      <c r="S50" s="18">
        <f t="shared" si="32"/>
        <v>0</v>
      </c>
      <c r="T50" s="18">
        <f t="shared" si="2"/>
        <v>0</v>
      </c>
      <c r="U50" s="18">
        <f>IF(C50="人工面",0,IF(G50="",0,IF(D50="湿性環境",VLOOKUP(G50,環境タイプⅡによる点数DB!A:B,2,FALSE),IF(D50="樹林",VLOOKUP(G50,環境タイプⅡによる点数DB!A:C,3,FALSE),IF(D50="低木・草地",VLOOKUP(G50,環境タイプⅡによる点数DB!A:D,4,FALSE),0)))))</f>
        <v>0</v>
      </c>
      <c r="V50" s="24" t="str">
        <f>$H50&amp;"in"&amp;基本情報!$C$13</f>
        <v>in</v>
      </c>
      <c r="W50" s="24">
        <f t="shared" si="3"/>
        <v>0</v>
      </c>
      <c r="X50" s="24">
        <f>IF($H50="",0,IF($D50="樹林",IF(ISERROR(VLOOKUP($V50,市町村・植物種ごとの樹林点数DB!$A:$G,7,FALSE))=TRUE,20,VLOOKUP($V50,市町村・植物種ごとの樹林点数DB!$A:$G,7,FALSE)),IF($D50="低木・草地",IF($H50="【ススキ】・【ネザサ】・【チガヤ】",45,10),0)))</f>
        <v>0</v>
      </c>
      <c r="Y50" s="24">
        <f t="shared" si="59"/>
        <v>0</v>
      </c>
      <c r="Z50" s="24">
        <f t="shared" si="60"/>
        <v>1</v>
      </c>
      <c r="AA50" s="24">
        <f t="shared" si="61"/>
        <v>1</v>
      </c>
      <c r="AB50" s="24">
        <f t="shared" si="62"/>
        <v>0</v>
      </c>
      <c r="AC50" s="25">
        <f t="shared" si="63"/>
        <v>0</v>
      </c>
      <c r="AD50" s="25">
        <f t="shared" si="64"/>
        <v>0</v>
      </c>
      <c r="AE50" s="25">
        <f t="shared" si="65"/>
        <v>0</v>
      </c>
      <c r="AF50" s="25" t="str">
        <f t="shared" si="66"/>
        <v/>
      </c>
      <c r="AG50" s="25" t="str">
        <f t="shared" si="67"/>
        <v/>
      </c>
      <c r="AH50" s="25" t="str">
        <f t="shared" si="68"/>
        <v/>
      </c>
      <c r="AI50" s="25">
        <f>IF(ISERROR(VLOOKUP(K50,割合DB!$A:$B,2,FALSE))=TRUE,100,VLOOKUP(K50,割合DB!$A:$B,2,FALSE))</f>
        <v>100</v>
      </c>
      <c r="AJ50" s="25">
        <f>IF(ISERROR(VLOOKUP(L50,割合DB!$A:$B,2,FALSE))=TRUE,100,VLOOKUP(L50,割合DB!$A:$B,2,FALSE))</f>
        <v>100</v>
      </c>
      <c r="AK50" s="25">
        <f>IF(ISERROR(VLOOKUP(M50,割合DB!$A:$B,2,FALSE))=TRUE,100,VLOOKUP(M50,割合DB!$A:$B,2,FALSE))</f>
        <v>100</v>
      </c>
      <c r="AL50" s="25">
        <f t="shared" si="69"/>
        <v>0</v>
      </c>
      <c r="AM50" s="18">
        <f t="shared" si="70"/>
        <v>0</v>
      </c>
      <c r="AN50" s="18">
        <f t="shared" si="71"/>
        <v>0</v>
      </c>
      <c r="AO50" s="18">
        <f t="shared" si="17"/>
        <v>0</v>
      </c>
      <c r="AP50" s="18">
        <f>IF($C50="人工面",0,IF($G50="",70,IF($D50="湿性環境",VLOOKUP($G50,環境タイプⅡによる点数DB!$A:$B,2,FALSE),IF($D50="樹林",VLOOKUP($G50,環境タイプⅡによる点数DB!$A:$C,3,FALSE),IF($D50="低木・草地",VLOOKUP($G50,環境タイプⅡによる点数DB!$A:$D,4,FALSE),0)))))</f>
        <v>70</v>
      </c>
      <c r="AQ50" s="24" t="str">
        <f>$H50&amp;"in"&amp;基本情報!$C$13</f>
        <v>in</v>
      </c>
      <c r="AR50" s="24">
        <f t="shared" si="18"/>
        <v>0</v>
      </c>
      <c r="AS50" s="24">
        <f>IF($H50="",0,IF($D50="樹林",IF(ISERROR(VLOOKUP($V50,市町村・植物種ごとの樹林点数DB!$A:$F,6,FALSE))=TRUE,10,VLOOKUP($V50,市町村・植物種ごとの樹林点数DB!$A:$F,6,FALSE)),IF($D50="低木・草地",IF(OR($H50="【ススキ】・【ネザサ】・【チガヤ】",$H50="不明"),45,10),0)))</f>
        <v>0</v>
      </c>
      <c r="AT50" s="24">
        <f t="shared" si="19"/>
        <v>0</v>
      </c>
      <c r="AU50" s="24">
        <f t="shared" si="20"/>
        <v>1</v>
      </c>
      <c r="AV50" s="24">
        <f t="shared" si="21"/>
        <v>0</v>
      </c>
      <c r="AW50" s="24">
        <f t="shared" si="22"/>
        <v>1</v>
      </c>
      <c r="AX50" s="25">
        <f t="shared" si="72"/>
        <v>0</v>
      </c>
      <c r="AY50" s="25">
        <f t="shared" si="73"/>
        <v>0</v>
      </c>
      <c r="AZ50" s="25">
        <f t="shared" si="74"/>
        <v>0</v>
      </c>
      <c r="BA50" s="25" t="str">
        <f t="shared" si="75"/>
        <v/>
      </c>
      <c r="BB50" s="25" t="str">
        <f t="shared" si="76"/>
        <v/>
      </c>
      <c r="BC50" s="25" t="str">
        <f t="shared" si="77"/>
        <v/>
      </c>
      <c r="BD50" s="25">
        <f>IF(ISERROR(VLOOKUP($K50,割合DB!$A:$B,2,FALSE))=TRUE,0,VLOOKUP($K50,割合DB!$A:$B,2,FALSE))</f>
        <v>0</v>
      </c>
      <c r="BE50" s="25">
        <f>IF(ISERROR(VLOOKUP($L50,割合DB!$A:$B,2,FALSE))=TRUE,0,VLOOKUP($L50,割合DB!$A:$B,2,FALSE))</f>
        <v>0</v>
      </c>
      <c r="BF50" s="25">
        <f>IF(ISERROR(VLOOKUP($M50,割合DB!$A:$B,2,FALSE))=TRUE,0,VLOOKUP($M50,割合DB!$A:$B,2,FALSE))</f>
        <v>0</v>
      </c>
      <c r="BG50" s="25">
        <f t="shared" si="78"/>
        <v>100</v>
      </c>
      <c r="BH50" s="18">
        <f t="shared" si="79"/>
        <v>100</v>
      </c>
      <c r="BI50" s="18">
        <f t="shared" si="33"/>
        <v>1</v>
      </c>
      <c r="BJ50" s="176"/>
      <c r="BK50" s="176"/>
      <c r="BL50" s="176"/>
      <c r="BM50" s="176"/>
      <c r="BN50" s="176"/>
      <c r="BO50" s="176"/>
      <c r="BP50" s="176"/>
      <c r="BQ50" s="176"/>
      <c r="BR50" s="176"/>
      <c r="BS50" s="176"/>
      <c r="BT50" s="176"/>
      <c r="BU50" s="176"/>
      <c r="BV50" s="176"/>
      <c r="BW50" s="176"/>
      <c r="BX50" s="176"/>
      <c r="BY50" s="176"/>
      <c r="BZ50" s="176"/>
      <c r="CA50" s="176"/>
    </row>
    <row r="51" spans="1:79" ht="27" customHeight="1" x14ac:dyDescent="0.15">
      <c r="A51" s="160" t="s">
        <v>543</v>
      </c>
      <c r="B51" s="21"/>
      <c r="C51" s="19"/>
      <c r="D51" s="40" t="str">
        <f t="shared" si="31"/>
        <v/>
      </c>
      <c r="E51" s="19"/>
      <c r="F51" s="26"/>
      <c r="G51" s="21"/>
      <c r="H51" s="22"/>
      <c r="I51" s="22"/>
      <c r="J51" s="22"/>
      <c r="K51" s="23"/>
      <c r="L51" s="23"/>
      <c r="M51" s="23"/>
      <c r="N51" s="146"/>
      <c r="O51" s="40">
        <f t="shared" si="57"/>
        <v>0</v>
      </c>
      <c r="P51" s="183" t="str">
        <f t="shared" si="58"/>
        <v/>
      </c>
      <c r="S51" s="18">
        <f t="shared" si="32"/>
        <v>0</v>
      </c>
      <c r="T51" s="18">
        <f t="shared" si="2"/>
        <v>0</v>
      </c>
      <c r="U51" s="18">
        <f>IF(C51="人工面",0,IF(G51="",0,IF(D51="湿性環境",VLOOKUP(G51,環境タイプⅡによる点数DB!A:B,2,FALSE),IF(D51="樹林",VLOOKUP(G51,環境タイプⅡによる点数DB!A:C,3,FALSE),IF(D51="低木・草地",VLOOKUP(G51,環境タイプⅡによる点数DB!A:D,4,FALSE),0)))))</f>
        <v>0</v>
      </c>
      <c r="V51" s="24" t="str">
        <f>$H51&amp;"in"&amp;基本情報!$C$13</f>
        <v>in</v>
      </c>
      <c r="W51" s="24">
        <f t="shared" si="3"/>
        <v>0</v>
      </c>
      <c r="X51" s="24">
        <f>IF($H51="",0,IF($D51="樹林",IF(ISERROR(VLOOKUP($V51,市町村・植物種ごとの樹林点数DB!$A:$G,7,FALSE))=TRUE,20,VLOOKUP($V51,市町村・植物種ごとの樹林点数DB!$A:$G,7,FALSE)),IF($D51="低木・草地",IF($H51="【ススキ】・【ネザサ】・【チガヤ】",45,10),0)))</f>
        <v>0</v>
      </c>
      <c r="Y51" s="24">
        <f t="shared" si="59"/>
        <v>0</v>
      </c>
      <c r="Z51" s="24">
        <f t="shared" si="60"/>
        <v>1</v>
      </c>
      <c r="AA51" s="24">
        <f t="shared" si="61"/>
        <v>1</v>
      </c>
      <c r="AB51" s="24">
        <f t="shared" si="62"/>
        <v>0</v>
      </c>
      <c r="AC51" s="25">
        <f t="shared" si="63"/>
        <v>0</v>
      </c>
      <c r="AD51" s="25">
        <f t="shared" si="64"/>
        <v>0</v>
      </c>
      <c r="AE51" s="25">
        <f t="shared" si="65"/>
        <v>0</v>
      </c>
      <c r="AF51" s="25" t="str">
        <f t="shared" si="66"/>
        <v/>
      </c>
      <c r="AG51" s="25" t="str">
        <f t="shared" si="67"/>
        <v/>
      </c>
      <c r="AH51" s="25" t="str">
        <f t="shared" si="68"/>
        <v/>
      </c>
      <c r="AI51" s="25">
        <f>IF(ISERROR(VLOOKUP(K51,割合DB!$A:$B,2,FALSE))=TRUE,100,VLOOKUP(K51,割合DB!$A:$B,2,FALSE))</f>
        <v>100</v>
      </c>
      <c r="AJ51" s="25">
        <f>IF(ISERROR(VLOOKUP(L51,割合DB!$A:$B,2,FALSE))=TRUE,100,VLOOKUP(L51,割合DB!$A:$B,2,FALSE))</f>
        <v>100</v>
      </c>
      <c r="AK51" s="25">
        <f>IF(ISERROR(VLOOKUP(M51,割合DB!$A:$B,2,FALSE))=TRUE,100,VLOOKUP(M51,割合DB!$A:$B,2,FALSE))</f>
        <v>100</v>
      </c>
      <c r="AL51" s="25">
        <f t="shared" si="69"/>
        <v>0</v>
      </c>
      <c r="AM51" s="18">
        <f t="shared" si="70"/>
        <v>0</v>
      </c>
      <c r="AN51" s="18">
        <f t="shared" si="71"/>
        <v>0</v>
      </c>
      <c r="AO51" s="18">
        <f t="shared" si="17"/>
        <v>0</v>
      </c>
      <c r="AP51" s="18">
        <f>IF($C51="人工面",0,IF($G51="",70,IF($D51="湿性環境",VLOOKUP($G51,環境タイプⅡによる点数DB!$A:$B,2,FALSE),IF($D51="樹林",VLOOKUP($G51,環境タイプⅡによる点数DB!$A:$C,3,FALSE),IF($D51="低木・草地",VLOOKUP($G51,環境タイプⅡによる点数DB!$A:$D,4,FALSE),0)))))</f>
        <v>70</v>
      </c>
      <c r="AQ51" s="24" t="str">
        <f>$H51&amp;"in"&amp;基本情報!$C$13</f>
        <v>in</v>
      </c>
      <c r="AR51" s="24">
        <f t="shared" si="18"/>
        <v>0</v>
      </c>
      <c r="AS51" s="24">
        <f>IF($H51="",0,IF($D51="樹林",IF(ISERROR(VLOOKUP($V51,市町村・植物種ごとの樹林点数DB!$A:$F,6,FALSE))=TRUE,10,VLOOKUP($V51,市町村・植物種ごとの樹林点数DB!$A:$F,6,FALSE)),IF($D51="低木・草地",IF(OR($H51="【ススキ】・【ネザサ】・【チガヤ】",$H51="不明"),45,10),0)))</f>
        <v>0</v>
      </c>
      <c r="AT51" s="24">
        <f t="shared" si="19"/>
        <v>0</v>
      </c>
      <c r="AU51" s="24">
        <f t="shared" si="20"/>
        <v>1</v>
      </c>
      <c r="AV51" s="24">
        <f t="shared" si="21"/>
        <v>0</v>
      </c>
      <c r="AW51" s="24">
        <f t="shared" si="22"/>
        <v>1</v>
      </c>
      <c r="AX51" s="25">
        <f t="shared" si="72"/>
        <v>0</v>
      </c>
      <c r="AY51" s="25">
        <f t="shared" si="73"/>
        <v>0</v>
      </c>
      <c r="AZ51" s="25">
        <f t="shared" si="74"/>
        <v>0</v>
      </c>
      <c r="BA51" s="25" t="str">
        <f t="shared" si="75"/>
        <v/>
      </c>
      <c r="BB51" s="25" t="str">
        <f t="shared" si="76"/>
        <v/>
      </c>
      <c r="BC51" s="25" t="str">
        <f t="shared" si="77"/>
        <v/>
      </c>
      <c r="BD51" s="25">
        <f>IF(ISERROR(VLOOKUP($K51,割合DB!$A:$B,2,FALSE))=TRUE,0,VLOOKUP($K51,割合DB!$A:$B,2,FALSE))</f>
        <v>0</v>
      </c>
      <c r="BE51" s="25">
        <f>IF(ISERROR(VLOOKUP($L51,割合DB!$A:$B,2,FALSE))=TRUE,0,VLOOKUP($L51,割合DB!$A:$B,2,FALSE))</f>
        <v>0</v>
      </c>
      <c r="BF51" s="25">
        <f>IF(ISERROR(VLOOKUP($M51,割合DB!$A:$B,2,FALSE))=TRUE,0,VLOOKUP($M51,割合DB!$A:$B,2,FALSE))</f>
        <v>0</v>
      </c>
      <c r="BG51" s="25">
        <f t="shared" si="78"/>
        <v>100</v>
      </c>
      <c r="BH51" s="18">
        <f t="shared" si="79"/>
        <v>100</v>
      </c>
      <c r="BI51" s="18">
        <f t="shared" si="33"/>
        <v>1</v>
      </c>
      <c r="BJ51" s="176"/>
      <c r="BK51" s="176"/>
      <c r="BL51" s="176"/>
      <c r="BM51" s="176"/>
      <c r="BN51" s="176"/>
      <c r="BO51" s="176"/>
      <c r="BP51" s="176"/>
      <c r="BQ51" s="176"/>
      <c r="BR51" s="176"/>
      <c r="BS51" s="176"/>
      <c r="BT51" s="176"/>
      <c r="BU51" s="176"/>
      <c r="BV51" s="176"/>
      <c r="BW51" s="176"/>
      <c r="BX51" s="176"/>
      <c r="BY51" s="176"/>
      <c r="BZ51" s="176"/>
      <c r="CA51" s="176"/>
    </row>
    <row r="52" spans="1:79" ht="27" customHeight="1" x14ac:dyDescent="0.15">
      <c r="A52" s="160" t="s">
        <v>544</v>
      </c>
      <c r="B52" s="21"/>
      <c r="C52" s="19"/>
      <c r="D52" s="40" t="str">
        <f t="shared" si="31"/>
        <v/>
      </c>
      <c r="E52" s="19"/>
      <c r="F52" s="26"/>
      <c r="G52" s="21"/>
      <c r="H52" s="22"/>
      <c r="I52" s="22"/>
      <c r="J52" s="22"/>
      <c r="K52" s="23"/>
      <c r="L52" s="23"/>
      <c r="M52" s="23"/>
      <c r="N52" s="146"/>
      <c r="O52" s="40">
        <f t="shared" si="57"/>
        <v>0</v>
      </c>
      <c r="P52" s="183" t="str">
        <f t="shared" si="58"/>
        <v/>
      </c>
      <c r="S52" s="18">
        <f t="shared" si="32"/>
        <v>0</v>
      </c>
      <c r="T52" s="18">
        <f t="shared" si="2"/>
        <v>0</v>
      </c>
      <c r="U52" s="18">
        <f>IF(C52="人工面",0,IF(G52="",0,IF(D52="湿性環境",VLOOKUP(G52,環境タイプⅡによる点数DB!A:B,2,FALSE),IF(D52="樹林",VLOOKUP(G52,環境タイプⅡによる点数DB!A:C,3,FALSE),IF(D52="低木・草地",VLOOKUP(G52,環境タイプⅡによる点数DB!A:D,4,FALSE),0)))))</f>
        <v>0</v>
      </c>
      <c r="V52" s="24" t="str">
        <f>$H52&amp;"in"&amp;基本情報!$C$13</f>
        <v>in</v>
      </c>
      <c r="W52" s="24">
        <f t="shared" si="3"/>
        <v>0</v>
      </c>
      <c r="X52" s="24">
        <f>IF($H52="",0,IF($D52="樹林",IF(ISERROR(VLOOKUP($V52,市町村・植物種ごとの樹林点数DB!$A:$G,7,FALSE))=TRUE,20,VLOOKUP($V52,市町村・植物種ごとの樹林点数DB!$A:$G,7,FALSE)),IF($D52="低木・草地",IF($H52="【ススキ】・【ネザサ】・【チガヤ】",45,10),0)))</f>
        <v>0</v>
      </c>
      <c r="Y52" s="24">
        <f t="shared" si="59"/>
        <v>0</v>
      </c>
      <c r="Z52" s="24">
        <f t="shared" si="60"/>
        <v>1</v>
      </c>
      <c r="AA52" s="24">
        <f t="shared" si="61"/>
        <v>1</v>
      </c>
      <c r="AB52" s="24">
        <f t="shared" si="62"/>
        <v>0</v>
      </c>
      <c r="AC52" s="25">
        <f t="shared" si="63"/>
        <v>0</v>
      </c>
      <c r="AD52" s="25">
        <f t="shared" si="64"/>
        <v>0</v>
      </c>
      <c r="AE52" s="25">
        <f t="shared" si="65"/>
        <v>0</v>
      </c>
      <c r="AF52" s="25" t="str">
        <f t="shared" si="66"/>
        <v/>
      </c>
      <c r="AG52" s="25" t="str">
        <f t="shared" si="67"/>
        <v/>
      </c>
      <c r="AH52" s="25" t="str">
        <f t="shared" si="68"/>
        <v/>
      </c>
      <c r="AI52" s="25">
        <f>IF(ISERROR(VLOOKUP(K52,割合DB!$A:$B,2,FALSE))=TRUE,100,VLOOKUP(K52,割合DB!$A:$B,2,FALSE))</f>
        <v>100</v>
      </c>
      <c r="AJ52" s="25">
        <f>IF(ISERROR(VLOOKUP(L52,割合DB!$A:$B,2,FALSE))=TRUE,100,VLOOKUP(L52,割合DB!$A:$B,2,FALSE))</f>
        <v>100</v>
      </c>
      <c r="AK52" s="25">
        <f>IF(ISERROR(VLOOKUP(M52,割合DB!$A:$B,2,FALSE))=TRUE,100,VLOOKUP(M52,割合DB!$A:$B,2,FALSE))</f>
        <v>100</v>
      </c>
      <c r="AL52" s="25">
        <f t="shared" si="69"/>
        <v>0</v>
      </c>
      <c r="AM52" s="18">
        <f t="shared" si="70"/>
        <v>0</v>
      </c>
      <c r="AN52" s="18">
        <f t="shared" si="71"/>
        <v>0</v>
      </c>
      <c r="AO52" s="18">
        <f t="shared" si="17"/>
        <v>0</v>
      </c>
      <c r="AP52" s="18">
        <f>IF($C52="人工面",0,IF($G52="",70,IF($D52="湿性環境",VLOOKUP($G52,環境タイプⅡによる点数DB!$A:$B,2,FALSE),IF($D52="樹林",VLOOKUP($G52,環境タイプⅡによる点数DB!$A:$C,3,FALSE),IF($D52="低木・草地",VLOOKUP($G52,環境タイプⅡによる点数DB!$A:$D,4,FALSE),0)))))</f>
        <v>70</v>
      </c>
      <c r="AQ52" s="24" t="str">
        <f>$H52&amp;"in"&amp;基本情報!$C$13</f>
        <v>in</v>
      </c>
      <c r="AR52" s="24">
        <f t="shared" si="18"/>
        <v>0</v>
      </c>
      <c r="AS52" s="24">
        <f>IF($H52="",0,IF($D52="樹林",IF(ISERROR(VLOOKUP($V52,市町村・植物種ごとの樹林点数DB!$A:$F,6,FALSE))=TRUE,10,VLOOKUP($V52,市町村・植物種ごとの樹林点数DB!$A:$F,6,FALSE)),IF($D52="低木・草地",IF(OR($H52="【ススキ】・【ネザサ】・【チガヤ】",$H52="不明"),45,10),0)))</f>
        <v>0</v>
      </c>
      <c r="AT52" s="24">
        <f t="shared" si="19"/>
        <v>0</v>
      </c>
      <c r="AU52" s="24">
        <f t="shared" si="20"/>
        <v>1</v>
      </c>
      <c r="AV52" s="24">
        <f t="shared" si="21"/>
        <v>0</v>
      </c>
      <c r="AW52" s="24">
        <f t="shared" si="22"/>
        <v>1</v>
      </c>
      <c r="AX52" s="25">
        <f t="shared" si="72"/>
        <v>0</v>
      </c>
      <c r="AY52" s="25">
        <f t="shared" si="73"/>
        <v>0</v>
      </c>
      <c r="AZ52" s="25">
        <f t="shared" si="74"/>
        <v>0</v>
      </c>
      <c r="BA52" s="25" t="str">
        <f t="shared" si="75"/>
        <v/>
      </c>
      <c r="BB52" s="25" t="str">
        <f t="shared" si="76"/>
        <v/>
      </c>
      <c r="BC52" s="25" t="str">
        <f t="shared" si="77"/>
        <v/>
      </c>
      <c r="BD52" s="25">
        <f>IF(ISERROR(VLOOKUP($K52,割合DB!$A:$B,2,FALSE))=TRUE,0,VLOOKUP($K52,割合DB!$A:$B,2,FALSE))</f>
        <v>0</v>
      </c>
      <c r="BE52" s="25">
        <f>IF(ISERROR(VLOOKUP($L52,割合DB!$A:$B,2,FALSE))=TRUE,0,VLOOKUP($L52,割合DB!$A:$B,2,FALSE))</f>
        <v>0</v>
      </c>
      <c r="BF52" s="25">
        <f>IF(ISERROR(VLOOKUP($M52,割合DB!$A:$B,2,FALSE))=TRUE,0,VLOOKUP($M52,割合DB!$A:$B,2,FALSE))</f>
        <v>0</v>
      </c>
      <c r="BG52" s="25">
        <f t="shared" si="78"/>
        <v>100</v>
      </c>
      <c r="BH52" s="18">
        <f t="shared" si="79"/>
        <v>100</v>
      </c>
      <c r="BI52" s="18">
        <f t="shared" si="33"/>
        <v>1</v>
      </c>
      <c r="BJ52" s="176"/>
      <c r="BK52" s="176"/>
      <c r="BL52" s="176"/>
      <c r="BM52" s="176"/>
      <c r="BN52" s="176"/>
      <c r="BO52" s="176"/>
      <c r="BP52" s="176"/>
      <c r="BQ52" s="176"/>
      <c r="BR52" s="176"/>
      <c r="BS52" s="176"/>
      <c r="BT52" s="176"/>
      <c r="BU52" s="176"/>
      <c r="BV52" s="176"/>
      <c r="BW52" s="176"/>
      <c r="BX52" s="176"/>
      <c r="BY52" s="176"/>
      <c r="BZ52" s="176"/>
      <c r="CA52" s="176"/>
    </row>
    <row r="53" spans="1:79" ht="27" customHeight="1" x14ac:dyDescent="0.15">
      <c r="A53" s="160" t="s">
        <v>545</v>
      </c>
      <c r="B53" s="21"/>
      <c r="C53" s="19"/>
      <c r="D53" s="40" t="str">
        <f t="shared" si="31"/>
        <v/>
      </c>
      <c r="E53" s="19"/>
      <c r="F53" s="26"/>
      <c r="G53" s="21"/>
      <c r="H53" s="22"/>
      <c r="I53" s="22"/>
      <c r="J53" s="22"/>
      <c r="K53" s="23"/>
      <c r="L53" s="23"/>
      <c r="M53" s="23"/>
      <c r="N53" s="146"/>
      <c r="O53" s="40">
        <f t="shared" si="57"/>
        <v>0</v>
      </c>
      <c r="P53" s="183" t="str">
        <f t="shared" si="58"/>
        <v/>
      </c>
      <c r="S53" s="18">
        <f t="shared" si="32"/>
        <v>0</v>
      </c>
      <c r="T53" s="18">
        <f t="shared" si="2"/>
        <v>0</v>
      </c>
      <c r="U53" s="18">
        <f>IF(C53="人工面",0,IF(G53="",0,IF(D53="湿性環境",VLOOKUP(G53,環境タイプⅡによる点数DB!A:B,2,FALSE),IF(D53="樹林",VLOOKUP(G53,環境タイプⅡによる点数DB!A:C,3,FALSE),IF(D53="低木・草地",VLOOKUP(G53,環境タイプⅡによる点数DB!A:D,4,FALSE),0)))))</f>
        <v>0</v>
      </c>
      <c r="V53" s="24" t="str">
        <f>$H53&amp;"in"&amp;基本情報!$C$13</f>
        <v>in</v>
      </c>
      <c r="W53" s="24">
        <f t="shared" si="3"/>
        <v>0</v>
      </c>
      <c r="X53" s="24">
        <f>IF($H53="",0,IF($D53="樹林",IF(ISERROR(VLOOKUP($V53,市町村・植物種ごとの樹林点数DB!$A:$G,7,FALSE))=TRUE,20,VLOOKUP($V53,市町村・植物種ごとの樹林点数DB!$A:$G,7,FALSE)),IF($D53="低木・草地",IF($H53="【ススキ】・【ネザサ】・【チガヤ】",45,10),0)))</f>
        <v>0</v>
      </c>
      <c r="Y53" s="24">
        <f t="shared" si="59"/>
        <v>0</v>
      </c>
      <c r="Z53" s="24">
        <f t="shared" si="60"/>
        <v>1</v>
      </c>
      <c r="AA53" s="24">
        <f t="shared" si="61"/>
        <v>1</v>
      </c>
      <c r="AB53" s="24">
        <f t="shared" si="62"/>
        <v>0</v>
      </c>
      <c r="AC53" s="25">
        <f t="shared" si="63"/>
        <v>0</v>
      </c>
      <c r="AD53" s="25">
        <f t="shared" si="64"/>
        <v>0</v>
      </c>
      <c r="AE53" s="25">
        <f t="shared" si="65"/>
        <v>0</v>
      </c>
      <c r="AF53" s="25" t="str">
        <f t="shared" si="66"/>
        <v/>
      </c>
      <c r="AG53" s="25" t="str">
        <f t="shared" si="67"/>
        <v/>
      </c>
      <c r="AH53" s="25" t="str">
        <f t="shared" si="68"/>
        <v/>
      </c>
      <c r="AI53" s="25">
        <f>IF(ISERROR(VLOOKUP(K53,割合DB!$A:$B,2,FALSE))=TRUE,100,VLOOKUP(K53,割合DB!$A:$B,2,FALSE))</f>
        <v>100</v>
      </c>
      <c r="AJ53" s="25">
        <f>IF(ISERROR(VLOOKUP(L53,割合DB!$A:$B,2,FALSE))=TRUE,100,VLOOKUP(L53,割合DB!$A:$B,2,FALSE))</f>
        <v>100</v>
      </c>
      <c r="AK53" s="25">
        <f>IF(ISERROR(VLOOKUP(M53,割合DB!$A:$B,2,FALSE))=TRUE,100,VLOOKUP(M53,割合DB!$A:$B,2,FALSE))</f>
        <v>100</v>
      </c>
      <c r="AL53" s="25">
        <f t="shared" si="69"/>
        <v>0</v>
      </c>
      <c r="AM53" s="18">
        <f t="shared" si="70"/>
        <v>0</v>
      </c>
      <c r="AN53" s="18">
        <f t="shared" si="71"/>
        <v>0</v>
      </c>
      <c r="AO53" s="18">
        <f t="shared" si="17"/>
        <v>0</v>
      </c>
      <c r="AP53" s="18">
        <f>IF($C53="人工面",0,IF($G53="",70,IF($D53="湿性環境",VLOOKUP($G53,環境タイプⅡによる点数DB!$A:$B,2,FALSE),IF($D53="樹林",VLOOKUP($G53,環境タイプⅡによる点数DB!$A:$C,3,FALSE),IF($D53="低木・草地",VLOOKUP($G53,環境タイプⅡによる点数DB!$A:$D,4,FALSE),0)))))</f>
        <v>70</v>
      </c>
      <c r="AQ53" s="24" t="str">
        <f>$H53&amp;"in"&amp;基本情報!$C$13</f>
        <v>in</v>
      </c>
      <c r="AR53" s="24">
        <f t="shared" si="18"/>
        <v>0</v>
      </c>
      <c r="AS53" s="24">
        <f>IF($H53="",0,IF($D53="樹林",IF(ISERROR(VLOOKUP($V53,市町村・植物種ごとの樹林点数DB!$A:$F,6,FALSE))=TRUE,10,VLOOKUP($V53,市町村・植物種ごとの樹林点数DB!$A:$F,6,FALSE)),IF($D53="低木・草地",IF(OR($H53="【ススキ】・【ネザサ】・【チガヤ】",$H53="不明"),45,10),0)))</f>
        <v>0</v>
      </c>
      <c r="AT53" s="24">
        <f t="shared" si="19"/>
        <v>0</v>
      </c>
      <c r="AU53" s="24">
        <f t="shared" si="20"/>
        <v>1</v>
      </c>
      <c r="AV53" s="24">
        <f t="shared" si="21"/>
        <v>0</v>
      </c>
      <c r="AW53" s="24">
        <f t="shared" si="22"/>
        <v>1</v>
      </c>
      <c r="AX53" s="25">
        <f t="shared" si="72"/>
        <v>0</v>
      </c>
      <c r="AY53" s="25">
        <f t="shared" si="73"/>
        <v>0</v>
      </c>
      <c r="AZ53" s="25">
        <f t="shared" si="74"/>
        <v>0</v>
      </c>
      <c r="BA53" s="25" t="str">
        <f t="shared" si="75"/>
        <v/>
      </c>
      <c r="BB53" s="25" t="str">
        <f t="shared" si="76"/>
        <v/>
      </c>
      <c r="BC53" s="25" t="str">
        <f t="shared" si="77"/>
        <v/>
      </c>
      <c r="BD53" s="25">
        <f>IF(ISERROR(VLOOKUP($K53,割合DB!$A:$B,2,FALSE))=TRUE,0,VLOOKUP($K53,割合DB!$A:$B,2,FALSE))</f>
        <v>0</v>
      </c>
      <c r="BE53" s="25">
        <f>IF(ISERROR(VLOOKUP($L53,割合DB!$A:$B,2,FALSE))=TRUE,0,VLOOKUP($L53,割合DB!$A:$B,2,FALSE))</f>
        <v>0</v>
      </c>
      <c r="BF53" s="25">
        <f>IF(ISERROR(VLOOKUP($M53,割合DB!$A:$B,2,FALSE))=TRUE,0,VLOOKUP($M53,割合DB!$A:$B,2,FALSE))</f>
        <v>0</v>
      </c>
      <c r="BG53" s="25">
        <f t="shared" si="78"/>
        <v>100</v>
      </c>
      <c r="BH53" s="18">
        <f t="shared" si="79"/>
        <v>100</v>
      </c>
      <c r="BI53" s="18">
        <f t="shared" si="33"/>
        <v>1</v>
      </c>
      <c r="BJ53" s="176"/>
      <c r="BK53" s="176"/>
      <c r="BL53" s="176"/>
      <c r="BM53" s="176"/>
      <c r="BN53" s="176"/>
      <c r="BO53" s="176"/>
      <c r="BP53" s="176"/>
      <c r="BQ53" s="176"/>
      <c r="BR53" s="176"/>
      <c r="BS53" s="176"/>
      <c r="BT53" s="176"/>
      <c r="BU53" s="176"/>
      <c r="BV53" s="176"/>
      <c r="BW53" s="176"/>
      <c r="BX53" s="176"/>
      <c r="BY53" s="176"/>
      <c r="BZ53" s="176"/>
      <c r="CA53" s="176"/>
    </row>
    <row r="54" spans="1:79" ht="27" customHeight="1" x14ac:dyDescent="0.15">
      <c r="A54" s="160" t="s">
        <v>546</v>
      </c>
      <c r="B54" s="21"/>
      <c r="C54" s="19"/>
      <c r="D54" s="40" t="str">
        <f t="shared" si="31"/>
        <v/>
      </c>
      <c r="E54" s="19"/>
      <c r="F54" s="26"/>
      <c r="G54" s="21"/>
      <c r="H54" s="22"/>
      <c r="I54" s="22"/>
      <c r="J54" s="22"/>
      <c r="K54" s="23"/>
      <c r="L54" s="23"/>
      <c r="M54" s="23"/>
      <c r="N54" s="146"/>
      <c r="O54" s="40">
        <f t="shared" si="57"/>
        <v>0</v>
      </c>
      <c r="P54" s="183" t="str">
        <f t="shared" si="58"/>
        <v/>
      </c>
      <c r="S54" s="18">
        <f t="shared" si="32"/>
        <v>0</v>
      </c>
      <c r="T54" s="18">
        <f t="shared" si="2"/>
        <v>0</v>
      </c>
      <c r="U54" s="18">
        <f>IF(C54="人工面",0,IF(G54="",0,IF(D54="湿性環境",VLOOKUP(G54,環境タイプⅡによる点数DB!A:B,2,FALSE),IF(D54="樹林",VLOOKUP(G54,環境タイプⅡによる点数DB!A:C,3,FALSE),IF(D54="低木・草地",VLOOKUP(G54,環境タイプⅡによる点数DB!A:D,4,FALSE),0)))))</f>
        <v>0</v>
      </c>
      <c r="V54" s="24" t="str">
        <f>$H54&amp;"in"&amp;基本情報!$C$13</f>
        <v>in</v>
      </c>
      <c r="W54" s="24">
        <f t="shared" si="3"/>
        <v>0</v>
      </c>
      <c r="X54" s="24">
        <f>IF($H54="",0,IF($D54="樹林",IF(ISERROR(VLOOKUP($V54,市町村・植物種ごとの樹林点数DB!$A:$G,7,FALSE))=TRUE,20,VLOOKUP($V54,市町村・植物種ごとの樹林点数DB!$A:$G,7,FALSE)),IF($D54="低木・草地",IF($H54="【ススキ】・【ネザサ】・【チガヤ】",45,10),0)))</f>
        <v>0</v>
      </c>
      <c r="Y54" s="24">
        <f t="shared" si="59"/>
        <v>0</v>
      </c>
      <c r="Z54" s="24">
        <f t="shared" si="60"/>
        <v>1</v>
      </c>
      <c r="AA54" s="24">
        <f t="shared" si="61"/>
        <v>1</v>
      </c>
      <c r="AB54" s="24">
        <f t="shared" si="62"/>
        <v>0</v>
      </c>
      <c r="AC54" s="25">
        <f t="shared" si="63"/>
        <v>0</v>
      </c>
      <c r="AD54" s="25">
        <f t="shared" si="64"/>
        <v>0</v>
      </c>
      <c r="AE54" s="25">
        <f t="shared" si="65"/>
        <v>0</v>
      </c>
      <c r="AF54" s="25" t="str">
        <f t="shared" si="66"/>
        <v/>
      </c>
      <c r="AG54" s="25" t="str">
        <f t="shared" si="67"/>
        <v/>
      </c>
      <c r="AH54" s="25" t="str">
        <f t="shared" si="68"/>
        <v/>
      </c>
      <c r="AI54" s="25">
        <f>IF(ISERROR(VLOOKUP(K54,割合DB!$A:$B,2,FALSE))=TRUE,100,VLOOKUP(K54,割合DB!$A:$B,2,FALSE))</f>
        <v>100</v>
      </c>
      <c r="AJ54" s="25">
        <f>IF(ISERROR(VLOOKUP(L54,割合DB!$A:$B,2,FALSE))=TRUE,100,VLOOKUP(L54,割合DB!$A:$B,2,FALSE))</f>
        <v>100</v>
      </c>
      <c r="AK54" s="25">
        <f>IF(ISERROR(VLOOKUP(M54,割合DB!$A:$B,2,FALSE))=TRUE,100,VLOOKUP(M54,割合DB!$A:$B,2,FALSE))</f>
        <v>100</v>
      </c>
      <c r="AL54" s="25">
        <f t="shared" si="69"/>
        <v>0</v>
      </c>
      <c r="AM54" s="18">
        <f t="shared" si="70"/>
        <v>0</v>
      </c>
      <c r="AN54" s="18">
        <f t="shared" si="71"/>
        <v>0</v>
      </c>
      <c r="AO54" s="18">
        <f t="shared" si="17"/>
        <v>0</v>
      </c>
      <c r="AP54" s="18">
        <f>IF($C54="人工面",0,IF($G54="",70,IF($D54="湿性環境",VLOOKUP($G54,環境タイプⅡによる点数DB!$A:$B,2,FALSE),IF($D54="樹林",VLOOKUP($G54,環境タイプⅡによる点数DB!$A:$C,3,FALSE),IF($D54="低木・草地",VLOOKUP($G54,環境タイプⅡによる点数DB!$A:$D,4,FALSE),0)))))</f>
        <v>70</v>
      </c>
      <c r="AQ54" s="24" t="str">
        <f>$H54&amp;"in"&amp;基本情報!$C$13</f>
        <v>in</v>
      </c>
      <c r="AR54" s="24">
        <f t="shared" si="18"/>
        <v>0</v>
      </c>
      <c r="AS54" s="24">
        <f>IF($H54="",0,IF($D54="樹林",IF(ISERROR(VLOOKUP($V54,市町村・植物種ごとの樹林点数DB!$A:$F,6,FALSE))=TRUE,10,VLOOKUP($V54,市町村・植物種ごとの樹林点数DB!$A:$F,6,FALSE)),IF($D54="低木・草地",IF(OR($H54="【ススキ】・【ネザサ】・【チガヤ】",$H54="不明"),45,10),0)))</f>
        <v>0</v>
      </c>
      <c r="AT54" s="24">
        <f t="shared" si="19"/>
        <v>0</v>
      </c>
      <c r="AU54" s="24">
        <f t="shared" si="20"/>
        <v>1</v>
      </c>
      <c r="AV54" s="24">
        <f t="shared" si="21"/>
        <v>0</v>
      </c>
      <c r="AW54" s="24">
        <f t="shared" si="22"/>
        <v>1</v>
      </c>
      <c r="AX54" s="25">
        <f t="shared" si="72"/>
        <v>0</v>
      </c>
      <c r="AY54" s="25">
        <f t="shared" si="73"/>
        <v>0</v>
      </c>
      <c r="AZ54" s="25">
        <f t="shared" si="74"/>
        <v>0</v>
      </c>
      <c r="BA54" s="25" t="str">
        <f t="shared" si="75"/>
        <v/>
      </c>
      <c r="BB54" s="25" t="str">
        <f t="shared" si="76"/>
        <v/>
      </c>
      <c r="BC54" s="25" t="str">
        <f t="shared" si="77"/>
        <v/>
      </c>
      <c r="BD54" s="25">
        <f>IF(ISERROR(VLOOKUP($K54,割合DB!$A:$B,2,FALSE))=TRUE,0,VLOOKUP($K54,割合DB!$A:$B,2,FALSE))</f>
        <v>0</v>
      </c>
      <c r="BE54" s="25">
        <f>IF(ISERROR(VLOOKUP($L54,割合DB!$A:$B,2,FALSE))=TRUE,0,VLOOKUP($L54,割合DB!$A:$B,2,FALSE))</f>
        <v>0</v>
      </c>
      <c r="BF54" s="25">
        <f>IF(ISERROR(VLOOKUP($M54,割合DB!$A:$B,2,FALSE))=TRUE,0,VLOOKUP($M54,割合DB!$A:$B,2,FALSE))</f>
        <v>0</v>
      </c>
      <c r="BG54" s="25">
        <f t="shared" si="78"/>
        <v>100</v>
      </c>
      <c r="BH54" s="18">
        <f t="shared" si="79"/>
        <v>100</v>
      </c>
      <c r="BI54" s="18">
        <f t="shared" si="33"/>
        <v>1</v>
      </c>
      <c r="BJ54" s="176"/>
      <c r="BK54" s="176"/>
      <c r="BL54" s="176"/>
      <c r="BM54" s="176"/>
      <c r="BN54" s="176"/>
      <c r="BO54" s="176"/>
      <c r="BP54" s="176"/>
      <c r="BQ54" s="176"/>
      <c r="BR54" s="176"/>
      <c r="BS54" s="176"/>
      <c r="BT54" s="176"/>
      <c r="BU54" s="176"/>
      <c r="BV54" s="176"/>
      <c r="BW54" s="176"/>
      <c r="BX54" s="176"/>
      <c r="BY54" s="176"/>
      <c r="BZ54" s="176"/>
      <c r="CA54" s="176"/>
    </row>
    <row r="55" spans="1:79" ht="27" customHeight="1" x14ac:dyDescent="0.15">
      <c r="A55" s="160" t="s">
        <v>547</v>
      </c>
      <c r="B55" s="21"/>
      <c r="C55" s="19"/>
      <c r="D55" s="40" t="str">
        <f t="shared" si="31"/>
        <v/>
      </c>
      <c r="E55" s="19"/>
      <c r="F55" s="26"/>
      <c r="G55" s="21"/>
      <c r="H55" s="22"/>
      <c r="I55" s="22"/>
      <c r="J55" s="22"/>
      <c r="K55" s="23"/>
      <c r="L55" s="23"/>
      <c r="M55" s="23"/>
      <c r="N55" s="146"/>
      <c r="O55" s="40">
        <f t="shared" si="57"/>
        <v>0</v>
      </c>
      <c r="P55" s="183" t="str">
        <f t="shared" si="58"/>
        <v/>
      </c>
      <c r="S55" s="18">
        <f t="shared" si="32"/>
        <v>0</v>
      </c>
      <c r="T55" s="18">
        <f t="shared" si="2"/>
        <v>0</v>
      </c>
      <c r="U55" s="18">
        <f>IF(C55="人工面",0,IF(G55="",0,IF(D55="湿性環境",VLOOKUP(G55,環境タイプⅡによる点数DB!A:B,2,FALSE),IF(D55="樹林",VLOOKUP(G55,環境タイプⅡによる点数DB!A:C,3,FALSE),IF(D55="低木・草地",VLOOKUP(G55,環境タイプⅡによる点数DB!A:D,4,FALSE),0)))))</f>
        <v>0</v>
      </c>
      <c r="V55" s="24" t="str">
        <f>$H55&amp;"in"&amp;基本情報!$C$13</f>
        <v>in</v>
      </c>
      <c r="W55" s="24">
        <f t="shared" si="3"/>
        <v>0</v>
      </c>
      <c r="X55" s="24">
        <f>IF($H55="",0,IF($D55="樹林",IF(ISERROR(VLOOKUP($V55,市町村・植物種ごとの樹林点数DB!$A:$G,7,FALSE))=TRUE,20,VLOOKUP($V55,市町村・植物種ごとの樹林点数DB!$A:$G,7,FALSE)),IF($D55="低木・草地",IF($H55="【ススキ】・【ネザサ】・【チガヤ】",45,10),0)))</f>
        <v>0</v>
      </c>
      <c r="Y55" s="24">
        <f t="shared" si="59"/>
        <v>0</v>
      </c>
      <c r="Z55" s="24">
        <f t="shared" si="60"/>
        <v>1</v>
      </c>
      <c r="AA55" s="24">
        <f t="shared" si="61"/>
        <v>1</v>
      </c>
      <c r="AB55" s="24">
        <f t="shared" si="62"/>
        <v>0</v>
      </c>
      <c r="AC55" s="25">
        <f t="shared" si="63"/>
        <v>0</v>
      </c>
      <c r="AD55" s="25">
        <f t="shared" si="64"/>
        <v>0</v>
      </c>
      <c r="AE55" s="25">
        <f t="shared" si="65"/>
        <v>0</v>
      </c>
      <c r="AF55" s="25" t="str">
        <f t="shared" si="66"/>
        <v/>
      </c>
      <c r="AG55" s="25" t="str">
        <f t="shared" si="67"/>
        <v/>
      </c>
      <c r="AH55" s="25" t="str">
        <f t="shared" si="68"/>
        <v/>
      </c>
      <c r="AI55" s="25">
        <f>IF(ISERROR(VLOOKUP(K55,割合DB!$A:$B,2,FALSE))=TRUE,100,VLOOKUP(K55,割合DB!$A:$B,2,FALSE))</f>
        <v>100</v>
      </c>
      <c r="AJ55" s="25">
        <f>IF(ISERROR(VLOOKUP(L55,割合DB!$A:$B,2,FALSE))=TRUE,100,VLOOKUP(L55,割合DB!$A:$B,2,FALSE))</f>
        <v>100</v>
      </c>
      <c r="AK55" s="25">
        <f>IF(ISERROR(VLOOKUP(M55,割合DB!$A:$B,2,FALSE))=TRUE,100,VLOOKUP(M55,割合DB!$A:$B,2,FALSE))</f>
        <v>100</v>
      </c>
      <c r="AL55" s="25">
        <f t="shared" si="69"/>
        <v>0</v>
      </c>
      <c r="AM55" s="18">
        <f t="shared" si="70"/>
        <v>0</v>
      </c>
      <c r="AN55" s="18">
        <f t="shared" si="71"/>
        <v>0</v>
      </c>
      <c r="AO55" s="18">
        <f t="shared" si="17"/>
        <v>0</v>
      </c>
      <c r="AP55" s="18">
        <f>IF($C55="人工面",0,IF($G55="",70,IF($D55="湿性環境",VLOOKUP($G55,環境タイプⅡによる点数DB!$A:$B,2,FALSE),IF($D55="樹林",VLOOKUP($G55,環境タイプⅡによる点数DB!$A:$C,3,FALSE),IF($D55="低木・草地",VLOOKUP($G55,環境タイプⅡによる点数DB!$A:$D,4,FALSE),0)))))</f>
        <v>70</v>
      </c>
      <c r="AQ55" s="24" t="str">
        <f>$H55&amp;"in"&amp;基本情報!$C$13</f>
        <v>in</v>
      </c>
      <c r="AR55" s="24">
        <f t="shared" si="18"/>
        <v>0</v>
      </c>
      <c r="AS55" s="24">
        <f>IF($H55="",0,IF($D55="樹林",IF(ISERROR(VLOOKUP($V55,市町村・植物種ごとの樹林点数DB!$A:$F,6,FALSE))=TRUE,10,VLOOKUP($V55,市町村・植物種ごとの樹林点数DB!$A:$F,6,FALSE)),IF($D55="低木・草地",IF(OR($H55="【ススキ】・【ネザサ】・【チガヤ】",$H55="不明"),45,10),0)))</f>
        <v>0</v>
      </c>
      <c r="AT55" s="24">
        <f t="shared" si="19"/>
        <v>0</v>
      </c>
      <c r="AU55" s="24">
        <f t="shared" si="20"/>
        <v>1</v>
      </c>
      <c r="AV55" s="24">
        <f t="shared" si="21"/>
        <v>0</v>
      </c>
      <c r="AW55" s="24">
        <f t="shared" si="22"/>
        <v>1</v>
      </c>
      <c r="AX55" s="25">
        <f t="shared" si="72"/>
        <v>0</v>
      </c>
      <c r="AY55" s="25">
        <f t="shared" si="73"/>
        <v>0</v>
      </c>
      <c r="AZ55" s="25">
        <f t="shared" si="74"/>
        <v>0</v>
      </c>
      <c r="BA55" s="25" t="str">
        <f t="shared" si="75"/>
        <v/>
      </c>
      <c r="BB55" s="25" t="str">
        <f t="shared" si="76"/>
        <v/>
      </c>
      <c r="BC55" s="25" t="str">
        <f t="shared" si="77"/>
        <v/>
      </c>
      <c r="BD55" s="25">
        <f>IF(ISERROR(VLOOKUP($K55,割合DB!$A:$B,2,FALSE))=TRUE,0,VLOOKUP($K55,割合DB!$A:$B,2,FALSE))</f>
        <v>0</v>
      </c>
      <c r="BE55" s="25">
        <f>IF(ISERROR(VLOOKUP($L55,割合DB!$A:$B,2,FALSE))=TRUE,0,VLOOKUP($L55,割合DB!$A:$B,2,FALSE))</f>
        <v>0</v>
      </c>
      <c r="BF55" s="25">
        <f>IF(ISERROR(VLOOKUP($M55,割合DB!$A:$B,2,FALSE))=TRUE,0,VLOOKUP($M55,割合DB!$A:$B,2,FALSE))</f>
        <v>0</v>
      </c>
      <c r="BG55" s="25">
        <f t="shared" si="78"/>
        <v>100</v>
      </c>
      <c r="BH55" s="18">
        <f t="shared" si="79"/>
        <v>100</v>
      </c>
      <c r="BI55" s="18">
        <f t="shared" si="33"/>
        <v>1</v>
      </c>
      <c r="BJ55" s="176"/>
      <c r="BK55" s="176"/>
      <c r="BL55" s="176"/>
      <c r="BM55" s="176"/>
      <c r="BN55" s="176"/>
      <c r="BO55" s="176"/>
      <c r="BP55" s="176"/>
      <c r="BQ55" s="176"/>
      <c r="BR55" s="176"/>
      <c r="BS55" s="176"/>
      <c r="BT55" s="176"/>
      <c r="BU55" s="176"/>
      <c r="BV55" s="176"/>
      <c r="BW55" s="176"/>
      <c r="BX55" s="176"/>
      <c r="BY55" s="176"/>
      <c r="BZ55" s="176"/>
      <c r="CA55" s="176"/>
    </row>
    <row r="56" spans="1:79" ht="27" customHeight="1" x14ac:dyDescent="0.15">
      <c r="A56" s="160" t="s">
        <v>548</v>
      </c>
      <c r="B56" s="21"/>
      <c r="C56" s="19"/>
      <c r="D56" s="40" t="str">
        <f t="shared" si="31"/>
        <v/>
      </c>
      <c r="E56" s="19"/>
      <c r="F56" s="26"/>
      <c r="G56" s="21"/>
      <c r="H56" s="22"/>
      <c r="I56" s="22"/>
      <c r="J56" s="22"/>
      <c r="K56" s="23"/>
      <c r="L56" s="23"/>
      <c r="M56" s="23"/>
      <c r="N56" s="146"/>
      <c r="O56" s="40">
        <f t="shared" si="57"/>
        <v>0</v>
      </c>
      <c r="P56" s="183" t="str">
        <f t="shared" si="58"/>
        <v/>
      </c>
      <c r="S56" s="18">
        <f t="shared" si="32"/>
        <v>0</v>
      </c>
      <c r="T56" s="18">
        <f t="shared" si="2"/>
        <v>0</v>
      </c>
      <c r="U56" s="18">
        <f>IF(C56="人工面",0,IF(G56="",0,IF(D56="湿性環境",VLOOKUP(G56,環境タイプⅡによる点数DB!A:B,2,FALSE),IF(D56="樹林",VLOOKUP(G56,環境タイプⅡによる点数DB!A:C,3,FALSE),IF(D56="低木・草地",VLOOKUP(G56,環境タイプⅡによる点数DB!A:D,4,FALSE),0)))))</f>
        <v>0</v>
      </c>
      <c r="V56" s="24" t="str">
        <f>$H56&amp;"in"&amp;基本情報!$C$13</f>
        <v>in</v>
      </c>
      <c r="W56" s="24">
        <f t="shared" si="3"/>
        <v>0</v>
      </c>
      <c r="X56" s="24">
        <f>IF($H56="",0,IF($D56="樹林",IF(ISERROR(VLOOKUP($V56,市町村・植物種ごとの樹林点数DB!$A:$G,7,FALSE))=TRUE,20,VLOOKUP($V56,市町村・植物種ごとの樹林点数DB!$A:$G,7,FALSE)),IF($D56="低木・草地",IF($H56="【ススキ】・【ネザサ】・【チガヤ】",45,10),0)))</f>
        <v>0</v>
      </c>
      <c r="Y56" s="24">
        <f t="shared" si="59"/>
        <v>0</v>
      </c>
      <c r="Z56" s="24">
        <f t="shared" si="60"/>
        <v>1</v>
      </c>
      <c r="AA56" s="24">
        <f t="shared" si="61"/>
        <v>1</v>
      </c>
      <c r="AB56" s="24">
        <f t="shared" si="62"/>
        <v>0</v>
      </c>
      <c r="AC56" s="25">
        <f t="shared" si="63"/>
        <v>0</v>
      </c>
      <c r="AD56" s="25">
        <f t="shared" si="64"/>
        <v>0</v>
      </c>
      <c r="AE56" s="25">
        <f t="shared" si="65"/>
        <v>0</v>
      </c>
      <c r="AF56" s="25" t="str">
        <f t="shared" si="66"/>
        <v/>
      </c>
      <c r="AG56" s="25" t="str">
        <f t="shared" si="67"/>
        <v/>
      </c>
      <c r="AH56" s="25" t="str">
        <f t="shared" si="68"/>
        <v/>
      </c>
      <c r="AI56" s="25">
        <f>IF(ISERROR(VLOOKUP(K56,割合DB!$A:$B,2,FALSE))=TRUE,100,VLOOKUP(K56,割合DB!$A:$B,2,FALSE))</f>
        <v>100</v>
      </c>
      <c r="AJ56" s="25">
        <f>IF(ISERROR(VLOOKUP(L56,割合DB!$A:$B,2,FALSE))=TRUE,100,VLOOKUP(L56,割合DB!$A:$B,2,FALSE))</f>
        <v>100</v>
      </c>
      <c r="AK56" s="25">
        <f>IF(ISERROR(VLOOKUP(M56,割合DB!$A:$B,2,FALSE))=TRUE,100,VLOOKUP(M56,割合DB!$A:$B,2,FALSE))</f>
        <v>100</v>
      </c>
      <c r="AL56" s="25">
        <f t="shared" si="69"/>
        <v>0</v>
      </c>
      <c r="AM56" s="18">
        <f t="shared" si="70"/>
        <v>0</v>
      </c>
      <c r="AN56" s="18">
        <f t="shared" si="71"/>
        <v>0</v>
      </c>
      <c r="AO56" s="18">
        <f t="shared" si="17"/>
        <v>0</v>
      </c>
      <c r="AP56" s="18">
        <f>IF($C56="人工面",0,IF($G56="",70,IF($D56="湿性環境",VLOOKUP($G56,環境タイプⅡによる点数DB!$A:$B,2,FALSE),IF($D56="樹林",VLOOKUP($G56,環境タイプⅡによる点数DB!$A:$C,3,FALSE),IF($D56="低木・草地",VLOOKUP($G56,環境タイプⅡによる点数DB!$A:$D,4,FALSE),0)))))</f>
        <v>70</v>
      </c>
      <c r="AQ56" s="24" t="str">
        <f>$H56&amp;"in"&amp;基本情報!$C$13</f>
        <v>in</v>
      </c>
      <c r="AR56" s="24">
        <f t="shared" si="18"/>
        <v>0</v>
      </c>
      <c r="AS56" s="24">
        <f>IF($H56="",0,IF($D56="樹林",IF(ISERROR(VLOOKUP($V56,市町村・植物種ごとの樹林点数DB!$A:$F,6,FALSE))=TRUE,10,VLOOKUP($V56,市町村・植物種ごとの樹林点数DB!$A:$F,6,FALSE)),IF($D56="低木・草地",IF(OR($H56="【ススキ】・【ネザサ】・【チガヤ】",$H56="不明"),45,10),0)))</f>
        <v>0</v>
      </c>
      <c r="AT56" s="24">
        <f t="shared" si="19"/>
        <v>0</v>
      </c>
      <c r="AU56" s="24">
        <f t="shared" si="20"/>
        <v>1</v>
      </c>
      <c r="AV56" s="24">
        <f t="shared" si="21"/>
        <v>0</v>
      </c>
      <c r="AW56" s="24">
        <f t="shared" si="22"/>
        <v>1</v>
      </c>
      <c r="AX56" s="25">
        <f t="shared" si="72"/>
        <v>0</v>
      </c>
      <c r="AY56" s="25">
        <f t="shared" si="73"/>
        <v>0</v>
      </c>
      <c r="AZ56" s="25">
        <f t="shared" si="74"/>
        <v>0</v>
      </c>
      <c r="BA56" s="25" t="str">
        <f t="shared" si="75"/>
        <v/>
      </c>
      <c r="BB56" s="25" t="str">
        <f t="shared" si="76"/>
        <v/>
      </c>
      <c r="BC56" s="25" t="str">
        <f t="shared" si="77"/>
        <v/>
      </c>
      <c r="BD56" s="25">
        <f>IF(ISERROR(VLOOKUP($K56,割合DB!$A:$B,2,FALSE))=TRUE,0,VLOOKUP($K56,割合DB!$A:$B,2,FALSE))</f>
        <v>0</v>
      </c>
      <c r="BE56" s="25">
        <f>IF(ISERROR(VLOOKUP($L56,割合DB!$A:$B,2,FALSE))=TRUE,0,VLOOKUP($L56,割合DB!$A:$B,2,FALSE))</f>
        <v>0</v>
      </c>
      <c r="BF56" s="25">
        <f>IF(ISERROR(VLOOKUP($M56,割合DB!$A:$B,2,FALSE))=TRUE,0,VLOOKUP($M56,割合DB!$A:$B,2,FALSE))</f>
        <v>0</v>
      </c>
      <c r="BG56" s="25">
        <f t="shared" si="78"/>
        <v>100</v>
      </c>
      <c r="BH56" s="18">
        <f t="shared" si="79"/>
        <v>100</v>
      </c>
      <c r="BI56" s="18">
        <f t="shared" si="33"/>
        <v>1</v>
      </c>
      <c r="BJ56" s="176"/>
      <c r="BK56" s="176"/>
      <c r="BL56" s="176"/>
      <c r="BM56" s="176"/>
      <c r="BN56" s="176"/>
      <c r="BO56" s="176"/>
      <c r="BP56" s="176"/>
      <c r="BQ56" s="176"/>
      <c r="BR56" s="176"/>
      <c r="BS56" s="176"/>
      <c r="BT56" s="176"/>
      <c r="BU56" s="176"/>
      <c r="BV56" s="176"/>
      <c r="BW56" s="176"/>
      <c r="BX56" s="176"/>
      <c r="BY56" s="176"/>
      <c r="BZ56" s="176"/>
      <c r="CA56" s="176"/>
    </row>
    <row r="57" spans="1:79" ht="27" customHeight="1" x14ac:dyDescent="0.15">
      <c r="A57" s="160" t="s">
        <v>549</v>
      </c>
      <c r="B57" s="21"/>
      <c r="C57" s="19"/>
      <c r="D57" s="40" t="str">
        <f t="shared" si="31"/>
        <v/>
      </c>
      <c r="E57" s="19"/>
      <c r="F57" s="26"/>
      <c r="G57" s="21"/>
      <c r="H57" s="22"/>
      <c r="I57" s="22"/>
      <c r="J57" s="22"/>
      <c r="K57" s="23"/>
      <c r="L57" s="23"/>
      <c r="M57" s="23"/>
      <c r="N57" s="146"/>
      <c r="O57" s="40">
        <f t="shared" si="57"/>
        <v>0</v>
      </c>
      <c r="P57" s="183" t="str">
        <f t="shared" si="58"/>
        <v/>
      </c>
      <c r="S57" s="18">
        <f t="shared" si="32"/>
        <v>0</v>
      </c>
      <c r="T57" s="18">
        <f t="shared" si="2"/>
        <v>0</v>
      </c>
      <c r="U57" s="18">
        <f>IF(C57="人工面",0,IF(G57="",0,IF(D57="湿性環境",VLOOKUP(G57,環境タイプⅡによる点数DB!A:B,2,FALSE),IF(D57="樹林",VLOOKUP(G57,環境タイプⅡによる点数DB!A:C,3,FALSE),IF(D57="低木・草地",VLOOKUP(G57,環境タイプⅡによる点数DB!A:D,4,FALSE),0)))))</f>
        <v>0</v>
      </c>
      <c r="V57" s="24" t="str">
        <f>$H57&amp;"in"&amp;基本情報!$C$13</f>
        <v>in</v>
      </c>
      <c r="W57" s="24">
        <f t="shared" si="3"/>
        <v>0</v>
      </c>
      <c r="X57" s="24">
        <f>IF($H57="",0,IF($D57="樹林",IF(ISERROR(VLOOKUP($V57,市町村・植物種ごとの樹林点数DB!$A:$G,7,FALSE))=TRUE,20,VLOOKUP($V57,市町村・植物種ごとの樹林点数DB!$A:$G,7,FALSE)),IF($D57="低木・草地",IF($H57="【ススキ】・【ネザサ】・【チガヤ】",45,10),0)))</f>
        <v>0</v>
      </c>
      <c r="Y57" s="24">
        <f t="shared" si="59"/>
        <v>0</v>
      </c>
      <c r="Z57" s="24">
        <f t="shared" si="60"/>
        <v>1</v>
      </c>
      <c r="AA57" s="24">
        <f t="shared" si="61"/>
        <v>1</v>
      </c>
      <c r="AB57" s="24">
        <f t="shared" si="62"/>
        <v>0</v>
      </c>
      <c r="AC57" s="25">
        <f t="shared" si="63"/>
        <v>0</v>
      </c>
      <c r="AD57" s="25">
        <f t="shared" si="64"/>
        <v>0</v>
      </c>
      <c r="AE57" s="25">
        <f t="shared" si="65"/>
        <v>0</v>
      </c>
      <c r="AF57" s="25" t="str">
        <f t="shared" si="66"/>
        <v/>
      </c>
      <c r="AG57" s="25" t="str">
        <f t="shared" si="67"/>
        <v/>
      </c>
      <c r="AH57" s="25" t="str">
        <f t="shared" si="68"/>
        <v/>
      </c>
      <c r="AI57" s="25">
        <f>IF(ISERROR(VLOOKUP(K57,割合DB!$A:$B,2,FALSE))=TRUE,100,VLOOKUP(K57,割合DB!$A:$B,2,FALSE))</f>
        <v>100</v>
      </c>
      <c r="AJ57" s="25">
        <f>IF(ISERROR(VLOOKUP(L57,割合DB!$A:$B,2,FALSE))=TRUE,100,VLOOKUP(L57,割合DB!$A:$B,2,FALSE))</f>
        <v>100</v>
      </c>
      <c r="AK57" s="25">
        <f>IF(ISERROR(VLOOKUP(M57,割合DB!$A:$B,2,FALSE))=TRUE,100,VLOOKUP(M57,割合DB!$A:$B,2,FALSE))</f>
        <v>100</v>
      </c>
      <c r="AL57" s="25">
        <f t="shared" si="69"/>
        <v>0</v>
      </c>
      <c r="AM57" s="18">
        <f t="shared" si="70"/>
        <v>0</v>
      </c>
      <c r="AN57" s="18">
        <f t="shared" si="71"/>
        <v>0</v>
      </c>
      <c r="AO57" s="18">
        <f t="shared" si="17"/>
        <v>0</v>
      </c>
      <c r="AP57" s="18">
        <f>IF($C57="人工面",0,IF($G57="",70,IF($D57="湿性環境",VLOOKUP($G57,環境タイプⅡによる点数DB!$A:$B,2,FALSE),IF($D57="樹林",VLOOKUP($G57,環境タイプⅡによる点数DB!$A:$C,3,FALSE),IF($D57="低木・草地",VLOOKUP($G57,環境タイプⅡによる点数DB!$A:$D,4,FALSE),0)))))</f>
        <v>70</v>
      </c>
      <c r="AQ57" s="24" t="str">
        <f>$H57&amp;"in"&amp;基本情報!$C$13</f>
        <v>in</v>
      </c>
      <c r="AR57" s="24">
        <f t="shared" si="18"/>
        <v>0</v>
      </c>
      <c r="AS57" s="24">
        <f>IF($H57="",0,IF($D57="樹林",IF(ISERROR(VLOOKUP($V57,市町村・植物種ごとの樹林点数DB!$A:$F,6,FALSE))=TRUE,10,VLOOKUP($V57,市町村・植物種ごとの樹林点数DB!$A:$F,6,FALSE)),IF($D57="低木・草地",IF(OR($H57="【ススキ】・【ネザサ】・【チガヤ】",$H57="不明"),45,10),0)))</f>
        <v>0</v>
      </c>
      <c r="AT57" s="24">
        <f t="shared" si="19"/>
        <v>0</v>
      </c>
      <c r="AU57" s="24">
        <f t="shared" si="20"/>
        <v>1</v>
      </c>
      <c r="AV57" s="24">
        <f t="shared" si="21"/>
        <v>0</v>
      </c>
      <c r="AW57" s="24">
        <f t="shared" si="22"/>
        <v>1</v>
      </c>
      <c r="AX57" s="25">
        <f t="shared" si="72"/>
        <v>0</v>
      </c>
      <c r="AY57" s="25">
        <f t="shared" si="73"/>
        <v>0</v>
      </c>
      <c r="AZ57" s="25">
        <f t="shared" si="74"/>
        <v>0</v>
      </c>
      <c r="BA57" s="25" t="str">
        <f t="shared" si="75"/>
        <v/>
      </c>
      <c r="BB57" s="25" t="str">
        <f t="shared" si="76"/>
        <v/>
      </c>
      <c r="BC57" s="25" t="str">
        <f t="shared" si="77"/>
        <v/>
      </c>
      <c r="BD57" s="25">
        <f>IF(ISERROR(VLOOKUP($K57,割合DB!$A:$B,2,FALSE))=TRUE,0,VLOOKUP($K57,割合DB!$A:$B,2,FALSE))</f>
        <v>0</v>
      </c>
      <c r="BE57" s="25">
        <f>IF(ISERROR(VLOOKUP($L57,割合DB!$A:$B,2,FALSE))=TRUE,0,VLOOKUP($L57,割合DB!$A:$B,2,FALSE))</f>
        <v>0</v>
      </c>
      <c r="BF57" s="25">
        <f>IF(ISERROR(VLOOKUP($M57,割合DB!$A:$B,2,FALSE))=TRUE,0,VLOOKUP($M57,割合DB!$A:$B,2,FALSE))</f>
        <v>0</v>
      </c>
      <c r="BG57" s="25">
        <f t="shared" si="78"/>
        <v>100</v>
      </c>
      <c r="BH57" s="18">
        <f t="shared" si="79"/>
        <v>100</v>
      </c>
      <c r="BI57" s="18">
        <f t="shared" si="33"/>
        <v>1</v>
      </c>
      <c r="BJ57" s="176"/>
      <c r="BK57" s="176"/>
      <c r="BL57" s="176"/>
      <c r="BM57" s="176"/>
      <c r="BN57" s="176"/>
      <c r="BO57" s="176"/>
      <c r="BP57" s="176"/>
      <c r="BQ57" s="176"/>
      <c r="BR57" s="176"/>
      <c r="BS57" s="176"/>
      <c r="BT57" s="176"/>
      <c r="BU57" s="176"/>
      <c r="BV57" s="176"/>
      <c r="BW57" s="176"/>
      <c r="BX57" s="176"/>
      <c r="BY57" s="176"/>
      <c r="BZ57" s="176"/>
      <c r="CA57" s="176"/>
    </row>
    <row r="58" spans="1:79" ht="27" customHeight="1" x14ac:dyDescent="0.15">
      <c r="A58" s="160" t="s">
        <v>550</v>
      </c>
      <c r="B58" s="21"/>
      <c r="C58" s="19"/>
      <c r="D58" s="40" t="str">
        <f t="shared" si="31"/>
        <v/>
      </c>
      <c r="E58" s="19"/>
      <c r="F58" s="26"/>
      <c r="G58" s="21"/>
      <c r="H58" s="22"/>
      <c r="I58" s="22"/>
      <c r="J58" s="22"/>
      <c r="K58" s="23"/>
      <c r="L58" s="23"/>
      <c r="M58" s="23"/>
      <c r="N58" s="146"/>
      <c r="O58" s="40">
        <f t="shared" si="57"/>
        <v>0</v>
      </c>
      <c r="P58" s="183" t="str">
        <f t="shared" si="58"/>
        <v/>
      </c>
      <c r="S58" s="18">
        <f t="shared" si="32"/>
        <v>0</v>
      </c>
      <c r="T58" s="18">
        <f t="shared" si="2"/>
        <v>0</v>
      </c>
      <c r="U58" s="18">
        <f>IF(C58="人工面",0,IF(G58="",0,IF(D58="湿性環境",VLOOKUP(G58,環境タイプⅡによる点数DB!A:B,2,FALSE),IF(D58="樹林",VLOOKUP(G58,環境タイプⅡによる点数DB!A:C,3,FALSE),IF(D58="低木・草地",VLOOKUP(G58,環境タイプⅡによる点数DB!A:D,4,FALSE),0)))))</f>
        <v>0</v>
      </c>
      <c r="V58" s="24" t="str">
        <f>$H58&amp;"in"&amp;基本情報!$C$13</f>
        <v>in</v>
      </c>
      <c r="W58" s="24">
        <f t="shared" si="3"/>
        <v>0</v>
      </c>
      <c r="X58" s="24">
        <f>IF($H58="",0,IF($D58="樹林",IF(ISERROR(VLOOKUP($V58,市町村・植物種ごとの樹林点数DB!$A:$G,7,FALSE))=TRUE,20,VLOOKUP($V58,市町村・植物種ごとの樹林点数DB!$A:$G,7,FALSE)),IF($D58="低木・草地",IF($H58="【ススキ】・【ネザサ】・【チガヤ】",45,10),0)))</f>
        <v>0</v>
      </c>
      <c r="Y58" s="24">
        <f t="shared" si="59"/>
        <v>0</v>
      </c>
      <c r="Z58" s="24">
        <f t="shared" si="60"/>
        <v>1</v>
      </c>
      <c r="AA58" s="24">
        <f t="shared" si="61"/>
        <v>1</v>
      </c>
      <c r="AB58" s="24">
        <f t="shared" si="62"/>
        <v>0</v>
      </c>
      <c r="AC58" s="25">
        <f t="shared" si="63"/>
        <v>0</v>
      </c>
      <c r="AD58" s="25">
        <f t="shared" si="64"/>
        <v>0</v>
      </c>
      <c r="AE58" s="25">
        <f t="shared" si="65"/>
        <v>0</v>
      </c>
      <c r="AF58" s="25" t="str">
        <f t="shared" si="66"/>
        <v/>
      </c>
      <c r="AG58" s="25" t="str">
        <f t="shared" si="67"/>
        <v/>
      </c>
      <c r="AH58" s="25" t="str">
        <f t="shared" si="68"/>
        <v/>
      </c>
      <c r="AI58" s="25">
        <f>IF(ISERROR(VLOOKUP(K58,割合DB!$A:$B,2,FALSE))=TRUE,100,VLOOKUP(K58,割合DB!$A:$B,2,FALSE))</f>
        <v>100</v>
      </c>
      <c r="AJ58" s="25">
        <f>IF(ISERROR(VLOOKUP(L58,割合DB!$A:$B,2,FALSE))=TRUE,100,VLOOKUP(L58,割合DB!$A:$B,2,FALSE))</f>
        <v>100</v>
      </c>
      <c r="AK58" s="25">
        <f>IF(ISERROR(VLOOKUP(M58,割合DB!$A:$B,2,FALSE))=TRUE,100,VLOOKUP(M58,割合DB!$A:$B,2,FALSE))</f>
        <v>100</v>
      </c>
      <c r="AL58" s="25">
        <f t="shared" si="69"/>
        <v>0</v>
      </c>
      <c r="AM58" s="18">
        <f t="shared" si="70"/>
        <v>0</v>
      </c>
      <c r="AN58" s="18">
        <f t="shared" si="71"/>
        <v>0</v>
      </c>
      <c r="AO58" s="18">
        <f t="shared" si="17"/>
        <v>0</v>
      </c>
      <c r="AP58" s="18">
        <f>IF($C58="人工面",0,IF($G58="",70,IF($D58="湿性環境",VLOOKUP($G58,環境タイプⅡによる点数DB!$A:$B,2,FALSE),IF($D58="樹林",VLOOKUP($G58,環境タイプⅡによる点数DB!$A:$C,3,FALSE),IF($D58="低木・草地",VLOOKUP($G58,環境タイプⅡによる点数DB!$A:$D,4,FALSE),0)))))</f>
        <v>70</v>
      </c>
      <c r="AQ58" s="24" t="str">
        <f>$H58&amp;"in"&amp;基本情報!$C$13</f>
        <v>in</v>
      </c>
      <c r="AR58" s="24">
        <f t="shared" si="18"/>
        <v>0</v>
      </c>
      <c r="AS58" s="24">
        <f>IF($H58="",0,IF($D58="樹林",IF(ISERROR(VLOOKUP($V58,市町村・植物種ごとの樹林点数DB!$A:$F,6,FALSE))=TRUE,10,VLOOKUP($V58,市町村・植物種ごとの樹林点数DB!$A:$F,6,FALSE)),IF($D58="低木・草地",IF(OR($H58="【ススキ】・【ネザサ】・【チガヤ】",$H58="不明"),45,10),0)))</f>
        <v>0</v>
      </c>
      <c r="AT58" s="24">
        <f t="shared" si="19"/>
        <v>0</v>
      </c>
      <c r="AU58" s="24">
        <f t="shared" si="20"/>
        <v>1</v>
      </c>
      <c r="AV58" s="24">
        <f t="shared" si="21"/>
        <v>0</v>
      </c>
      <c r="AW58" s="24">
        <f t="shared" si="22"/>
        <v>1</v>
      </c>
      <c r="AX58" s="25">
        <f t="shared" si="72"/>
        <v>0</v>
      </c>
      <c r="AY58" s="25">
        <f t="shared" si="73"/>
        <v>0</v>
      </c>
      <c r="AZ58" s="25">
        <f t="shared" si="74"/>
        <v>0</v>
      </c>
      <c r="BA58" s="25" t="str">
        <f t="shared" si="75"/>
        <v/>
      </c>
      <c r="BB58" s="25" t="str">
        <f t="shared" si="76"/>
        <v/>
      </c>
      <c r="BC58" s="25" t="str">
        <f t="shared" si="77"/>
        <v/>
      </c>
      <c r="BD58" s="25">
        <f>IF(ISERROR(VLOOKUP($K58,割合DB!$A:$B,2,FALSE))=TRUE,0,VLOOKUP($K58,割合DB!$A:$B,2,FALSE))</f>
        <v>0</v>
      </c>
      <c r="BE58" s="25">
        <f>IF(ISERROR(VLOOKUP($L58,割合DB!$A:$B,2,FALSE))=TRUE,0,VLOOKUP($L58,割合DB!$A:$B,2,FALSE))</f>
        <v>0</v>
      </c>
      <c r="BF58" s="25">
        <f>IF(ISERROR(VLOOKUP($M58,割合DB!$A:$B,2,FALSE))=TRUE,0,VLOOKUP($M58,割合DB!$A:$B,2,FALSE))</f>
        <v>0</v>
      </c>
      <c r="BG58" s="25">
        <f t="shared" si="78"/>
        <v>100</v>
      </c>
      <c r="BH58" s="18">
        <f t="shared" si="79"/>
        <v>100</v>
      </c>
      <c r="BI58" s="18">
        <f t="shared" si="33"/>
        <v>1</v>
      </c>
      <c r="BJ58" s="176"/>
      <c r="BK58" s="176"/>
      <c r="BL58" s="176"/>
      <c r="BM58" s="176"/>
      <c r="BN58" s="176"/>
      <c r="BO58" s="176"/>
      <c r="BP58" s="176"/>
      <c r="BQ58" s="176"/>
      <c r="BR58" s="176"/>
      <c r="BS58" s="176"/>
      <c r="BT58" s="176"/>
      <c r="BU58" s="176"/>
      <c r="BV58" s="176"/>
      <c r="BW58" s="176"/>
      <c r="BX58" s="176"/>
      <c r="BY58" s="176"/>
      <c r="BZ58" s="176"/>
      <c r="CA58" s="176"/>
    </row>
    <row r="59" spans="1:79" ht="27" customHeight="1" x14ac:dyDescent="0.15">
      <c r="A59" s="160" t="s">
        <v>551</v>
      </c>
      <c r="B59" s="21"/>
      <c r="C59" s="19"/>
      <c r="D59" s="40" t="str">
        <f t="shared" si="31"/>
        <v/>
      </c>
      <c r="E59" s="19"/>
      <c r="F59" s="26"/>
      <c r="G59" s="21"/>
      <c r="H59" s="22"/>
      <c r="I59" s="22"/>
      <c r="J59" s="22"/>
      <c r="K59" s="23"/>
      <c r="L59" s="23"/>
      <c r="M59" s="23"/>
      <c r="N59" s="146"/>
      <c r="O59" s="40">
        <f t="shared" si="57"/>
        <v>0</v>
      </c>
      <c r="P59" s="183" t="str">
        <f t="shared" si="58"/>
        <v/>
      </c>
      <c r="S59" s="18">
        <f t="shared" si="32"/>
        <v>0</v>
      </c>
      <c r="T59" s="18">
        <f t="shared" si="2"/>
        <v>0</v>
      </c>
      <c r="U59" s="18">
        <f>IF(C59="人工面",0,IF(G59="",0,IF(D59="湿性環境",VLOOKUP(G59,環境タイプⅡによる点数DB!A:B,2,FALSE),IF(D59="樹林",VLOOKUP(G59,環境タイプⅡによる点数DB!A:C,3,FALSE),IF(D59="低木・草地",VLOOKUP(G59,環境タイプⅡによる点数DB!A:D,4,FALSE),0)))))</f>
        <v>0</v>
      </c>
      <c r="V59" s="24" t="str">
        <f>$H59&amp;"in"&amp;基本情報!$C$13</f>
        <v>in</v>
      </c>
      <c r="W59" s="24">
        <f t="shared" si="3"/>
        <v>0</v>
      </c>
      <c r="X59" s="24">
        <f>IF($H59="",0,IF($D59="樹林",IF(ISERROR(VLOOKUP($V59,市町村・植物種ごとの樹林点数DB!$A:$G,7,FALSE))=TRUE,20,VLOOKUP($V59,市町村・植物種ごとの樹林点数DB!$A:$G,7,FALSE)),IF($D59="低木・草地",IF($H59="【ススキ】・【ネザサ】・【チガヤ】",45,10),0)))</f>
        <v>0</v>
      </c>
      <c r="Y59" s="24">
        <f t="shared" si="59"/>
        <v>0</v>
      </c>
      <c r="Z59" s="24">
        <f t="shared" si="60"/>
        <v>1</v>
      </c>
      <c r="AA59" s="24">
        <f t="shared" si="61"/>
        <v>1</v>
      </c>
      <c r="AB59" s="24">
        <f t="shared" si="62"/>
        <v>0</v>
      </c>
      <c r="AC59" s="25">
        <f t="shared" si="63"/>
        <v>0</v>
      </c>
      <c r="AD59" s="25">
        <f t="shared" si="64"/>
        <v>0</v>
      </c>
      <c r="AE59" s="25">
        <f t="shared" si="65"/>
        <v>0</v>
      </c>
      <c r="AF59" s="25" t="str">
        <f t="shared" si="66"/>
        <v/>
      </c>
      <c r="AG59" s="25" t="str">
        <f t="shared" si="67"/>
        <v/>
      </c>
      <c r="AH59" s="25" t="str">
        <f t="shared" si="68"/>
        <v/>
      </c>
      <c r="AI59" s="25">
        <f>IF(ISERROR(VLOOKUP(K59,割合DB!$A:$B,2,FALSE))=TRUE,100,VLOOKUP(K59,割合DB!$A:$B,2,FALSE))</f>
        <v>100</v>
      </c>
      <c r="AJ59" s="25">
        <f>IF(ISERROR(VLOOKUP(L59,割合DB!$A:$B,2,FALSE))=TRUE,100,VLOOKUP(L59,割合DB!$A:$B,2,FALSE))</f>
        <v>100</v>
      </c>
      <c r="AK59" s="25">
        <f>IF(ISERROR(VLOOKUP(M59,割合DB!$A:$B,2,FALSE))=TRUE,100,VLOOKUP(M59,割合DB!$A:$B,2,FALSE))</f>
        <v>100</v>
      </c>
      <c r="AL59" s="25">
        <f t="shared" si="69"/>
        <v>0</v>
      </c>
      <c r="AM59" s="18">
        <f t="shared" si="70"/>
        <v>0</v>
      </c>
      <c r="AN59" s="18">
        <f t="shared" si="71"/>
        <v>0</v>
      </c>
      <c r="AO59" s="18">
        <f t="shared" si="17"/>
        <v>0</v>
      </c>
      <c r="AP59" s="18">
        <f>IF($C59="人工面",0,IF($G59="",70,IF($D59="湿性環境",VLOOKUP($G59,環境タイプⅡによる点数DB!$A:$B,2,FALSE),IF($D59="樹林",VLOOKUP($G59,環境タイプⅡによる点数DB!$A:$C,3,FALSE),IF($D59="低木・草地",VLOOKUP($G59,環境タイプⅡによる点数DB!$A:$D,4,FALSE),0)))))</f>
        <v>70</v>
      </c>
      <c r="AQ59" s="24" t="str">
        <f>$H59&amp;"in"&amp;基本情報!$C$13</f>
        <v>in</v>
      </c>
      <c r="AR59" s="24">
        <f t="shared" si="18"/>
        <v>0</v>
      </c>
      <c r="AS59" s="24">
        <f>IF($H59="",0,IF($D59="樹林",IF(ISERROR(VLOOKUP($V59,市町村・植物種ごとの樹林点数DB!$A:$F,6,FALSE))=TRUE,10,VLOOKUP($V59,市町村・植物種ごとの樹林点数DB!$A:$F,6,FALSE)),IF($D59="低木・草地",IF(OR($H59="【ススキ】・【ネザサ】・【チガヤ】",$H59="不明"),45,10),0)))</f>
        <v>0</v>
      </c>
      <c r="AT59" s="24">
        <f t="shared" si="19"/>
        <v>0</v>
      </c>
      <c r="AU59" s="24">
        <f t="shared" si="20"/>
        <v>1</v>
      </c>
      <c r="AV59" s="24">
        <f t="shared" si="21"/>
        <v>0</v>
      </c>
      <c r="AW59" s="24">
        <f t="shared" si="22"/>
        <v>1</v>
      </c>
      <c r="AX59" s="25">
        <f t="shared" si="72"/>
        <v>0</v>
      </c>
      <c r="AY59" s="25">
        <f t="shared" si="73"/>
        <v>0</v>
      </c>
      <c r="AZ59" s="25">
        <f t="shared" si="74"/>
        <v>0</v>
      </c>
      <c r="BA59" s="25" t="str">
        <f t="shared" si="75"/>
        <v/>
      </c>
      <c r="BB59" s="25" t="str">
        <f t="shared" si="76"/>
        <v/>
      </c>
      <c r="BC59" s="25" t="str">
        <f t="shared" si="77"/>
        <v/>
      </c>
      <c r="BD59" s="25">
        <f>IF(ISERROR(VLOOKUP($K59,割合DB!$A:$B,2,FALSE))=TRUE,0,VLOOKUP($K59,割合DB!$A:$B,2,FALSE))</f>
        <v>0</v>
      </c>
      <c r="BE59" s="25">
        <f>IF(ISERROR(VLOOKUP($L59,割合DB!$A:$B,2,FALSE))=TRUE,0,VLOOKUP($L59,割合DB!$A:$B,2,FALSE))</f>
        <v>0</v>
      </c>
      <c r="BF59" s="25">
        <f>IF(ISERROR(VLOOKUP($M59,割合DB!$A:$B,2,FALSE))=TRUE,0,VLOOKUP($M59,割合DB!$A:$B,2,FALSE))</f>
        <v>0</v>
      </c>
      <c r="BG59" s="25">
        <f t="shared" si="78"/>
        <v>100</v>
      </c>
      <c r="BH59" s="18">
        <f t="shared" si="79"/>
        <v>100</v>
      </c>
      <c r="BI59" s="18">
        <f t="shared" si="33"/>
        <v>1</v>
      </c>
      <c r="BJ59" s="176"/>
      <c r="BK59" s="176"/>
      <c r="BL59" s="176"/>
      <c r="BM59" s="176"/>
      <c r="BN59" s="176"/>
      <c r="BO59" s="176"/>
      <c r="BP59" s="176"/>
      <c r="BQ59" s="176"/>
      <c r="BR59" s="176"/>
      <c r="BS59" s="176"/>
      <c r="BT59" s="176"/>
      <c r="BU59" s="176"/>
      <c r="BV59" s="176"/>
      <c r="BW59" s="176"/>
      <c r="BX59" s="176"/>
      <c r="BY59" s="176"/>
      <c r="BZ59" s="176"/>
      <c r="CA59" s="176"/>
    </row>
    <row r="60" spans="1:79" ht="27" customHeight="1" x14ac:dyDescent="0.15">
      <c r="A60" s="160" t="s">
        <v>552</v>
      </c>
      <c r="B60" s="21"/>
      <c r="C60" s="19"/>
      <c r="D60" s="40" t="str">
        <f t="shared" si="31"/>
        <v/>
      </c>
      <c r="E60" s="19"/>
      <c r="F60" s="26"/>
      <c r="G60" s="21"/>
      <c r="H60" s="22"/>
      <c r="I60" s="22"/>
      <c r="J60" s="22"/>
      <c r="K60" s="23"/>
      <c r="L60" s="23"/>
      <c r="M60" s="23"/>
      <c r="N60" s="146"/>
      <c r="O60" s="40">
        <f t="shared" si="57"/>
        <v>0</v>
      </c>
      <c r="P60" s="183" t="str">
        <f t="shared" si="58"/>
        <v/>
      </c>
      <c r="S60" s="18">
        <f t="shared" si="32"/>
        <v>0</v>
      </c>
      <c r="T60" s="18">
        <f t="shared" si="2"/>
        <v>0</v>
      </c>
      <c r="U60" s="18">
        <f>IF(C60="人工面",0,IF(G60="",0,IF(D60="湿性環境",VLOOKUP(G60,環境タイプⅡによる点数DB!A:B,2,FALSE),IF(D60="樹林",VLOOKUP(G60,環境タイプⅡによる点数DB!A:C,3,FALSE),IF(D60="低木・草地",VLOOKUP(G60,環境タイプⅡによる点数DB!A:D,4,FALSE),0)))))</f>
        <v>0</v>
      </c>
      <c r="V60" s="24" t="str">
        <f>$H60&amp;"in"&amp;基本情報!$C$13</f>
        <v>in</v>
      </c>
      <c r="W60" s="24">
        <f t="shared" si="3"/>
        <v>0</v>
      </c>
      <c r="X60" s="24">
        <f>IF($H60="",0,IF($D60="樹林",IF(ISERROR(VLOOKUP($V60,市町村・植物種ごとの樹林点数DB!$A:$G,7,FALSE))=TRUE,20,VLOOKUP($V60,市町村・植物種ごとの樹林点数DB!$A:$G,7,FALSE)),IF($D60="低木・草地",IF($H60="【ススキ】・【ネザサ】・【チガヤ】",45,10),0)))</f>
        <v>0</v>
      </c>
      <c r="Y60" s="24">
        <f t="shared" si="59"/>
        <v>0</v>
      </c>
      <c r="Z60" s="24">
        <f t="shared" si="60"/>
        <v>1</v>
      </c>
      <c r="AA60" s="24">
        <f t="shared" si="61"/>
        <v>1</v>
      </c>
      <c r="AB60" s="24">
        <f t="shared" si="62"/>
        <v>0</v>
      </c>
      <c r="AC60" s="25">
        <f t="shared" si="63"/>
        <v>0</v>
      </c>
      <c r="AD60" s="25">
        <f t="shared" si="64"/>
        <v>0</v>
      </c>
      <c r="AE60" s="25">
        <f t="shared" si="65"/>
        <v>0</v>
      </c>
      <c r="AF60" s="25" t="str">
        <f t="shared" si="66"/>
        <v/>
      </c>
      <c r="AG60" s="25" t="str">
        <f t="shared" si="67"/>
        <v/>
      </c>
      <c r="AH60" s="25" t="str">
        <f t="shared" si="68"/>
        <v/>
      </c>
      <c r="AI60" s="25">
        <f>IF(ISERROR(VLOOKUP(K60,割合DB!$A:$B,2,FALSE))=TRUE,100,VLOOKUP(K60,割合DB!$A:$B,2,FALSE))</f>
        <v>100</v>
      </c>
      <c r="AJ60" s="25">
        <f>IF(ISERROR(VLOOKUP(L60,割合DB!$A:$B,2,FALSE))=TRUE,100,VLOOKUP(L60,割合DB!$A:$B,2,FALSE))</f>
        <v>100</v>
      </c>
      <c r="AK60" s="25">
        <f>IF(ISERROR(VLOOKUP(M60,割合DB!$A:$B,2,FALSE))=TRUE,100,VLOOKUP(M60,割合DB!$A:$B,2,FALSE))</f>
        <v>100</v>
      </c>
      <c r="AL60" s="25">
        <f t="shared" si="69"/>
        <v>0</v>
      </c>
      <c r="AM60" s="18">
        <f t="shared" si="70"/>
        <v>0</v>
      </c>
      <c r="AN60" s="18">
        <f t="shared" si="71"/>
        <v>0</v>
      </c>
      <c r="AO60" s="18">
        <f t="shared" si="17"/>
        <v>0</v>
      </c>
      <c r="AP60" s="18">
        <f>IF($C60="人工面",0,IF($G60="",70,IF($D60="湿性環境",VLOOKUP($G60,環境タイプⅡによる点数DB!$A:$B,2,FALSE),IF($D60="樹林",VLOOKUP($G60,環境タイプⅡによる点数DB!$A:$C,3,FALSE),IF($D60="低木・草地",VLOOKUP($G60,環境タイプⅡによる点数DB!$A:$D,4,FALSE),0)))))</f>
        <v>70</v>
      </c>
      <c r="AQ60" s="24" t="str">
        <f>$H60&amp;"in"&amp;基本情報!$C$13</f>
        <v>in</v>
      </c>
      <c r="AR60" s="24">
        <f t="shared" si="18"/>
        <v>0</v>
      </c>
      <c r="AS60" s="24">
        <f>IF($H60="",0,IF($D60="樹林",IF(ISERROR(VLOOKUP($V60,市町村・植物種ごとの樹林点数DB!$A:$F,6,FALSE))=TRUE,10,VLOOKUP($V60,市町村・植物種ごとの樹林点数DB!$A:$F,6,FALSE)),IF($D60="低木・草地",IF(OR($H60="【ススキ】・【ネザサ】・【チガヤ】",$H60="不明"),45,10),0)))</f>
        <v>0</v>
      </c>
      <c r="AT60" s="24">
        <f t="shared" si="19"/>
        <v>0</v>
      </c>
      <c r="AU60" s="24">
        <f t="shared" si="20"/>
        <v>1</v>
      </c>
      <c r="AV60" s="24">
        <f t="shared" si="21"/>
        <v>0</v>
      </c>
      <c r="AW60" s="24">
        <f t="shared" si="22"/>
        <v>1</v>
      </c>
      <c r="AX60" s="25">
        <f t="shared" si="72"/>
        <v>0</v>
      </c>
      <c r="AY60" s="25">
        <f t="shared" si="73"/>
        <v>0</v>
      </c>
      <c r="AZ60" s="25">
        <f t="shared" si="74"/>
        <v>0</v>
      </c>
      <c r="BA60" s="25" t="str">
        <f t="shared" si="75"/>
        <v/>
      </c>
      <c r="BB60" s="25" t="str">
        <f t="shared" si="76"/>
        <v/>
      </c>
      <c r="BC60" s="25" t="str">
        <f t="shared" si="77"/>
        <v/>
      </c>
      <c r="BD60" s="25">
        <f>IF(ISERROR(VLOOKUP($K60,割合DB!$A:$B,2,FALSE))=TRUE,0,VLOOKUP($K60,割合DB!$A:$B,2,FALSE))</f>
        <v>0</v>
      </c>
      <c r="BE60" s="25">
        <f>IF(ISERROR(VLOOKUP($L60,割合DB!$A:$B,2,FALSE))=TRUE,0,VLOOKUP($L60,割合DB!$A:$B,2,FALSE))</f>
        <v>0</v>
      </c>
      <c r="BF60" s="25">
        <f>IF(ISERROR(VLOOKUP($M60,割合DB!$A:$B,2,FALSE))=TRUE,0,VLOOKUP($M60,割合DB!$A:$B,2,FALSE))</f>
        <v>0</v>
      </c>
      <c r="BG60" s="25">
        <f t="shared" si="78"/>
        <v>100</v>
      </c>
      <c r="BH60" s="18">
        <f t="shared" si="79"/>
        <v>100</v>
      </c>
      <c r="BI60" s="18">
        <f t="shared" si="33"/>
        <v>1</v>
      </c>
      <c r="BJ60" s="176"/>
      <c r="BK60" s="176"/>
      <c r="BL60" s="176"/>
      <c r="BM60" s="176"/>
      <c r="BN60" s="176"/>
      <c r="BO60" s="176"/>
      <c r="BP60" s="176"/>
      <c r="BQ60" s="176"/>
      <c r="BR60" s="176"/>
      <c r="BS60" s="176"/>
      <c r="BT60" s="176"/>
      <c r="BU60" s="176"/>
      <c r="BV60" s="176"/>
      <c r="BW60" s="176"/>
      <c r="BX60" s="176"/>
      <c r="BY60" s="176"/>
      <c r="BZ60" s="176"/>
      <c r="CA60" s="176"/>
    </row>
    <row r="61" spans="1:79" ht="27" customHeight="1" x14ac:dyDescent="0.15">
      <c r="A61" s="160" t="s">
        <v>553</v>
      </c>
      <c r="B61" s="21"/>
      <c r="C61" s="19"/>
      <c r="D61" s="40" t="str">
        <f t="shared" si="31"/>
        <v/>
      </c>
      <c r="E61" s="19"/>
      <c r="F61" s="26"/>
      <c r="G61" s="21"/>
      <c r="H61" s="22"/>
      <c r="I61" s="22"/>
      <c r="J61" s="22"/>
      <c r="K61" s="23"/>
      <c r="L61" s="23"/>
      <c r="M61" s="23"/>
      <c r="N61" s="146"/>
      <c r="O61" s="40">
        <f t="shared" si="57"/>
        <v>0</v>
      </c>
      <c r="P61" s="183" t="str">
        <f t="shared" si="58"/>
        <v/>
      </c>
      <c r="S61" s="18">
        <f t="shared" si="32"/>
        <v>0</v>
      </c>
      <c r="T61" s="18">
        <f t="shared" si="2"/>
        <v>0</v>
      </c>
      <c r="U61" s="18">
        <f>IF(C61="人工面",0,IF(G61="",0,IF(D61="湿性環境",VLOOKUP(G61,環境タイプⅡによる点数DB!A:B,2,FALSE),IF(D61="樹林",VLOOKUP(G61,環境タイプⅡによる点数DB!A:C,3,FALSE),IF(D61="低木・草地",VLOOKUP(G61,環境タイプⅡによる点数DB!A:D,4,FALSE),0)))))</f>
        <v>0</v>
      </c>
      <c r="V61" s="24" t="str">
        <f>$H61&amp;"in"&amp;基本情報!$C$13</f>
        <v>in</v>
      </c>
      <c r="W61" s="24">
        <f t="shared" si="3"/>
        <v>0</v>
      </c>
      <c r="X61" s="24">
        <f>IF($H61="",0,IF($D61="樹林",IF(ISERROR(VLOOKUP($V61,市町村・植物種ごとの樹林点数DB!$A:$G,7,FALSE))=TRUE,20,VLOOKUP($V61,市町村・植物種ごとの樹林点数DB!$A:$G,7,FALSE)),IF($D61="低木・草地",IF($H61="【ススキ】・【ネザサ】・【チガヤ】",45,10),0)))</f>
        <v>0</v>
      </c>
      <c r="Y61" s="24">
        <f t="shared" si="59"/>
        <v>0</v>
      </c>
      <c r="Z61" s="24">
        <f t="shared" si="60"/>
        <v>1</v>
      </c>
      <c r="AA61" s="24">
        <f t="shared" si="61"/>
        <v>1</v>
      </c>
      <c r="AB61" s="24">
        <f t="shared" si="62"/>
        <v>0</v>
      </c>
      <c r="AC61" s="25">
        <f t="shared" si="63"/>
        <v>0</v>
      </c>
      <c r="AD61" s="25">
        <f t="shared" si="64"/>
        <v>0</v>
      </c>
      <c r="AE61" s="25">
        <f t="shared" si="65"/>
        <v>0</v>
      </c>
      <c r="AF61" s="25" t="str">
        <f t="shared" si="66"/>
        <v/>
      </c>
      <c r="AG61" s="25" t="str">
        <f t="shared" si="67"/>
        <v/>
      </c>
      <c r="AH61" s="25" t="str">
        <f t="shared" si="68"/>
        <v/>
      </c>
      <c r="AI61" s="25">
        <f>IF(ISERROR(VLOOKUP(K61,割合DB!$A:$B,2,FALSE))=TRUE,100,VLOOKUP(K61,割合DB!$A:$B,2,FALSE))</f>
        <v>100</v>
      </c>
      <c r="AJ61" s="25">
        <f>IF(ISERROR(VLOOKUP(L61,割合DB!$A:$B,2,FALSE))=TRUE,100,VLOOKUP(L61,割合DB!$A:$B,2,FALSE))</f>
        <v>100</v>
      </c>
      <c r="AK61" s="25">
        <f>IF(ISERROR(VLOOKUP(M61,割合DB!$A:$B,2,FALSE))=TRUE,100,VLOOKUP(M61,割合DB!$A:$B,2,FALSE))</f>
        <v>100</v>
      </c>
      <c r="AL61" s="25">
        <f t="shared" si="69"/>
        <v>0</v>
      </c>
      <c r="AM61" s="18">
        <f t="shared" si="70"/>
        <v>0</v>
      </c>
      <c r="AN61" s="18">
        <f t="shared" si="71"/>
        <v>0</v>
      </c>
      <c r="AO61" s="18">
        <f t="shared" si="17"/>
        <v>0</v>
      </c>
      <c r="AP61" s="18">
        <f>IF($C61="人工面",0,IF($G61="",70,IF($D61="湿性環境",VLOOKUP($G61,環境タイプⅡによる点数DB!$A:$B,2,FALSE),IF($D61="樹林",VLOOKUP($G61,環境タイプⅡによる点数DB!$A:$C,3,FALSE),IF($D61="低木・草地",VLOOKUP($G61,環境タイプⅡによる点数DB!$A:$D,4,FALSE),0)))))</f>
        <v>70</v>
      </c>
      <c r="AQ61" s="24" t="str">
        <f>$H61&amp;"in"&amp;基本情報!$C$13</f>
        <v>in</v>
      </c>
      <c r="AR61" s="24">
        <f t="shared" si="18"/>
        <v>0</v>
      </c>
      <c r="AS61" s="24">
        <f>IF($H61="",0,IF($D61="樹林",IF(ISERROR(VLOOKUP($V61,市町村・植物種ごとの樹林点数DB!$A:$F,6,FALSE))=TRUE,10,VLOOKUP($V61,市町村・植物種ごとの樹林点数DB!$A:$F,6,FALSE)),IF($D61="低木・草地",IF(OR($H61="【ススキ】・【ネザサ】・【チガヤ】",$H61="不明"),45,10),0)))</f>
        <v>0</v>
      </c>
      <c r="AT61" s="24">
        <f t="shared" si="19"/>
        <v>0</v>
      </c>
      <c r="AU61" s="24">
        <f t="shared" si="20"/>
        <v>1</v>
      </c>
      <c r="AV61" s="24">
        <f t="shared" si="21"/>
        <v>0</v>
      </c>
      <c r="AW61" s="24">
        <f t="shared" si="22"/>
        <v>1</v>
      </c>
      <c r="AX61" s="25">
        <f t="shared" si="72"/>
        <v>0</v>
      </c>
      <c r="AY61" s="25">
        <f t="shared" si="73"/>
        <v>0</v>
      </c>
      <c r="AZ61" s="25">
        <f t="shared" si="74"/>
        <v>0</v>
      </c>
      <c r="BA61" s="25" t="str">
        <f t="shared" si="75"/>
        <v/>
      </c>
      <c r="BB61" s="25" t="str">
        <f t="shared" si="76"/>
        <v/>
      </c>
      <c r="BC61" s="25" t="str">
        <f t="shared" si="77"/>
        <v/>
      </c>
      <c r="BD61" s="25">
        <f>IF(ISERROR(VLOOKUP($K61,割合DB!$A:$B,2,FALSE))=TRUE,0,VLOOKUP($K61,割合DB!$A:$B,2,FALSE))</f>
        <v>0</v>
      </c>
      <c r="BE61" s="25">
        <f>IF(ISERROR(VLOOKUP($L61,割合DB!$A:$B,2,FALSE))=TRUE,0,VLOOKUP($L61,割合DB!$A:$B,2,FALSE))</f>
        <v>0</v>
      </c>
      <c r="BF61" s="25">
        <f>IF(ISERROR(VLOOKUP($M61,割合DB!$A:$B,2,FALSE))=TRUE,0,VLOOKUP($M61,割合DB!$A:$B,2,FALSE))</f>
        <v>0</v>
      </c>
      <c r="BG61" s="25">
        <f t="shared" si="78"/>
        <v>100</v>
      </c>
      <c r="BH61" s="18">
        <f t="shared" si="79"/>
        <v>100</v>
      </c>
      <c r="BI61" s="18">
        <f t="shared" si="33"/>
        <v>1</v>
      </c>
      <c r="BJ61" s="176"/>
      <c r="BK61" s="176"/>
      <c r="BL61" s="176"/>
      <c r="BM61" s="176"/>
      <c r="BN61" s="176"/>
      <c r="BO61" s="176"/>
      <c r="BP61" s="176"/>
      <c r="BQ61" s="176"/>
      <c r="BR61" s="176"/>
      <c r="BS61" s="176"/>
      <c r="BT61" s="176"/>
      <c r="BU61" s="176"/>
      <c r="BV61" s="176"/>
      <c r="BW61" s="176"/>
      <c r="BX61" s="176"/>
      <c r="BY61" s="176"/>
      <c r="BZ61" s="176"/>
      <c r="CA61" s="176"/>
    </row>
    <row r="62" spans="1:79" ht="27" customHeight="1" x14ac:dyDescent="0.15">
      <c r="A62" s="160" t="s">
        <v>554</v>
      </c>
      <c r="B62" s="21"/>
      <c r="C62" s="19"/>
      <c r="D62" s="40" t="str">
        <f t="shared" si="31"/>
        <v/>
      </c>
      <c r="E62" s="19"/>
      <c r="F62" s="26"/>
      <c r="G62" s="21"/>
      <c r="H62" s="22"/>
      <c r="I62" s="22"/>
      <c r="J62" s="22"/>
      <c r="K62" s="23"/>
      <c r="L62" s="23"/>
      <c r="M62" s="23"/>
      <c r="N62" s="146"/>
      <c r="O62" s="40">
        <f t="shared" si="57"/>
        <v>0</v>
      </c>
      <c r="P62" s="183" t="str">
        <f t="shared" si="58"/>
        <v/>
      </c>
      <c r="S62" s="18">
        <f t="shared" si="32"/>
        <v>0</v>
      </c>
      <c r="T62" s="18">
        <f t="shared" si="2"/>
        <v>0</v>
      </c>
      <c r="U62" s="18">
        <f>IF(C62="人工面",0,IF(G62="",0,IF(D62="湿性環境",VLOOKUP(G62,環境タイプⅡによる点数DB!A:B,2,FALSE),IF(D62="樹林",VLOOKUP(G62,環境タイプⅡによる点数DB!A:C,3,FALSE),IF(D62="低木・草地",VLOOKUP(G62,環境タイプⅡによる点数DB!A:D,4,FALSE),0)))))</f>
        <v>0</v>
      </c>
      <c r="V62" s="24" t="str">
        <f>$H62&amp;"in"&amp;基本情報!$C$13</f>
        <v>in</v>
      </c>
      <c r="W62" s="24">
        <f t="shared" si="3"/>
        <v>0</v>
      </c>
      <c r="X62" s="24">
        <f>IF($H62="",0,IF($D62="樹林",IF(ISERROR(VLOOKUP($V62,市町村・植物種ごとの樹林点数DB!$A:$G,7,FALSE))=TRUE,20,VLOOKUP($V62,市町村・植物種ごとの樹林点数DB!$A:$G,7,FALSE)),IF($D62="低木・草地",IF($H62="【ススキ】・【ネザサ】・【チガヤ】",45,10),0)))</f>
        <v>0</v>
      </c>
      <c r="Y62" s="24">
        <f t="shared" si="59"/>
        <v>0</v>
      </c>
      <c r="Z62" s="24">
        <f t="shared" si="60"/>
        <v>1</v>
      </c>
      <c r="AA62" s="24">
        <f t="shared" si="61"/>
        <v>1</v>
      </c>
      <c r="AB62" s="24">
        <f t="shared" si="62"/>
        <v>0</v>
      </c>
      <c r="AC62" s="25">
        <f t="shared" si="63"/>
        <v>0</v>
      </c>
      <c r="AD62" s="25">
        <f t="shared" si="64"/>
        <v>0</v>
      </c>
      <c r="AE62" s="25">
        <f t="shared" si="65"/>
        <v>0</v>
      </c>
      <c r="AF62" s="25" t="str">
        <f t="shared" si="66"/>
        <v/>
      </c>
      <c r="AG62" s="25" t="str">
        <f t="shared" si="67"/>
        <v/>
      </c>
      <c r="AH62" s="25" t="str">
        <f t="shared" si="68"/>
        <v/>
      </c>
      <c r="AI62" s="25">
        <f>IF(ISERROR(VLOOKUP(K62,割合DB!$A:$B,2,FALSE))=TRUE,100,VLOOKUP(K62,割合DB!$A:$B,2,FALSE))</f>
        <v>100</v>
      </c>
      <c r="AJ62" s="25">
        <f>IF(ISERROR(VLOOKUP(L62,割合DB!$A:$B,2,FALSE))=TRUE,100,VLOOKUP(L62,割合DB!$A:$B,2,FALSE))</f>
        <v>100</v>
      </c>
      <c r="AK62" s="25">
        <f>IF(ISERROR(VLOOKUP(M62,割合DB!$A:$B,2,FALSE))=TRUE,100,VLOOKUP(M62,割合DB!$A:$B,2,FALSE))</f>
        <v>100</v>
      </c>
      <c r="AL62" s="25">
        <f t="shared" si="69"/>
        <v>0</v>
      </c>
      <c r="AM62" s="18">
        <f t="shared" si="70"/>
        <v>0</v>
      </c>
      <c r="AN62" s="18">
        <f t="shared" si="71"/>
        <v>0</v>
      </c>
      <c r="AO62" s="18">
        <f t="shared" si="17"/>
        <v>0</v>
      </c>
      <c r="AP62" s="18">
        <f>IF($C62="人工面",0,IF($G62="",70,IF($D62="湿性環境",VLOOKUP($G62,環境タイプⅡによる点数DB!$A:$B,2,FALSE),IF($D62="樹林",VLOOKUP($G62,環境タイプⅡによる点数DB!$A:$C,3,FALSE),IF($D62="低木・草地",VLOOKUP($G62,環境タイプⅡによる点数DB!$A:$D,4,FALSE),0)))))</f>
        <v>70</v>
      </c>
      <c r="AQ62" s="24" t="str">
        <f>$H62&amp;"in"&amp;基本情報!$C$13</f>
        <v>in</v>
      </c>
      <c r="AR62" s="24">
        <f t="shared" si="18"/>
        <v>0</v>
      </c>
      <c r="AS62" s="24">
        <f>IF($H62="",0,IF($D62="樹林",IF(ISERROR(VLOOKUP($V62,市町村・植物種ごとの樹林点数DB!$A:$F,6,FALSE))=TRUE,10,VLOOKUP($V62,市町村・植物種ごとの樹林点数DB!$A:$F,6,FALSE)),IF($D62="低木・草地",IF(OR($H62="【ススキ】・【ネザサ】・【チガヤ】",$H62="不明"),45,10),0)))</f>
        <v>0</v>
      </c>
      <c r="AT62" s="24">
        <f t="shared" si="19"/>
        <v>0</v>
      </c>
      <c r="AU62" s="24">
        <f t="shared" si="20"/>
        <v>1</v>
      </c>
      <c r="AV62" s="24">
        <f t="shared" si="21"/>
        <v>0</v>
      </c>
      <c r="AW62" s="24">
        <f t="shared" si="22"/>
        <v>1</v>
      </c>
      <c r="AX62" s="25">
        <f t="shared" si="72"/>
        <v>0</v>
      </c>
      <c r="AY62" s="25">
        <f t="shared" si="73"/>
        <v>0</v>
      </c>
      <c r="AZ62" s="25">
        <f t="shared" si="74"/>
        <v>0</v>
      </c>
      <c r="BA62" s="25" t="str">
        <f t="shared" si="75"/>
        <v/>
      </c>
      <c r="BB62" s="25" t="str">
        <f t="shared" si="76"/>
        <v/>
      </c>
      <c r="BC62" s="25" t="str">
        <f t="shared" si="77"/>
        <v/>
      </c>
      <c r="BD62" s="25">
        <f>IF(ISERROR(VLOOKUP($K62,割合DB!$A:$B,2,FALSE))=TRUE,0,VLOOKUP($K62,割合DB!$A:$B,2,FALSE))</f>
        <v>0</v>
      </c>
      <c r="BE62" s="25">
        <f>IF(ISERROR(VLOOKUP($L62,割合DB!$A:$B,2,FALSE))=TRUE,0,VLOOKUP($L62,割合DB!$A:$B,2,FALSE))</f>
        <v>0</v>
      </c>
      <c r="BF62" s="25">
        <f>IF(ISERROR(VLOOKUP($M62,割合DB!$A:$B,2,FALSE))=TRUE,0,VLOOKUP($M62,割合DB!$A:$B,2,FALSE))</f>
        <v>0</v>
      </c>
      <c r="BG62" s="25">
        <f t="shared" si="78"/>
        <v>100</v>
      </c>
      <c r="BH62" s="18">
        <f t="shared" si="79"/>
        <v>100</v>
      </c>
      <c r="BI62" s="18">
        <f t="shared" si="33"/>
        <v>1</v>
      </c>
      <c r="BJ62" s="176"/>
      <c r="BK62" s="176"/>
      <c r="BL62" s="176"/>
      <c r="BM62" s="176"/>
      <c r="BN62" s="176"/>
      <c r="BO62" s="176"/>
      <c r="BP62" s="176"/>
      <c r="BQ62" s="176"/>
      <c r="BR62" s="176"/>
      <c r="BS62" s="176"/>
      <c r="BT62" s="176"/>
      <c r="BU62" s="176"/>
      <c r="BV62" s="176"/>
      <c r="BW62" s="176"/>
      <c r="BX62" s="176"/>
      <c r="BY62" s="176"/>
      <c r="BZ62" s="176"/>
      <c r="CA62" s="176"/>
    </row>
    <row r="63" spans="1:79" ht="27" customHeight="1" x14ac:dyDescent="0.15">
      <c r="A63" s="160" t="s">
        <v>555</v>
      </c>
      <c r="B63" s="21"/>
      <c r="C63" s="19"/>
      <c r="D63" s="40" t="str">
        <f t="shared" si="31"/>
        <v/>
      </c>
      <c r="E63" s="19"/>
      <c r="F63" s="26"/>
      <c r="G63" s="21"/>
      <c r="H63" s="22"/>
      <c r="I63" s="22"/>
      <c r="J63" s="22"/>
      <c r="K63" s="23"/>
      <c r="L63" s="23"/>
      <c r="M63" s="23"/>
      <c r="N63" s="146"/>
      <c r="O63" s="40">
        <f t="shared" si="57"/>
        <v>0</v>
      </c>
      <c r="P63" s="183" t="str">
        <f t="shared" si="58"/>
        <v/>
      </c>
      <c r="S63" s="18">
        <f t="shared" si="32"/>
        <v>0</v>
      </c>
      <c r="T63" s="18">
        <f t="shared" si="2"/>
        <v>0</v>
      </c>
      <c r="U63" s="18">
        <f>IF(C63="人工面",0,IF(G63="",0,IF(D63="湿性環境",VLOOKUP(G63,環境タイプⅡによる点数DB!A:B,2,FALSE),IF(D63="樹林",VLOOKUP(G63,環境タイプⅡによる点数DB!A:C,3,FALSE),IF(D63="低木・草地",VLOOKUP(G63,環境タイプⅡによる点数DB!A:D,4,FALSE),0)))))</f>
        <v>0</v>
      </c>
      <c r="V63" s="24" t="str">
        <f>$H63&amp;"in"&amp;基本情報!$C$13</f>
        <v>in</v>
      </c>
      <c r="W63" s="24">
        <f t="shared" si="3"/>
        <v>0</v>
      </c>
      <c r="X63" s="24">
        <f>IF($H63="",0,IF($D63="樹林",IF(ISERROR(VLOOKUP($V63,市町村・植物種ごとの樹林点数DB!$A:$G,7,FALSE))=TRUE,20,VLOOKUP($V63,市町村・植物種ごとの樹林点数DB!$A:$G,7,FALSE)),IF($D63="低木・草地",IF($H63="【ススキ】・【ネザサ】・【チガヤ】",45,10),0)))</f>
        <v>0</v>
      </c>
      <c r="Y63" s="24">
        <f t="shared" si="59"/>
        <v>0</v>
      </c>
      <c r="Z63" s="24">
        <f t="shared" si="60"/>
        <v>1</v>
      </c>
      <c r="AA63" s="24">
        <f t="shared" si="61"/>
        <v>1</v>
      </c>
      <c r="AB63" s="24">
        <f t="shared" si="62"/>
        <v>0</v>
      </c>
      <c r="AC63" s="25">
        <f t="shared" si="63"/>
        <v>0</v>
      </c>
      <c r="AD63" s="25">
        <f t="shared" si="64"/>
        <v>0</v>
      </c>
      <c r="AE63" s="25">
        <f t="shared" si="65"/>
        <v>0</v>
      </c>
      <c r="AF63" s="25" t="str">
        <f t="shared" si="66"/>
        <v/>
      </c>
      <c r="AG63" s="25" t="str">
        <f t="shared" si="67"/>
        <v/>
      </c>
      <c r="AH63" s="25" t="str">
        <f t="shared" si="68"/>
        <v/>
      </c>
      <c r="AI63" s="25">
        <f>IF(ISERROR(VLOOKUP(K63,割合DB!$A:$B,2,FALSE))=TRUE,100,VLOOKUP(K63,割合DB!$A:$B,2,FALSE))</f>
        <v>100</v>
      </c>
      <c r="AJ63" s="25">
        <f>IF(ISERROR(VLOOKUP(L63,割合DB!$A:$B,2,FALSE))=TRUE,100,VLOOKUP(L63,割合DB!$A:$B,2,FALSE))</f>
        <v>100</v>
      </c>
      <c r="AK63" s="25">
        <f>IF(ISERROR(VLOOKUP(M63,割合DB!$A:$B,2,FALSE))=TRUE,100,VLOOKUP(M63,割合DB!$A:$B,2,FALSE))</f>
        <v>100</v>
      </c>
      <c r="AL63" s="25">
        <f t="shared" si="69"/>
        <v>0</v>
      </c>
      <c r="AM63" s="18">
        <f t="shared" si="70"/>
        <v>0</v>
      </c>
      <c r="AN63" s="18">
        <f t="shared" si="71"/>
        <v>0</v>
      </c>
      <c r="AO63" s="18">
        <f t="shared" si="17"/>
        <v>0</v>
      </c>
      <c r="AP63" s="18">
        <f>IF($C63="人工面",0,IF($G63="",70,IF($D63="湿性環境",VLOOKUP($G63,環境タイプⅡによる点数DB!$A:$B,2,FALSE),IF($D63="樹林",VLOOKUP($G63,環境タイプⅡによる点数DB!$A:$C,3,FALSE),IF($D63="低木・草地",VLOOKUP($G63,環境タイプⅡによる点数DB!$A:$D,4,FALSE),0)))))</f>
        <v>70</v>
      </c>
      <c r="AQ63" s="24" t="str">
        <f>$H63&amp;"in"&amp;基本情報!$C$13</f>
        <v>in</v>
      </c>
      <c r="AR63" s="24">
        <f t="shared" si="18"/>
        <v>0</v>
      </c>
      <c r="AS63" s="24">
        <f>IF($H63="",0,IF($D63="樹林",IF(ISERROR(VLOOKUP($V63,市町村・植物種ごとの樹林点数DB!$A:$F,6,FALSE))=TRUE,10,VLOOKUP($V63,市町村・植物種ごとの樹林点数DB!$A:$F,6,FALSE)),IF($D63="低木・草地",IF(OR($H63="【ススキ】・【ネザサ】・【チガヤ】",$H63="不明"),45,10),0)))</f>
        <v>0</v>
      </c>
      <c r="AT63" s="24">
        <f t="shared" si="19"/>
        <v>0</v>
      </c>
      <c r="AU63" s="24">
        <f t="shared" si="20"/>
        <v>1</v>
      </c>
      <c r="AV63" s="24">
        <f t="shared" si="21"/>
        <v>0</v>
      </c>
      <c r="AW63" s="24">
        <f t="shared" si="22"/>
        <v>1</v>
      </c>
      <c r="AX63" s="25">
        <f t="shared" si="72"/>
        <v>0</v>
      </c>
      <c r="AY63" s="25">
        <f t="shared" si="73"/>
        <v>0</v>
      </c>
      <c r="AZ63" s="25">
        <f t="shared" si="74"/>
        <v>0</v>
      </c>
      <c r="BA63" s="25" t="str">
        <f t="shared" si="75"/>
        <v/>
      </c>
      <c r="BB63" s="25" t="str">
        <f t="shared" si="76"/>
        <v/>
      </c>
      <c r="BC63" s="25" t="str">
        <f t="shared" si="77"/>
        <v/>
      </c>
      <c r="BD63" s="25">
        <f>IF(ISERROR(VLOOKUP($K63,割合DB!$A:$B,2,FALSE))=TRUE,0,VLOOKUP($K63,割合DB!$A:$B,2,FALSE))</f>
        <v>0</v>
      </c>
      <c r="BE63" s="25">
        <f>IF(ISERROR(VLOOKUP($L63,割合DB!$A:$B,2,FALSE))=TRUE,0,VLOOKUP($L63,割合DB!$A:$B,2,FALSE))</f>
        <v>0</v>
      </c>
      <c r="BF63" s="25">
        <f>IF(ISERROR(VLOOKUP($M63,割合DB!$A:$B,2,FALSE))=TRUE,0,VLOOKUP($M63,割合DB!$A:$B,2,FALSE))</f>
        <v>0</v>
      </c>
      <c r="BG63" s="25">
        <f t="shared" si="78"/>
        <v>100</v>
      </c>
      <c r="BH63" s="18">
        <f t="shared" si="79"/>
        <v>100</v>
      </c>
      <c r="BI63" s="18">
        <f t="shared" si="33"/>
        <v>1</v>
      </c>
      <c r="BJ63" s="176"/>
      <c r="BK63" s="176"/>
      <c r="BL63" s="176"/>
      <c r="BM63" s="176"/>
      <c r="BN63" s="176"/>
      <c r="BO63" s="176"/>
      <c r="BP63" s="176"/>
      <c r="BQ63" s="176"/>
      <c r="BR63" s="176"/>
      <c r="BS63" s="176"/>
      <c r="BT63" s="176"/>
      <c r="BU63" s="176"/>
      <c r="BV63" s="176"/>
      <c r="BW63" s="176"/>
      <c r="BX63" s="176"/>
      <c r="BY63" s="176"/>
      <c r="BZ63" s="176"/>
      <c r="CA63" s="176"/>
    </row>
    <row r="64" spans="1:79" ht="27" customHeight="1" x14ac:dyDescent="0.15">
      <c r="A64" s="160" t="s">
        <v>556</v>
      </c>
      <c r="B64" s="21"/>
      <c r="C64" s="19"/>
      <c r="D64" s="40" t="str">
        <f t="shared" si="31"/>
        <v/>
      </c>
      <c r="E64" s="19"/>
      <c r="F64" s="26"/>
      <c r="G64" s="21"/>
      <c r="H64" s="22"/>
      <c r="I64" s="22"/>
      <c r="J64" s="22"/>
      <c r="K64" s="23"/>
      <c r="L64" s="23"/>
      <c r="M64" s="23"/>
      <c r="N64" s="146"/>
      <c r="O64" s="40">
        <f t="shared" si="57"/>
        <v>0</v>
      </c>
      <c r="P64" s="183" t="str">
        <f t="shared" si="58"/>
        <v/>
      </c>
      <c r="S64" s="18">
        <f t="shared" si="32"/>
        <v>0</v>
      </c>
      <c r="T64" s="18">
        <f t="shared" si="2"/>
        <v>0</v>
      </c>
      <c r="U64" s="18">
        <f>IF(C64="人工面",0,IF(G64="",0,IF(D64="湿性環境",VLOOKUP(G64,環境タイプⅡによる点数DB!A:B,2,FALSE),IF(D64="樹林",VLOOKUP(G64,環境タイプⅡによる点数DB!A:C,3,FALSE),IF(D64="低木・草地",VLOOKUP(G64,環境タイプⅡによる点数DB!A:D,4,FALSE),0)))))</f>
        <v>0</v>
      </c>
      <c r="V64" s="24" t="str">
        <f>$H64&amp;"in"&amp;基本情報!$C$13</f>
        <v>in</v>
      </c>
      <c r="W64" s="24">
        <f t="shared" si="3"/>
        <v>0</v>
      </c>
      <c r="X64" s="24">
        <f>IF($H64="",0,IF($D64="樹林",IF(ISERROR(VLOOKUP($V64,市町村・植物種ごとの樹林点数DB!$A:$G,7,FALSE))=TRUE,20,VLOOKUP($V64,市町村・植物種ごとの樹林点数DB!$A:$G,7,FALSE)),IF($D64="低木・草地",IF($H64="【ススキ】・【ネザサ】・【チガヤ】",45,10),0)))</f>
        <v>0</v>
      </c>
      <c r="Y64" s="24">
        <f t="shared" si="59"/>
        <v>0</v>
      </c>
      <c r="Z64" s="24">
        <f t="shared" si="60"/>
        <v>1</v>
      </c>
      <c r="AA64" s="24">
        <f t="shared" si="61"/>
        <v>1</v>
      </c>
      <c r="AB64" s="24">
        <f t="shared" si="62"/>
        <v>0</v>
      </c>
      <c r="AC64" s="25">
        <f t="shared" si="63"/>
        <v>0</v>
      </c>
      <c r="AD64" s="25">
        <f t="shared" si="64"/>
        <v>0</v>
      </c>
      <c r="AE64" s="25">
        <f t="shared" si="65"/>
        <v>0</v>
      </c>
      <c r="AF64" s="25" t="str">
        <f t="shared" si="66"/>
        <v/>
      </c>
      <c r="AG64" s="25" t="str">
        <f t="shared" si="67"/>
        <v/>
      </c>
      <c r="AH64" s="25" t="str">
        <f t="shared" si="68"/>
        <v/>
      </c>
      <c r="AI64" s="25">
        <f>IF(ISERROR(VLOOKUP(K64,割合DB!$A:$B,2,FALSE))=TRUE,100,VLOOKUP(K64,割合DB!$A:$B,2,FALSE))</f>
        <v>100</v>
      </c>
      <c r="AJ64" s="25">
        <f>IF(ISERROR(VLOOKUP(L64,割合DB!$A:$B,2,FALSE))=TRUE,100,VLOOKUP(L64,割合DB!$A:$B,2,FALSE))</f>
        <v>100</v>
      </c>
      <c r="AK64" s="25">
        <f>IF(ISERROR(VLOOKUP(M64,割合DB!$A:$B,2,FALSE))=TRUE,100,VLOOKUP(M64,割合DB!$A:$B,2,FALSE))</f>
        <v>100</v>
      </c>
      <c r="AL64" s="25">
        <f t="shared" si="69"/>
        <v>0</v>
      </c>
      <c r="AM64" s="18">
        <f t="shared" si="70"/>
        <v>0</v>
      </c>
      <c r="AN64" s="18">
        <f t="shared" si="71"/>
        <v>0</v>
      </c>
      <c r="AO64" s="18">
        <f t="shared" si="17"/>
        <v>0</v>
      </c>
      <c r="AP64" s="18">
        <f>IF($C64="人工面",0,IF($G64="",70,IF($D64="湿性環境",VLOOKUP($G64,環境タイプⅡによる点数DB!$A:$B,2,FALSE),IF($D64="樹林",VLOOKUP($G64,環境タイプⅡによる点数DB!$A:$C,3,FALSE),IF($D64="低木・草地",VLOOKUP($G64,環境タイプⅡによる点数DB!$A:$D,4,FALSE),0)))))</f>
        <v>70</v>
      </c>
      <c r="AQ64" s="24" t="str">
        <f>$H64&amp;"in"&amp;基本情報!$C$13</f>
        <v>in</v>
      </c>
      <c r="AR64" s="24">
        <f t="shared" si="18"/>
        <v>0</v>
      </c>
      <c r="AS64" s="24">
        <f>IF($H64="",0,IF($D64="樹林",IF(ISERROR(VLOOKUP($V64,市町村・植物種ごとの樹林点数DB!$A:$F,6,FALSE))=TRUE,10,VLOOKUP($V64,市町村・植物種ごとの樹林点数DB!$A:$F,6,FALSE)),IF($D64="低木・草地",IF(OR($H64="【ススキ】・【ネザサ】・【チガヤ】",$H64="不明"),45,10),0)))</f>
        <v>0</v>
      </c>
      <c r="AT64" s="24">
        <f t="shared" si="19"/>
        <v>0</v>
      </c>
      <c r="AU64" s="24">
        <f t="shared" si="20"/>
        <v>1</v>
      </c>
      <c r="AV64" s="24">
        <f t="shared" si="21"/>
        <v>0</v>
      </c>
      <c r="AW64" s="24">
        <f t="shared" si="22"/>
        <v>1</v>
      </c>
      <c r="AX64" s="25">
        <f t="shared" si="72"/>
        <v>0</v>
      </c>
      <c r="AY64" s="25">
        <f t="shared" si="73"/>
        <v>0</v>
      </c>
      <c r="AZ64" s="25">
        <f t="shared" si="74"/>
        <v>0</v>
      </c>
      <c r="BA64" s="25" t="str">
        <f t="shared" si="75"/>
        <v/>
      </c>
      <c r="BB64" s="25" t="str">
        <f t="shared" si="76"/>
        <v/>
      </c>
      <c r="BC64" s="25" t="str">
        <f t="shared" si="77"/>
        <v/>
      </c>
      <c r="BD64" s="25">
        <f>IF(ISERROR(VLOOKUP($K64,割合DB!$A:$B,2,FALSE))=TRUE,0,VLOOKUP($K64,割合DB!$A:$B,2,FALSE))</f>
        <v>0</v>
      </c>
      <c r="BE64" s="25">
        <f>IF(ISERROR(VLOOKUP($L64,割合DB!$A:$B,2,FALSE))=TRUE,0,VLOOKUP($L64,割合DB!$A:$B,2,FALSE))</f>
        <v>0</v>
      </c>
      <c r="BF64" s="25">
        <f>IF(ISERROR(VLOOKUP($M64,割合DB!$A:$B,2,FALSE))=TRUE,0,VLOOKUP($M64,割合DB!$A:$B,2,FALSE))</f>
        <v>0</v>
      </c>
      <c r="BG64" s="25">
        <f t="shared" si="78"/>
        <v>100</v>
      </c>
      <c r="BH64" s="18">
        <f t="shared" si="79"/>
        <v>100</v>
      </c>
      <c r="BI64" s="18">
        <f t="shared" si="33"/>
        <v>1</v>
      </c>
      <c r="BJ64" s="176"/>
      <c r="BK64" s="176"/>
      <c r="BL64" s="176"/>
      <c r="BM64" s="176"/>
      <c r="BN64" s="176"/>
      <c r="BO64" s="176"/>
      <c r="BP64" s="176"/>
      <c r="BQ64" s="176"/>
      <c r="BR64" s="176"/>
      <c r="BS64" s="176"/>
      <c r="BT64" s="176"/>
      <c r="BU64" s="176"/>
      <c r="BV64" s="176"/>
      <c r="BW64" s="176"/>
      <c r="BX64" s="176"/>
      <c r="BY64" s="176"/>
      <c r="BZ64" s="176"/>
      <c r="CA64" s="176"/>
    </row>
    <row r="65" spans="1:79" ht="27" customHeight="1" x14ac:dyDescent="0.15">
      <c r="A65" s="160" t="s">
        <v>557</v>
      </c>
      <c r="B65" s="21"/>
      <c r="C65" s="19"/>
      <c r="D65" s="40" t="str">
        <f t="shared" si="31"/>
        <v/>
      </c>
      <c r="E65" s="19"/>
      <c r="F65" s="26"/>
      <c r="G65" s="21"/>
      <c r="H65" s="22"/>
      <c r="I65" s="22"/>
      <c r="J65" s="22"/>
      <c r="K65" s="23"/>
      <c r="L65" s="23"/>
      <c r="M65" s="23"/>
      <c r="N65" s="146"/>
      <c r="O65" s="40">
        <f t="shared" si="57"/>
        <v>0</v>
      </c>
      <c r="P65" s="183" t="str">
        <f t="shared" si="58"/>
        <v/>
      </c>
      <c r="S65" s="18">
        <f t="shared" si="32"/>
        <v>0</v>
      </c>
      <c r="T65" s="18">
        <f t="shared" si="2"/>
        <v>0</v>
      </c>
      <c r="U65" s="18">
        <f>IF(C65="人工面",0,IF(G65="",0,IF(D65="湿性環境",VLOOKUP(G65,環境タイプⅡによる点数DB!A:B,2,FALSE),IF(D65="樹林",VLOOKUP(G65,環境タイプⅡによる点数DB!A:C,3,FALSE),IF(D65="低木・草地",VLOOKUP(G65,環境タイプⅡによる点数DB!A:D,4,FALSE),0)))))</f>
        <v>0</v>
      </c>
      <c r="V65" s="24" t="str">
        <f>$H65&amp;"in"&amp;基本情報!$C$13</f>
        <v>in</v>
      </c>
      <c r="W65" s="24">
        <f t="shared" si="3"/>
        <v>0</v>
      </c>
      <c r="X65" s="24">
        <f>IF($H65="",0,IF($D65="樹林",IF(ISERROR(VLOOKUP($V65,市町村・植物種ごとの樹林点数DB!$A:$G,7,FALSE))=TRUE,20,VLOOKUP($V65,市町村・植物種ごとの樹林点数DB!$A:$G,7,FALSE)),IF($D65="低木・草地",IF($H65="【ススキ】・【ネザサ】・【チガヤ】",45,10),0)))</f>
        <v>0</v>
      </c>
      <c r="Y65" s="24">
        <f t="shared" si="59"/>
        <v>0</v>
      </c>
      <c r="Z65" s="24">
        <f t="shared" si="60"/>
        <v>1</v>
      </c>
      <c r="AA65" s="24">
        <f t="shared" si="61"/>
        <v>1</v>
      </c>
      <c r="AB65" s="24">
        <f t="shared" si="62"/>
        <v>0</v>
      </c>
      <c r="AC65" s="25">
        <f t="shared" si="63"/>
        <v>0</v>
      </c>
      <c r="AD65" s="25">
        <f t="shared" si="64"/>
        <v>0</v>
      </c>
      <c r="AE65" s="25">
        <f t="shared" si="65"/>
        <v>0</v>
      </c>
      <c r="AF65" s="25" t="str">
        <f t="shared" si="66"/>
        <v/>
      </c>
      <c r="AG65" s="25" t="str">
        <f t="shared" si="67"/>
        <v/>
      </c>
      <c r="AH65" s="25" t="str">
        <f t="shared" si="68"/>
        <v/>
      </c>
      <c r="AI65" s="25">
        <f>IF(ISERROR(VLOOKUP(K65,割合DB!$A:$B,2,FALSE))=TRUE,100,VLOOKUP(K65,割合DB!$A:$B,2,FALSE))</f>
        <v>100</v>
      </c>
      <c r="AJ65" s="25">
        <f>IF(ISERROR(VLOOKUP(L65,割合DB!$A:$B,2,FALSE))=TRUE,100,VLOOKUP(L65,割合DB!$A:$B,2,FALSE))</f>
        <v>100</v>
      </c>
      <c r="AK65" s="25">
        <f>IF(ISERROR(VLOOKUP(M65,割合DB!$A:$B,2,FALSE))=TRUE,100,VLOOKUP(M65,割合DB!$A:$B,2,FALSE))</f>
        <v>100</v>
      </c>
      <c r="AL65" s="25">
        <f t="shared" si="69"/>
        <v>0</v>
      </c>
      <c r="AM65" s="18">
        <f t="shared" si="70"/>
        <v>0</v>
      </c>
      <c r="AN65" s="18">
        <f t="shared" si="71"/>
        <v>0</v>
      </c>
      <c r="AO65" s="18">
        <f t="shared" si="17"/>
        <v>0</v>
      </c>
      <c r="AP65" s="18">
        <f>IF($C65="人工面",0,IF($G65="",70,IF($D65="湿性環境",VLOOKUP($G65,環境タイプⅡによる点数DB!$A:$B,2,FALSE),IF($D65="樹林",VLOOKUP($G65,環境タイプⅡによる点数DB!$A:$C,3,FALSE),IF($D65="低木・草地",VLOOKUP($G65,環境タイプⅡによる点数DB!$A:$D,4,FALSE),0)))))</f>
        <v>70</v>
      </c>
      <c r="AQ65" s="24" t="str">
        <f>$H65&amp;"in"&amp;基本情報!$C$13</f>
        <v>in</v>
      </c>
      <c r="AR65" s="24">
        <f t="shared" si="18"/>
        <v>0</v>
      </c>
      <c r="AS65" s="24">
        <f>IF($H65="",0,IF($D65="樹林",IF(ISERROR(VLOOKUP($V65,市町村・植物種ごとの樹林点数DB!$A:$F,6,FALSE))=TRUE,10,VLOOKUP($V65,市町村・植物種ごとの樹林点数DB!$A:$F,6,FALSE)),IF($D65="低木・草地",IF(OR($H65="【ススキ】・【ネザサ】・【チガヤ】",$H65="不明"),45,10),0)))</f>
        <v>0</v>
      </c>
      <c r="AT65" s="24">
        <f t="shared" si="19"/>
        <v>0</v>
      </c>
      <c r="AU65" s="24">
        <f t="shared" si="20"/>
        <v>1</v>
      </c>
      <c r="AV65" s="24">
        <f t="shared" si="21"/>
        <v>0</v>
      </c>
      <c r="AW65" s="24">
        <f t="shared" si="22"/>
        <v>1</v>
      </c>
      <c r="AX65" s="25">
        <f t="shared" si="72"/>
        <v>0</v>
      </c>
      <c r="AY65" s="25">
        <f t="shared" si="73"/>
        <v>0</v>
      </c>
      <c r="AZ65" s="25">
        <f t="shared" si="74"/>
        <v>0</v>
      </c>
      <c r="BA65" s="25" t="str">
        <f t="shared" si="75"/>
        <v/>
      </c>
      <c r="BB65" s="25" t="str">
        <f t="shared" si="76"/>
        <v/>
      </c>
      <c r="BC65" s="25" t="str">
        <f t="shared" si="77"/>
        <v/>
      </c>
      <c r="BD65" s="25">
        <f>IF(ISERROR(VLOOKUP($K65,割合DB!$A:$B,2,FALSE))=TRUE,0,VLOOKUP($K65,割合DB!$A:$B,2,FALSE))</f>
        <v>0</v>
      </c>
      <c r="BE65" s="25">
        <f>IF(ISERROR(VLOOKUP($L65,割合DB!$A:$B,2,FALSE))=TRUE,0,VLOOKUP($L65,割合DB!$A:$B,2,FALSE))</f>
        <v>0</v>
      </c>
      <c r="BF65" s="25">
        <f>IF(ISERROR(VLOOKUP($M65,割合DB!$A:$B,2,FALSE))=TRUE,0,VLOOKUP($M65,割合DB!$A:$B,2,FALSE))</f>
        <v>0</v>
      </c>
      <c r="BG65" s="25">
        <f t="shared" si="78"/>
        <v>100</v>
      </c>
      <c r="BH65" s="18">
        <f t="shared" si="79"/>
        <v>100</v>
      </c>
      <c r="BI65" s="18">
        <f t="shared" si="33"/>
        <v>1</v>
      </c>
      <c r="BJ65" s="176"/>
      <c r="BK65" s="176"/>
      <c r="BL65" s="176"/>
      <c r="BM65" s="176"/>
      <c r="BN65" s="176"/>
      <c r="BO65" s="176"/>
      <c r="BP65" s="176"/>
      <c r="BQ65" s="176"/>
      <c r="BR65" s="176"/>
      <c r="BS65" s="176"/>
      <c r="BT65" s="176"/>
      <c r="BU65" s="176"/>
      <c r="BV65" s="176"/>
      <c r="BW65" s="176"/>
      <c r="BX65" s="176"/>
      <c r="BY65" s="176"/>
      <c r="BZ65" s="176"/>
      <c r="CA65" s="176"/>
    </row>
    <row r="66" spans="1:79" ht="27" customHeight="1" x14ac:dyDescent="0.15">
      <c r="A66" s="160" t="s">
        <v>558</v>
      </c>
      <c r="B66" s="21"/>
      <c r="C66" s="19"/>
      <c r="D66" s="40" t="str">
        <f t="shared" si="31"/>
        <v/>
      </c>
      <c r="E66" s="19"/>
      <c r="F66" s="26"/>
      <c r="G66" s="21"/>
      <c r="H66" s="22"/>
      <c r="I66" s="22"/>
      <c r="J66" s="22"/>
      <c r="K66" s="23"/>
      <c r="L66" s="23"/>
      <c r="M66" s="23"/>
      <c r="N66" s="146"/>
      <c r="O66" s="40">
        <f t="shared" si="57"/>
        <v>0</v>
      </c>
      <c r="P66" s="183" t="str">
        <f t="shared" si="58"/>
        <v/>
      </c>
      <c r="S66" s="18">
        <f t="shared" si="32"/>
        <v>0</v>
      </c>
      <c r="T66" s="18">
        <f t="shared" si="2"/>
        <v>0</v>
      </c>
      <c r="U66" s="18">
        <f>IF(C66="人工面",0,IF(G66="",0,IF(D66="湿性環境",VLOOKUP(G66,環境タイプⅡによる点数DB!A:B,2,FALSE),IF(D66="樹林",VLOOKUP(G66,環境タイプⅡによる点数DB!A:C,3,FALSE),IF(D66="低木・草地",VLOOKUP(G66,環境タイプⅡによる点数DB!A:D,4,FALSE),0)))))</f>
        <v>0</v>
      </c>
      <c r="V66" s="24" t="str">
        <f>$H66&amp;"in"&amp;基本情報!$C$13</f>
        <v>in</v>
      </c>
      <c r="W66" s="24">
        <f t="shared" si="3"/>
        <v>0</v>
      </c>
      <c r="X66" s="24">
        <f>IF($H66="",0,IF($D66="樹林",IF(ISERROR(VLOOKUP($V66,市町村・植物種ごとの樹林点数DB!$A:$G,7,FALSE))=TRUE,20,VLOOKUP($V66,市町村・植物種ごとの樹林点数DB!$A:$G,7,FALSE)),IF($D66="低木・草地",IF($H66="【ススキ】・【ネザサ】・【チガヤ】",45,10),0)))</f>
        <v>0</v>
      </c>
      <c r="Y66" s="24">
        <f t="shared" si="59"/>
        <v>0</v>
      </c>
      <c r="Z66" s="24">
        <f t="shared" si="60"/>
        <v>1</v>
      </c>
      <c r="AA66" s="24">
        <f t="shared" si="61"/>
        <v>1</v>
      </c>
      <c r="AB66" s="24">
        <f t="shared" si="62"/>
        <v>0</v>
      </c>
      <c r="AC66" s="25">
        <f t="shared" si="63"/>
        <v>0</v>
      </c>
      <c r="AD66" s="25">
        <f t="shared" si="64"/>
        <v>0</v>
      </c>
      <c r="AE66" s="25">
        <f t="shared" si="65"/>
        <v>0</v>
      </c>
      <c r="AF66" s="25" t="str">
        <f t="shared" si="66"/>
        <v/>
      </c>
      <c r="AG66" s="25" t="str">
        <f t="shared" si="67"/>
        <v/>
      </c>
      <c r="AH66" s="25" t="str">
        <f t="shared" si="68"/>
        <v/>
      </c>
      <c r="AI66" s="25">
        <f>IF(ISERROR(VLOOKUP(K66,割合DB!$A:$B,2,FALSE))=TRUE,100,VLOOKUP(K66,割合DB!$A:$B,2,FALSE))</f>
        <v>100</v>
      </c>
      <c r="AJ66" s="25">
        <f>IF(ISERROR(VLOOKUP(L66,割合DB!$A:$B,2,FALSE))=TRUE,100,VLOOKUP(L66,割合DB!$A:$B,2,FALSE))</f>
        <v>100</v>
      </c>
      <c r="AK66" s="25">
        <f>IF(ISERROR(VLOOKUP(M66,割合DB!$A:$B,2,FALSE))=TRUE,100,VLOOKUP(M66,割合DB!$A:$B,2,FALSE))</f>
        <v>100</v>
      </c>
      <c r="AL66" s="25">
        <f t="shared" si="69"/>
        <v>0</v>
      </c>
      <c r="AM66" s="18">
        <f t="shared" si="70"/>
        <v>0</v>
      </c>
      <c r="AN66" s="18">
        <f t="shared" si="71"/>
        <v>0</v>
      </c>
      <c r="AO66" s="18">
        <f t="shared" si="17"/>
        <v>0</v>
      </c>
      <c r="AP66" s="18">
        <f>IF($C66="人工面",0,IF($G66="",70,IF($D66="湿性環境",VLOOKUP($G66,環境タイプⅡによる点数DB!$A:$B,2,FALSE),IF($D66="樹林",VLOOKUP($G66,環境タイプⅡによる点数DB!$A:$C,3,FALSE),IF($D66="低木・草地",VLOOKUP($G66,環境タイプⅡによる点数DB!$A:$D,4,FALSE),0)))))</f>
        <v>70</v>
      </c>
      <c r="AQ66" s="24" t="str">
        <f>$H66&amp;"in"&amp;基本情報!$C$13</f>
        <v>in</v>
      </c>
      <c r="AR66" s="24">
        <f t="shared" si="18"/>
        <v>0</v>
      </c>
      <c r="AS66" s="24">
        <f>IF($H66="",0,IF($D66="樹林",IF(ISERROR(VLOOKUP($V66,市町村・植物種ごとの樹林点数DB!$A:$F,6,FALSE))=TRUE,10,VLOOKUP($V66,市町村・植物種ごとの樹林点数DB!$A:$F,6,FALSE)),IF($D66="低木・草地",IF(OR($H66="【ススキ】・【ネザサ】・【チガヤ】",$H66="不明"),45,10),0)))</f>
        <v>0</v>
      </c>
      <c r="AT66" s="24">
        <f t="shared" si="19"/>
        <v>0</v>
      </c>
      <c r="AU66" s="24">
        <f t="shared" si="20"/>
        <v>1</v>
      </c>
      <c r="AV66" s="24">
        <f t="shared" si="21"/>
        <v>0</v>
      </c>
      <c r="AW66" s="24">
        <f t="shared" si="22"/>
        <v>1</v>
      </c>
      <c r="AX66" s="25">
        <f t="shared" si="72"/>
        <v>0</v>
      </c>
      <c r="AY66" s="25">
        <f t="shared" si="73"/>
        <v>0</v>
      </c>
      <c r="AZ66" s="25">
        <f t="shared" si="74"/>
        <v>0</v>
      </c>
      <c r="BA66" s="25" t="str">
        <f t="shared" si="75"/>
        <v/>
      </c>
      <c r="BB66" s="25" t="str">
        <f t="shared" si="76"/>
        <v/>
      </c>
      <c r="BC66" s="25" t="str">
        <f t="shared" si="77"/>
        <v/>
      </c>
      <c r="BD66" s="25">
        <f>IF(ISERROR(VLOOKUP($K66,割合DB!$A:$B,2,FALSE))=TRUE,0,VLOOKUP($K66,割合DB!$A:$B,2,FALSE))</f>
        <v>0</v>
      </c>
      <c r="BE66" s="25">
        <f>IF(ISERROR(VLOOKUP($L66,割合DB!$A:$B,2,FALSE))=TRUE,0,VLOOKUP($L66,割合DB!$A:$B,2,FALSE))</f>
        <v>0</v>
      </c>
      <c r="BF66" s="25">
        <f>IF(ISERROR(VLOOKUP($M66,割合DB!$A:$B,2,FALSE))=TRUE,0,VLOOKUP($M66,割合DB!$A:$B,2,FALSE))</f>
        <v>0</v>
      </c>
      <c r="BG66" s="25">
        <f t="shared" si="78"/>
        <v>100</v>
      </c>
      <c r="BH66" s="18">
        <f t="shared" si="79"/>
        <v>100</v>
      </c>
      <c r="BI66" s="18">
        <f t="shared" si="33"/>
        <v>1</v>
      </c>
      <c r="BJ66" s="176"/>
      <c r="BK66" s="176"/>
      <c r="BL66" s="176"/>
      <c r="BM66" s="176"/>
      <c r="BN66" s="176"/>
      <c r="BO66" s="176"/>
      <c r="BP66" s="176"/>
      <c r="BQ66" s="176"/>
      <c r="BR66" s="176"/>
      <c r="BS66" s="176"/>
      <c r="BT66" s="176"/>
      <c r="BU66" s="176"/>
      <c r="BV66" s="176"/>
      <c r="BW66" s="176"/>
      <c r="BX66" s="176"/>
      <c r="BY66" s="176"/>
      <c r="BZ66" s="176"/>
      <c r="CA66" s="176"/>
    </row>
    <row r="67" spans="1:79" ht="27" customHeight="1" x14ac:dyDescent="0.15">
      <c r="A67" s="160" t="s">
        <v>559</v>
      </c>
      <c r="B67" s="21"/>
      <c r="C67" s="19"/>
      <c r="D67" s="40" t="str">
        <f t="shared" si="31"/>
        <v/>
      </c>
      <c r="E67" s="19"/>
      <c r="F67" s="26"/>
      <c r="G67" s="21"/>
      <c r="H67" s="22"/>
      <c r="I67" s="22"/>
      <c r="J67" s="22"/>
      <c r="K67" s="23"/>
      <c r="L67" s="23"/>
      <c r="M67" s="23"/>
      <c r="N67" s="146"/>
      <c r="O67" s="40">
        <f t="shared" si="57"/>
        <v>0</v>
      </c>
      <c r="P67" s="183" t="str">
        <f t="shared" si="58"/>
        <v/>
      </c>
      <c r="S67" s="18">
        <f t="shared" si="32"/>
        <v>0</v>
      </c>
      <c r="T67" s="18">
        <f t="shared" si="2"/>
        <v>0</v>
      </c>
      <c r="U67" s="18">
        <f>IF(C67="人工面",0,IF(G67="",0,IF(D67="湿性環境",VLOOKUP(G67,環境タイプⅡによる点数DB!A:B,2,FALSE),IF(D67="樹林",VLOOKUP(G67,環境タイプⅡによる点数DB!A:C,3,FALSE),IF(D67="低木・草地",VLOOKUP(G67,環境タイプⅡによる点数DB!A:D,4,FALSE),0)))))</f>
        <v>0</v>
      </c>
      <c r="V67" s="24" t="str">
        <f>$H67&amp;"in"&amp;基本情報!$C$13</f>
        <v>in</v>
      </c>
      <c r="W67" s="24">
        <f t="shared" si="3"/>
        <v>0</v>
      </c>
      <c r="X67" s="24">
        <f>IF($H67="",0,IF($D67="樹林",IF(ISERROR(VLOOKUP($V67,市町村・植物種ごとの樹林点数DB!$A:$G,7,FALSE))=TRUE,20,VLOOKUP($V67,市町村・植物種ごとの樹林点数DB!$A:$G,7,FALSE)),IF($D67="低木・草地",IF($H67="【ススキ】・【ネザサ】・【チガヤ】",45,10),0)))</f>
        <v>0</v>
      </c>
      <c r="Y67" s="24">
        <f t="shared" si="59"/>
        <v>0</v>
      </c>
      <c r="Z67" s="24">
        <f t="shared" si="60"/>
        <v>1</v>
      </c>
      <c r="AA67" s="24">
        <f t="shared" si="61"/>
        <v>1</v>
      </c>
      <c r="AB67" s="24">
        <f t="shared" si="62"/>
        <v>0</v>
      </c>
      <c r="AC67" s="25">
        <f t="shared" si="63"/>
        <v>0</v>
      </c>
      <c r="AD67" s="25">
        <f t="shared" si="64"/>
        <v>0</v>
      </c>
      <c r="AE67" s="25">
        <f t="shared" si="65"/>
        <v>0</v>
      </c>
      <c r="AF67" s="25" t="str">
        <f t="shared" si="66"/>
        <v/>
      </c>
      <c r="AG67" s="25" t="str">
        <f t="shared" si="67"/>
        <v/>
      </c>
      <c r="AH67" s="25" t="str">
        <f t="shared" si="68"/>
        <v/>
      </c>
      <c r="AI67" s="25">
        <f>IF(ISERROR(VLOOKUP(K67,割合DB!$A:$B,2,FALSE))=TRUE,100,VLOOKUP(K67,割合DB!$A:$B,2,FALSE))</f>
        <v>100</v>
      </c>
      <c r="AJ67" s="25">
        <f>IF(ISERROR(VLOOKUP(L67,割合DB!$A:$B,2,FALSE))=TRUE,100,VLOOKUP(L67,割合DB!$A:$B,2,FALSE))</f>
        <v>100</v>
      </c>
      <c r="AK67" s="25">
        <f>IF(ISERROR(VLOOKUP(M67,割合DB!$A:$B,2,FALSE))=TRUE,100,VLOOKUP(M67,割合DB!$A:$B,2,FALSE))</f>
        <v>100</v>
      </c>
      <c r="AL67" s="25">
        <f t="shared" si="69"/>
        <v>0</v>
      </c>
      <c r="AM67" s="18">
        <f t="shared" si="70"/>
        <v>0</v>
      </c>
      <c r="AN67" s="18">
        <f t="shared" si="71"/>
        <v>0</v>
      </c>
      <c r="AO67" s="18">
        <f t="shared" si="17"/>
        <v>0</v>
      </c>
      <c r="AP67" s="18">
        <f>IF($C67="人工面",0,IF($G67="",70,IF($D67="湿性環境",VLOOKUP($G67,環境タイプⅡによる点数DB!$A:$B,2,FALSE),IF($D67="樹林",VLOOKUP($G67,環境タイプⅡによる点数DB!$A:$C,3,FALSE),IF($D67="低木・草地",VLOOKUP($G67,環境タイプⅡによる点数DB!$A:$D,4,FALSE),0)))))</f>
        <v>70</v>
      </c>
      <c r="AQ67" s="24" t="str">
        <f>$H67&amp;"in"&amp;基本情報!$C$13</f>
        <v>in</v>
      </c>
      <c r="AR67" s="24">
        <f t="shared" si="18"/>
        <v>0</v>
      </c>
      <c r="AS67" s="24">
        <f>IF($H67="",0,IF($D67="樹林",IF(ISERROR(VLOOKUP($V67,市町村・植物種ごとの樹林点数DB!$A:$F,6,FALSE))=TRUE,10,VLOOKUP($V67,市町村・植物種ごとの樹林点数DB!$A:$F,6,FALSE)),IF($D67="低木・草地",IF(OR($H67="【ススキ】・【ネザサ】・【チガヤ】",$H67="不明"),45,10),0)))</f>
        <v>0</v>
      </c>
      <c r="AT67" s="24">
        <f t="shared" si="19"/>
        <v>0</v>
      </c>
      <c r="AU67" s="24">
        <f t="shared" si="20"/>
        <v>1</v>
      </c>
      <c r="AV67" s="24">
        <f t="shared" si="21"/>
        <v>0</v>
      </c>
      <c r="AW67" s="24">
        <f t="shared" si="22"/>
        <v>1</v>
      </c>
      <c r="AX67" s="25">
        <f t="shared" si="72"/>
        <v>0</v>
      </c>
      <c r="AY67" s="25">
        <f t="shared" si="73"/>
        <v>0</v>
      </c>
      <c r="AZ67" s="25">
        <f t="shared" si="74"/>
        <v>0</v>
      </c>
      <c r="BA67" s="25" t="str">
        <f t="shared" si="75"/>
        <v/>
      </c>
      <c r="BB67" s="25" t="str">
        <f t="shared" si="76"/>
        <v/>
      </c>
      <c r="BC67" s="25" t="str">
        <f t="shared" si="77"/>
        <v/>
      </c>
      <c r="BD67" s="25">
        <f>IF(ISERROR(VLOOKUP($K67,割合DB!$A:$B,2,FALSE))=TRUE,0,VLOOKUP($K67,割合DB!$A:$B,2,FALSE))</f>
        <v>0</v>
      </c>
      <c r="BE67" s="25">
        <f>IF(ISERROR(VLOOKUP($L67,割合DB!$A:$B,2,FALSE))=TRUE,0,VLOOKUP($L67,割合DB!$A:$B,2,FALSE))</f>
        <v>0</v>
      </c>
      <c r="BF67" s="25">
        <f>IF(ISERROR(VLOOKUP($M67,割合DB!$A:$B,2,FALSE))=TRUE,0,VLOOKUP($M67,割合DB!$A:$B,2,FALSE))</f>
        <v>0</v>
      </c>
      <c r="BG67" s="25">
        <f t="shared" si="78"/>
        <v>100</v>
      </c>
      <c r="BH67" s="18">
        <f t="shared" si="79"/>
        <v>100</v>
      </c>
      <c r="BI67" s="18">
        <f t="shared" si="33"/>
        <v>1</v>
      </c>
      <c r="BJ67" s="176"/>
      <c r="BK67" s="176"/>
      <c r="BL67" s="176"/>
      <c r="BM67" s="176"/>
      <c r="BN67" s="176"/>
      <c r="BO67" s="176"/>
      <c r="BP67" s="176"/>
      <c r="BQ67" s="176"/>
      <c r="BR67" s="176"/>
      <c r="BS67" s="176"/>
      <c r="BT67" s="176"/>
      <c r="BU67" s="176"/>
      <c r="BV67" s="176"/>
      <c r="BW67" s="176"/>
      <c r="BX67" s="176"/>
      <c r="BY67" s="176"/>
      <c r="BZ67" s="176"/>
      <c r="CA67" s="176"/>
    </row>
    <row r="68" spans="1:79" ht="27" customHeight="1" x14ac:dyDescent="0.15">
      <c r="A68" s="160" t="s">
        <v>560</v>
      </c>
      <c r="B68" s="21"/>
      <c r="C68" s="19"/>
      <c r="D68" s="40" t="str">
        <f t="shared" si="31"/>
        <v/>
      </c>
      <c r="E68" s="19"/>
      <c r="F68" s="26"/>
      <c r="G68" s="21"/>
      <c r="H68" s="22"/>
      <c r="I68" s="22"/>
      <c r="J68" s="22"/>
      <c r="K68" s="23"/>
      <c r="L68" s="23"/>
      <c r="M68" s="23"/>
      <c r="N68" s="146"/>
      <c r="O68" s="40">
        <f t="shared" si="57"/>
        <v>0</v>
      </c>
      <c r="P68" s="183" t="str">
        <f t="shared" si="58"/>
        <v/>
      </c>
      <c r="S68" s="18">
        <f t="shared" si="32"/>
        <v>0</v>
      </c>
      <c r="T68" s="18">
        <f t="shared" ref="T68:T73" si="80">IF(OR($C68="人工面",$C68=""),0,IF($C68=$D68,70,IF(AND($C68="低木・竹・草地",$D68="低木・草地"),70,IF(AND($C68="湿性環境",$D68="低木・草地",$G68="整備水田"),10,0))))</f>
        <v>0</v>
      </c>
      <c r="U68" s="18">
        <f>IF(C68="人工面",0,IF(G68="",0,IF(D68="湿性環境",VLOOKUP(G68,環境タイプⅡによる点数DB!A:B,2,FALSE),IF(D68="樹林",VLOOKUP(G68,環境タイプⅡによる点数DB!A:C,3,FALSE),IF(D68="低木・草地",VLOOKUP(G68,環境タイプⅡによる点数DB!A:D,4,FALSE),0)))))</f>
        <v>0</v>
      </c>
      <c r="V68" s="24" t="str">
        <f>$H68&amp;"in"&amp;基本情報!$C$13</f>
        <v>in</v>
      </c>
      <c r="W68" s="24">
        <f t="shared" ref="W68:W73" si="81">IF($G68="乾性草地",1,IF($G68="高さ8m以上の木",1,IF($G68="高さ3.5m以上8m未満の木",0.375,0)))</f>
        <v>0</v>
      </c>
      <c r="X68" s="24">
        <f>IF($H68="",0,IF($D68="樹林",IF(ISERROR(VLOOKUP($V68,市町村・植物種ごとの樹林点数DB!$A:$G,7,FALSE))=TRUE,20,VLOOKUP($V68,市町村・植物種ごとの樹林点数DB!$A:$G,7,FALSE)),IF($D68="低木・草地",IF($H68="【ススキ】・【ネザサ】・【チガヤ】",45,10),0)))</f>
        <v>0</v>
      </c>
      <c r="Y68" s="24">
        <f t="shared" si="59"/>
        <v>0</v>
      </c>
      <c r="Z68" s="24">
        <f t="shared" si="60"/>
        <v>1</v>
      </c>
      <c r="AA68" s="24">
        <f t="shared" si="61"/>
        <v>1</v>
      </c>
      <c r="AB68" s="24">
        <f t="shared" si="62"/>
        <v>0</v>
      </c>
      <c r="AC68" s="25">
        <f t="shared" si="63"/>
        <v>0</v>
      </c>
      <c r="AD68" s="25">
        <f t="shared" si="64"/>
        <v>0</v>
      </c>
      <c r="AE68" s="25">
        <f t="shared" si="65"/>
        <v>0</v>
      </c>
      <c r="AF68" s="25" t="str">
        <f t="shared" si="66"/>
        <v/>
      </c>
      <c r="AG68" s="25" t="str">
        <f t="shared" si="67"/>
        <v/>
      </c>
      <c r="AH68" s="25" t="str">
        <f t="shared" si="68"/>
        <v/>
      </c>
      <c r="AI68" s="25">
        <f>IF(ISERROR(VLOOKUP(K68,割合DB!$A:$B,2,FALSE))=TRUE,100,VLOOKUP(K68,割合DB!$A:$B,2,FALSE))</f>
        <v>100</v>
      </c>
      <c r="AJ68" s="25">
        <f>IF(ISERROR(VLOOKUP(L68,割合DB!$A:$B,2,FALSE))=TRUE,100,VLOOKUP(L68,割合DB!$A:$B,2,FALSE))</f>
        <v>100</v>
      </c>
      <c r="AK68" s="25">
        <f>IF(ISERROR(VLOOKUP(M68,割合DB!$A:$B,2,FALSE))=TRUE,100,VLOOKUP(M68,割合DB!$A:$B,2,FALSE))</f>
        <v>100</v>
      </c>
      <c r="AL68" s="25">
        <f t="shared" si="69"/>
        <v>0</v>
      </c>
      <c r="AM68" s="18">
        <f t="shared" si="70"/>
        <v>0</v>
      </c>
      <c r="AN68" s="18">
        <f t="shared" si="71"/>
        <v>0</v>
      </c>
      <c r="AO68" s="18">
        <f t="shared" ref="AO68:AO73" si="82">IF(OR($C68="人工面",$C68=""),0,IF($C68=$D68,70,IF(AND($C68="低木・竹・草地",$D68="低木・草地"),70,IF(AND($C68="湿性環境",$D68="低木・草地",$G68="整備水田"),10,0))))</f>
        <v>0</v>
      </c>
      <c r="AP68" s="18">
        <f>IF($C68="人工面",0,IF($G68="",70,IF($D68="湿性環境",VLOOKUP($G68,環境タイプⅡによる点数DB!$A:$B,2,FALSE),IF($D68="樹林",VLOOKUP($G68,環境タイプⅡによる点数DB!$A:$C,3,FALSE),IF($D68="低木・草地",VLOOKUP($G68,環境タイプⅡによる点数DB!$A:$D,4,FALSE),0)))))</f>
        <v>70</v>
      </c>
      <c r="AQ68" s="24" t="str">
        <f>$H68&amp;"in"&amp;基本情報!$C$13</f>
        <v>in</v>
      </c>
      <c r="AR68" s="24">
        <f t="shared" ref="AR68:AR73" si="83">IF($G68="乾性草地",1,IF($G68="高さ8m以上の木",1,IF($G68="高さ3.5m以上8m未満の木",0.375,0)))</f>
        <v>0</v>
      </c>
      <c r="AS68" s="24">
        <f>IF($H68="",0,IF($D68="樹林",IF(ISERROR(VLOOKUP($V68,市町村・植物種ごとの樹林点数DB!$A:$F,6,FALSE))=TRUE,10,VLOOKUP($V68,市町村・植物種ごとの樹林点数DB!$A:$F,6,FALSE)),IF($D68="低木・草地",IF(OR($H68="【ススキ】・【ネザサ】・【チガヤ】",$H68="不明"),45,10),0)))</f>
        <v>0</v>
      </c>
      <c r="AT68" s="24">
        <f t="shared" ref="AT68:AT73" si="84">IF($D68="樹林",IF($H68="",40,0),IF($D68="低木・草地",IF($H68="",45,0),0))</f>
        <v>0</v>
      </c>
      <c r="AU68" s="24">
        <f t="shared" ref="AU68:AU73" si="85">IF(OR($H68="その他の低木・草",$H68="【ススキ】・【ネザサ】・【チガヤ】"),0,1)</f>
        <v>1</v>
      </c>
      <c r="AV68" s="24">
        <f t="shared" ref="AV68:AV73" si="86">IF($I68="ほぼ無し",0,IF($I68="1/4程度",0.25,IF($I68="1/2程度",0.5,IF($I68="3/4程度",0.75,IF($I68="ほぼ全て",1,0)))))</f>
        <v>0</v>
      </c>
      <c r="AW68" s="24">
        <f t="shared" ref="AW68:AW73" si="87">IF($J68="無し",0,IF($J68="有り",1,IF($J68="不明",1,1)))</f>
        <v>1</v>
      </c>
      <c r="AX68" s="25">
        <f t="shared" si="72"/>
        <v>0</v>
      </c>
      <c r="AY68" s="25">
        <f t="shared" si="73"/>
        <v>0</v>
      </c>
      <c r="AZ68" s="25">
        <f t="shared" si="74"/>
        <v>0</v>
      </c>
      <c r="BA68" s="25" t="str">
        <f t="shared" si="75"/>
        <v/>
      </c>
      <c r="BB68" s="25" t="str">
        <f t="shared" si="76"/>
        <v/>
      </c>
      <c r="BC68" s="25" t="str">
        <f t="shared" si="77"/>
        <v/>
      </c>
      <c r="BD68" s="25">
        <f>IF(ISERROR(VLOOKUP($K68,割合DB!$A:$B,2,FALSE))=TRUE,0,VLOOKUP($K68,割合DB!$A:$B,2,FALSE))</f>
        <v>0</v>
      </c>
      <c r="BE68" s="25">
        <f>IF(ISERROR(VLOOKUP($L68,割合DB!$A:$B,2,FALSE))=TRUE,0,VLOOKUP($L68,割合DB!$A:$B,2,FALSE))</f>
        <v>0</v>
      </c>
      <c r="BF68" s="25">
        <f>IF(ISERROR(VLOOKUP($M68,割合DB!$A:$B,2,FALSE))=TRUE,0,VLOOKUP($M68,割合DB!$A:$B,2,FALSE))</f>
        <v>0</v>
      </c>
      <c r="BG68" s="25">
        <f t="shared" si="78"/>
        <v>100</v>
      </c>
      <c r="BH68" s="18">
        <f t="shared" si="79"/>
        <v>100</v>
      </c>
      <c r="BI68" s="18">
        <f t="shared" si="33"/>
        <v>1</v>
      </c>
      <c r="BJ68" s="176"/>
      <c r="BK68" s="176"/>
      <c r="BL68" s="176"/>
      <c r="BM68" s="176"/>
      <c r="BN68" s="176"/>
      <c r="BO68" s="176"/>
      <c r="BP68" s="176"/>
      <c r="BQ68" s="176"/>
      <c r="BR68" s="176"/>
      <c r="BS68" s="176"/>
      <c r="BT68" s="176"/>
      <c r="BU68" s="176"/>
      <c r="BV68" s="176"/>
      <c r="BW68" s="176"/>
      <c r="BX68" s="176"/>
      <c r="BY68" s="176"/>
      <c r="BZ68" s="176"/>
      <c r="CA68" s="176"/>
    </row>
    <row r="69" spans="1:79" ht="27" customHeight="1" x14ac:dyDescent="0.15">
      <c r="A69" s="160" t="s">
        <v>561</v>
      </c>
      <c r="B69" s="21"/>
      <c r="C69" s="19"/>
      <c r="D69" s="40" t="str">
        <f t="shared" ref="D69:D73" si="88">IF(E69="",IF(C69="","",IF(C69="低木・竹・草地","低木・草地",IF(C69="人工面","－",C69))),LEFT(E69,LEN(E69)-6))</f>
        <v/>
      </c>
      <c r="E69" s="19"/>
      <c r="F69" s="26"/>
      <c r="G69" s="21"/>
      <c r="H69" s="22"/>
      <c r="I69" s="22"/>
      <c r="J69" s="22"/>
      <c r="K69" s="23"/>
      <c r="L69" s="23"/>
      <c r="M69" s="23"/>
      <c r="N69" s="146"/>
      <c r="O69" s="40">
        <f t="shared" si="57"/>
        <v>0</v>
      </c>
      <c r="P69" s="183" t="str">
        <f t="shared" si="58"/>
        <v/>
      </c>
      <c r="S69" s="18">
        <f t="shared" ref="S69:S73" si="89">IF(T69=0,0,IF(U69="点数特定できず",SUM(AF69:AH69),U69))*BI69</f>
        <v>0</v>
      </c>
      <c r="T69" s="18">
        <f t="shared" si="80"/>
        <v>0</v>
      </c>
      <c r="U69" s="18">
        <f>IF(C69="人工面",0,IF(G69="",0,IF(D69="湿性環境",VLOOKUP(G69,環境タイプⅡによる点数DB!A:B,2,FALSE),IF(D69="樹林",VLOOKUP(G69,環境タイプⅡによる点数DB!A:C,3,FALSE),IF(D69="低木・草地",VLOOKUP(G69,環境タイプⅡによる点数DB!A:D,4,FALSE),0)))))</f>
        <v>0</v>
      </c>
      <c r="V69" s="24" t="str">
        <f>$H69&amp;"in"&amp;基本情報!$C$13</f>
        <v>in</v>
      </c>
      <c r="W69" s="24">
        <f t="shared" si="81"/>
        <v>0</v>
      </c>
      <c r="X69" s="24">
        <f>IF($H69="",0,IF($D69="樹林",IF(ISERROR(VLOOKUP($V69,市町村・植物種ごとの樹林点数DB!$A:$G,7,FALSE))=TRUE,20,VLOOKUP($V69,市町村・植物種ごとの樹林点数DB!$A:$G,7,FALSE)),IF($D69="低木・草地",IF($H69="【ススキ】・【ネザサ】・【チガヤ】",45,10),0)))</f>
        <v>0</v>
      </c>
      <c r="Y69" s="24">
        <f t="shared" si="59"/>
        <v>0</v>
      </c>
      <c r="Z69" s="24">
        <f t="shared" si="60"/>
        <v>1</v>
      </c>
      <c r="AA69" s="24">
        <f t="shared" si="61"/>
        <v>1</v>
      </c>
      <c r="AB69" s="24">
        <f t="shared" si="62"/>
        <v>0</v>
      </c>
      <c r="AC69" s="25">
        <f t="shared" si="63"/>
        <v>0</v>
      </c>
      <c r="AD69" s="25">
        <f t="shared" si="64"/>
        <v>0</v>
      </c>
      <c r="AE69" s="25">
        <f t="shared" si="65"/>
        <v>0</v>
      </c>
      <c r="AF69" s="25" t="str">
        <f t="shared" si="66"/>
        <v/>
      </c>
      <c r="AG69" s="25" t="str">
        <f t="shared" si="67"/>
        <v/>
      </c>
      <c r="AH69" s="25" t="str">
        <f t="shared" si="68"/>
        <v/>
      </c>
      <c r="AI69" s="25">
        <f>IF(ISERROR(VLOOKUP(K69,割合DB!$A:$B,2,FALSE))=TRUE,100,VLOOKUP(K69,割合DB!$A:$B,2,FALSE))</f>
        <v>100</v>
      </c>
      <c r="AJ69" s="25">
        <f>IF(ISERROR(VLOOKUP(L69,割合DB!$A:$B,2,FALSE))=TRUE,100,VLOOKUP(L69,割合DB!$A:$B,2,FALSE))</f>
        <v>100</v>
      </c>
      <c r="AK69" s="25">
        <f>IF(ISERROR(VLOOKUP(M69,割合DB!$A:$B,2,FALSE))=TRUE,100,VLOOKUP(M69,割合DB!$A:$B,2,FALSE))</f>
        <v>100</v>
      </c>
      <c r="AL69" s="25">
        <f t="shared" si="69"/>
        <v>0</v>
      </c>
      <c r="AM69" s="18">
        <f t="shared" si="70"/>
        <v>0</v>
      </c>
      <c r="AN69" s="18">
        <f t="shared" si="71"/>
        <v>0</v>
      </c>
      <c r="AO69" s="18">
        <f t="shared" si="82"/>
        <v>0</v>
      </c>
      <c r="AP69" s="18">
        <f>IF($C69="人工面",0,IF($G69="",70,IF($D69="湿性環境",VLOOKUP($G69,環境タイプⅡによる点数DB!$A:$B,2,FALSE),IF($D69="樹林",VLOOKUP($G69,環境タイプⅡによる点数DB!$A:$C,3,FALSE),IF($D69="低木・草地",VLOOKUP($G69,環境タイプⅡによる点数DB!$A:$D,4,FALSE),0)))))</f>
        <v>70</v>
      </c>
      <c r="AQ69" s="24" t="str">
        <f>$H69&amp;"in"&amp;基本情報!$C$13</f>
        <v>in</v>
      </c>
      <c r="AR69" s="24">
        <f t="shared" si="83"/>
        <v>0</v>
      </c>
      <c r="AS69" s="24">
        <f>IF($H69="",0,IF($D69="樹林",IF(ISERROR(VLOOKUP($V69,市町村・植物種ごとの樹林点数DB!$A:$F,6,FALSE))=TRUE,10,VLOOKUP($V69,市町村・植物種ごとの樹林点数DB!$A:$F,6,FALSE)),IF($D69="低木・草地",IF(OR($H69="【ススキ】・【ネザサ】・【チガヤ】",$H69="不明"),45,10),0)))</f>
        <v>0</v>
      </c>
      <c r="AT69" s="24">
        <f t="shared" si="84"/>
        <v>0</v>
      </c>
      <c r="AU69" s="24">
        <f t="shared" si="85"/>
        <v>1</v>
      </c>
      <c r="AV69" s="24">
        <f t="shared" si="86"/>
        <v>0</v>
      </c>
      <c r="AW69" s="24">
        <f t="shared" si="87"/>
        <v>1</v>
      </c>
      <c r="AX69" s="25">
        <f t="shared" si="72"/>
        <v>0</v>
      </c>
      <c r="AY69" s="25">
        <f t="shared" si="73"/>
        <v>0</v>
      </c>
      <c r="AZ69" s="25">
        <f t="shared" si="74"/>
        <v>0</v>
      </c>
      <c r="BA69" s="25" t="str">
        <f t="shared" si="75"/>
        <v/>
      </c>
      <c r="BB69" s="25" t="str">
        <f t="shared" si="76"/>
        <v/>
      </c>
      <c r="BC69" s="25" t="str">
        <f t="shared" si="77"/>
        <v/>
      </c>
      <c r="BD69" s="25">
        <f>IF(ISERROR(VLOOKUP($K69,割合DB!$A:$B,2,FALSE))=TRUE,0,VLOOKUP($K69,割合DB!$A:$B,2,FALSE))</f>
        <v>0</v>
      </c>
      <c r="BE69" s="25">
        <f>IF(ISERROR(VLOOKUP($L69,割合DB!$A:$B,2,FALSE))=TRUE,0,VLOOKUP($L69,割合DB!$A:$B,2,FALSE))</f>
        <v>0</v>
      </c>
      <c r="BF69" s="25">
        <f>IF(ISERROR(VLOOKUP($M69,割合DB!$A:$B,2,FALSE))=TRUE,0,VLOOKUP($M69,割合DB!$A:$B,2,FALSE))</f>
        <v>0</v>
      </c>
      <c r="BG69" s="25">
        <f t="shared" si="78"/>
        <v>100</v>
      </c>
      <c r="BH69" s="18">
        <f t="shared" si="79"/>
        <v>100</v>
      </c>
      <c r="BI69" s="18">
        <f t="shared" ref="BI69:BI73" si="90">IF(N69="",1,IF(N69="CR",30,IF(N69="EN",20,IF(N69="VU",5,1))))</f>
        <v>1</v>
      </c>
      <c r="BJ69" s="176"/>
      <c r="BK69" s="176"/>
      <c r="BL69" s="176"/>
      <c r="BM69" s="176"/>
      <c r="BN69" s="176"/>
      <c r="BO69" s="176"/>
      <c r="BP69" s="176"/>
      <c r="BQ69" s="176"/>
      <c r="BR69" s="176"/>
      <c r="BS69" s="176"/>
      <c r="BT69" s="176"/>
      <c r="BU69" s="176"/>
      <c r="BV69" s="176"/>
      <c r="BW69" s="176"/>
      <c r="BX69" s="176"/>
      <c r="BY69" s="176"/>
      <c r="BZ69" s="176"/>
      <c r="CA69" s="176"/>
    </row>
    <row r="70" spans="1:79" ht="27" customHeight="1" x14ac:dyDescent="0.15">
      <c r="A70" s="160" t="s">
        <v>562</v>
      </c>
      <c r="B70" s="21"/>
      <c r="C70" s="19"/>
      <c r="D70" s="40" t="str">
        <f t="shared" si="88"/>
        <v/>
      </c>
      <c r="E70" s="19"/>
      <c r="F70" s="26"/>
      <c r="G70" s="21"/>
      <c r="H70" s="22"/>
      <c r="I70" s="22"/>
      <c r="J70" s="22"/>
      <c r="K70" s="23"/>
      <c r="L70" s="23"/>
      <c r="M70" s="23"/>
      <c r="N70" s="146"/>
      <c r="O70" s="40">
        <f t="shared" si="57"/>
        <v>0</v>
      </c>
      <c r="P70" s="183" t="str">
        <f t="shared" si="58"/>
        <v/>
      </c>
      <c r="S70" s="18">
        <f t="shared" si="89"/>
        <v>0</v>
      </c>
      <c r="T70" s="18">
        <f t="shared" si="80"/>
        <v>0</v>
      </c>
      <c r="U70" s="18">
        <f>IF(C70="人工面",0,IF(G70="",0,IF(D70="湿性環境",VLOOKUP(G70,環境タイプⅡによる点数DB!A:B,2,FALSE),IF(D70="樹林",VLOOKUP(G70,環境タイプⅡによる点数DB!A:C,3,FALSE),IF(D70="低木・草地",VLOOKUP(G70,環境タイプⅡによる点数DB!A:D,4,FALSE),0)))))</f>
        <v>0</v>
      </c>
      <c r="V70" s="24" t="str">
        <f>$H70&amp;"in"&amp;基本情報!$C$13</f>
        <v>in</v>
      </c>
      <c r="W70" s="24">
        <f t="shared" si="81"/>
        <v>0</v>
      </c>
      <c r="X70" s="24">
        <f>IF($H70="",0,IF($D70="樹林",IF(ISERROR(VLOOKUP($V70,市町村・植物種ごとの樹林点数DB!$A:$G,7,FALSE))=TRUE,20,VLOOKUP($V70,市町村・植物種ごとの樹林点数DB!$A:$G,7,FALSE)),IF($D70="低木・草地",IF($H70="【ススキ】・【ネザサ】・【チガヤ】",45,10),0)))</f>
        <v>0</v>
      </c>
      <c r="Y70" s="24">
        <f t="shared" si="59"/>
        <v>0</v>
      </c>
      <c r="Z70" s="24">
        <f t="shared" si="60"/>
        <v>1</v>
      </c>
      <c r="AA70" s="24">
        <f t="shared" si="61"/>
        <v>1</v>
      </c>
      <c r="AB70" s="24">
        <f t="shared" si="62"/>
        <v>0</v>
      </c>
      <c r="AC70" s="25">
        <f t="shared" si="63"/>
        <v>0</v>
      </c>
      <c r="AD70" s="25">
        <f t="shared" si="64"/>
        <v>0</v>
      </c>
      <c r="AE70" s="25">
        <f t="shared" si="65"/>
        <v>0</v>
      </c>
      <c r="AF70" s="25" t="str">
        <f t="shared" si="66"/>
        <v/>
      </c>
      <c r="AG70" s="25" t="str">
        <f t="shared" si="67"/>
        <v/>
      </c>
      <c r="AH70" s="25" t="str">
        <f t="shared" si="68"/>
        <v/>
      </c>
      <c r="AI70" s="25">
        <f>IF(ISERROR(VLOOKUP(K70,割合DB!$A:$B,2,FALSE))=TRUE,100,VLOOKUP(K70,割合DB!$A:$B,2,FALSE))</f>
        <v>100</v>
      </c>
      <c r="AJ70" s="25">
        <f>IF(ISERROR(VLOOKUP(L70,割合DB!$A:$B,2,FALSE))=TRUE,100,VLOOKUP(L70,割合DB!$A:$B,2,FALSE))</f>
        <v>100</v>
      </c>
      <c r="AK70" s="25">
        <f>IF(ISERROR(VLOOKUP(M70,割合DB!$A:$B,2,FALSE))=TRUE,100,VLOOKUP(M70,割合DB!$A:$B,2,FALSE))</f>
        <v>100</v>
      </c>
      <c r="AL70" s="25">
        <f t="shared" si="69"/>
        <v>0</v>
      </c>
      <c r="AM70" s="18">
        <f t="shared" si="70"/>
        <v>0</v>
      </c>
      <c r="AN70" s="18">
        <f t="shared" si="71"/>
        <v>0</v>
      </c>
      <c r="AO70" s="18">
        <f t="shared" si="82"/>
        <v>0</v>
      </c>
      <c r="AP70" s="18">
        <f>IF($C70="人工面",0,IF($G70="",70,IF($D70="湿性環境",VLOOKUP($G70,環境タイプⅡによる点数DB!$A:$B,2,FALSE),IF($D70="樹林",VLOOKUP($G70,環境タイプⅡによる点数DB!$A:$C,3,FALSE),IF($D70="低木・草地",VLOOKUP($G70,環境タイプⅡによる点数DB!$A:$D,4,FALSE),0)))))</f>
        <v>70</v>
      </c>
      <c r="AQ70" s="24" t="str">
        <f>$H70&amp;"in"&amp;基本情報!$C$13</f>
        <v>in</v>
      </c>
      <c r="AR70" s="24">
        <f t="shared" si="83"/>
        <v>0</v>
      </c>
      <c r="AS70" s="24">
        <f>IF($H70="",0,IF($D70="樹林",IF(ISERROR(VLOOKUP($V70,市町村・植物種ごとの樹林点数DB!$A:$F,6,FALSE))=TRUE,10,VLOOKUP($V70,市町村・植物種ごとの樹林点数DB!$A:$F,6,FALSE)),IF($D70="低木・草地",IF(OR($H70="【ススキ】・【ネザサ】・【チガヤ】",$H70="不明"),45,10),0)))</f>
        <v>0</v>
      </c>
      <c r="AT70" s="24">
        <f t="shared" si="84"/>
        <v>0</v>
      </c>
      <c r="AU70" s="24">
        <f t="shared" si="85"/>
        <v>1</v>
      </c>
      <c r="AV70" s="24">
        <f t="shared" si="86"/>
        <v>0</v>
      </c>
      <c r="AW70" s="24">
        <f t="shared" si="87"/>
        <v>1</v>
      </c>
      <c r="AX70" s="25">
        <f t="shared" si="72"/>
        <v>0</v>
      </c>
      <c r="AY70" s="25">
        <f t="shared" si="73"/>
        <v>0</v>
      </c>
      <c r="AZ70" s="25">
        <f t="shared" si="74"/>
        <v>0</v>
      </c>
      <c r="BA70" s="25" t="str">
        <f t="shared" si="75"/>
        <v/>
      </c>
      <c r="BB70" s="25" t="str">
        <f t="shared" si="76"/>
        <v/>
      </c>
      <c r="BC70" s="25" t="str">
        <f t="shared" si="77"/>
        <v/>
      </c>
      <c r="BD70" s="25">
        <f>IF(ISERROR(VLOOKUP($K70,割合DB!$A:$B,2,FALSE))=TRUE,0,VLOOKUP($K70,割合DB!$A:$B,2,FALSE))</f>
        <v>0</v>
      </c>
      <c r="BE70" s="25">
        <f>IF(ISERROR(VLOOKUP($L70,割合DB!$A:$B,2,FALSE))=TRUE,0,VLOOKUP($L70,割合DB!$A:$B,2,FALSE))</f>
        <v>0</v>
      </c>
      <c r="BF70" s="25">
        <f>IF(ISERROR(VLOOKUP($M70,割合DB!$A:$B,2,FALSE))=TRUE,0,VLOOKUP($M70,割合DB!$A:$B,2,FALSE))</f>
        <v>0</v>
      </c>
      <c r="BG70" s="25">
        <f t="shared" si="78"/>
        <v>100</v>
      </c>
      <c r="BH70" s="18">
        <f t="shared" si="79"/>
        <v>100</v>
      </c>
      <c r="BI70" s="18">
        <f t="shared" si="90"/>
        <v>1</v>
      </c>
      <c r="BJ70" s="176"/>
      <c r="BK70" s="176"/>
      <c r="BL70" s="176"/>
      <c r="BM70" s="176"/>
      <c r="BN70" s="176"/>
      <c r="BO70" s="176"/>
      <c r="BP70" s="176"/>
      <c r="BQ70" s="176"/>
      <c r="BR70" s="176"/>
      <c r="BS70" s="176"/>
      <c r="BT70" s="176"/>
      <c r="BU70" s="176"/>
      <c r="BV70" s="176"/>
      <c r="BW70" s="176"/>
      <c r="BX70" s="176"/>
      <c r="BY70" s="176"/>
      <c r="BZ70" s="176"/>
      <c r="CA70" s="176"/>
    </row>
    <row r="71" spans="1:79" ht="27" customHeight="1" x14ac:dyDescent="0.15">
      <c r="A71" s="160" t="s">
        <v>563</v>
      </c>
      <c r="B71" s="21"/>
      <c r="C71" s="19"/>
      <c r="D71" s="40" t="str">
        <f t="shared" si="88"/>
        <v/>
      </c>
      <c r="E71" s="19"/>
      <c r="F71" s="26"/>
      <c r="G71" s="21"/>
      <c r="H71" s="22"/>
      <c r="I71" s="22"/>
      <c r="J71" s="22"/>
      <c r="K71" s="23"/>
      <c r="L71" s="23"/>
      <c r="M71" s="23"/>
      <c r="N71" s="146"/>
      <c r="O71" s="40">
        <f t="shared" si="57"/>
        <v>0</v>
      </c>
      <c r="P71" s="183" t="str">
        <f t="shared" si="58"/>
        <v/>
      </c>
      <c r="S71" s="18">
        <f t="shared" si="89"/>
        <v>0</v>
      </c>
      <c r="T71" s="18">
        <f t="shared" si="80"/>
        <v>0</v>
      </c>
      <c r="U71" s="18">
        <f>IF(C71="人工面",0,IF(G71="",0,IF(D71="湿性環境",VLOOKUP(G71,環境タイプⅡによる点数DB!A:B,2,FALSE),IF(D71="樹林",VLOOKUP(G71,環境タイプⅡによる点数DB!A:C,3,FALSE),IF(D71="低木・草地",VLOOKUP(G71,環境タイプⅡによる点数DB!A:D,4,FALSE),0)))))</f>
        <v>0</v>
      </c>
      <c r="V71" s="24" t="str">
        <f>$H71&amp;"in"&amp;基本情報!$C$13</f>
        <v>in</v>
      </c>
      <c r="W71" s="24">
        <f t="shared" si="81"/>
        <v>0</v>
      </c>
      <c r="X71" s="24">
        <f>IF($H71="",0,IF($D71="樹林",IF(ISERROR(VLOOKUP($V71,市町村・植物種ごとの樹林点数DB!$A:$G,7,FALSE))=TRUE,20,VLOOKUP($V71,市町村・植物種ごとの樹林点数DB!$A:$G,7,FALSE)),IF($D71="低木・草地",IF($H71="【ススキ】・【ネザサ】・【チガヤ】",45,10),0)))</f>
        <v>0</v>
      </c>
      <c r="Y71" s="24">
        <f t="shared" si="59"/>
        <v>0</v>
      </c>
      <c r="Z71" s="24">
        <f t="shared" si="60"/>
        <v>1</v>
      </c>
      <c r="AA71" s="24">
        <f t="shared" si="61"/>
        <v>1</v>
      </c>
      <c r="AB71" s="24">
        <f t="shared" si="62"/>
        <v>0</v>
      </c>
      <c r="AC71" s="25">
        <f t="shared" si="63"/>
        <v>0</v>
      </c>
      <c r="AD71" s="25">
        <f t="shared" si="64"/>
        <v>0</v>
      </c>
      <c r="AE71" s="25">
        <f t="shared" si="65"/>
        <v>0</v>
      </c>
      <c r="AF71" s="25" t="str">
        <f t="shared" si="66"/>
        <v/>
      </c>
      <c r="AG71" s="25" t="str">
        <f t="shared" si="67"/>
        <v/>
      </c>
      <c r="AH71" s="25" t="str">
        <f t="shared" si="68"/>
        <v/>
      </c>
      <c r="AI71" s="25">
        <f>IF(ISERROR(VLOOKUP(K71,割合DB!$A:$B,2,FALSE))=TRUE,100,VLOOKUP(K71,割合DB!$A:$B,2,FALSE))</f>
        <v>100</v>
      </c>
      <c r="AJ71" s="25">
        <f>IF(ISERROR(VLOOKUP(L71,割合DB!$A:$B,2,FALSE))=TRUE,100,VLOOKUP(L71,割合DB!$A:$B,2,FALSE))</f>
        <v>100</v>
      </c>
      <c r="AK71" s="25">
        <f>IF(ISERROR(VLOOKUP(M71,割合DB!$A:$B,2,FALSE))=TRUE,100,VLOOKUP(M71,割合DB!$A:$B,2,FALSE))</f>
        <v>100</v>
      </c>
      <c r="AL71" s="25">
        <f t="shared" si="69"/>
        <v>0</v>
      </c>
      <c r="AM71" s="18">
        <f t="shared" si="70"/>
        <v>0</v>
      </c>
      <c r="AN71" s="18">
        <f t="shared" si="71"/>
        <v>0</v>
      </c>
      <c r="AO71" s="18">
        <f t="shared" si="82"/>
        <v>0</v>
      </c>
      <c r="AP71" s="18">
        <f>IF($C71="人工面",0,IF($G71="",70,IF($D71="湿性環境",VLOOKUP($G71,環境タイプⅡによる点数DB!$A:$B,2,FALSE),IF($D71="樹林",VLOOKUP($G71,環境タイプⅡによる点数DB!$A:$C,3,FALSE),IF($D71="低木・草地",VLOOKUP($G71,環境タイプⅡによる点数DB!$A:$D,4,FALSE),0)))))</f>
        <v>70</v>
      </c>
      <c r="AQ71" s="24" t="str">
        <f>$H71&amp;"in"&amp;基本情報!$C$13</f>
        <v>in</v>
      </c>
      <c r="AR71" s="24">
        <f t="shared" si="83"/>
        <v>0</v>
      </c>
      <c r="AS71" s="24">
        <f>IF($H71="",0,IF($D71="樹林",IF(ISERROR(VLOOKUP($V71,市町村・植物種ごとの樹林点数DB!$A:$F,6,FALSE))=TRUE,10,VLOOKUP($V71,市町村・植物種ごとの樹林点数DB!$A:$F,6,FALSE)),IF($D71="低木・草地",IF(OR($H71="【ススキ】・【ネザサ】・【チガヤ】",$H71="不明"),45,10),0)))</f>
        <v>0</v>
      </c>
      <c r="AT71" s="24">
        <f t="shared" si="84"/>
        <v>0</v>
      </c>
      <c r="AU71" s="24">
        <f t="shared" si="85"/>
        <v>1</v>
      </c>
      <c r="AV71" s="24">
        <f t="shared" si="86"/>
        <v>0</v>
      </c>
      <c r="AW71" s="24">
        <f t="shared" si="87"/>
        <v>1</v>
      </c>
      <c r="AX71" s="25">
        <f t="shared" si="72"/>
        <v>0</v>
      </c>
      <c r="AY71" s="25">
        <f t="shared" si="73"/>
        <v>0</v>
      </c>
      <c r="AZ71" s="25">
        <f t="shared" si="74"/>
        <v>0</v>
      </c>
      <c r="BA71" s="25" t="str">
        <f t="shared" si="75"/>
        <v/>
      </c>
      <c r="BB71" s="25" t="str">
        <f t="shared" si="76"/>
        <v/>
      </c>
      <c r="BC71" s="25" t="str">
        <f t="shared" si="77"/>
        <v/>
      </c>
      <c r="BD71" s="25">
        <f>IF(ISERROR(VLOOKUP($K71,割合DB!$A:$B,2,FALSE))=TRUE,0,VLOOKUP($K71,割合DB!$A:$B,2,FALSE))</f>
        <v>0</v>
      </c>
      <c r="BE71" s="25">
        <f>IF(ISERROR(VLOOKUP($L71,割合DB!$A:$B,2,FALSE))=TRUE,0,VLOOKUP($L71,割合DB!$A:$B,2,FALSE))</f>
        <v>0</v>
      </c>
      <c r="BF71" s="25">
        <f>IF(ISERROR(VLOOKUP($M71,割合DB!$A:$B,2,FALSE))=TRUE,0,VLOOKUP($M71,割合DB!$A:$B,2,FALSE))</f>
        <v>0</v>
      </c>
      <c r="BG71" s="25">
        <f t="shared" si="78"/>
        <v>100</v>
      </c>
      <c r="BH71" s="18">
        <f t="shared" si="79"/>
        <v>100</v>
      </c>
      <c r="BI71" s="18">
        <f t="shared" si="90"/>
        <v>1</v>
      </c>
      <c r="BJ71" s="176"/>
      <c r="BK71" s="176"/>
      <c r="BL71" s="176"/>
      <c r="BM71" s="176"/>
      <c r="BN71" s="176"/>
      <c r="BO71" s="176"/>
      <c r="BP71" s="176"/>
      <c r="BQ71" s="176"/>
      <c r="BR71" s="176"/>
      <c r="BS71" s="176"/>
      <c r="BT71" s="176"/>
      <c r="BU71" s="176"/>
      <c r="BV71" s="176"/>
      <c r="BW71" s="176"/>
      <c r="BX71" s="176"/>
      <c r="BY71" s="176"/>
      <c r="BZ71" s="176"/>
      <c r="CA71" s="176"/>
    </row>
    <row r="72" spans="1:79" ht="27" customHeight="1" x14ac:dyDescent="0.15">
      <c r="A72" s="160" t="s">
        <v>564</v>
      </c>
      <c r="B72" s="21"/>
      <c r="C72" s="19"/>
      <c r="D72" s="40" t="str">
        <f t="shared" si="88"/>
        <v/>
      </c>
      <c r="E72" s="19"/>
      <c r="F72" s="26"/>
      <c r="G72" s="21"/>
      <c r="H72" s="22"/>
      <c r="I72" s="22"/>
      <c r="J72" s="22"/>
      <c r="K72" s="23"/>
      <c r="L72" s="23"/>
      <c r="M72" s="23"/>
      <c r="N72" s="146"/>
      <c r="O72" s="40">
        <f t="shared" si="57"/>
        <v>0</v>
      </c>
      <c r="P72" s="183" t="str">
        <f t="shared" si="58"/>
        <v/>
      </c>
      <c r="S72" s="18">
        <f t="shared" si="89"/>
        <v>0</v>
      </c>
      <c r="T72" s="18">
        <f t="shared" si="80"/>
        <v>0</v>
      </c>
      <c r="U72" s="18">
        <f>IF(C72="人工面",0,IF(G72="",0,IF(D72="湿性環境",VLOOKUP(G72,環境タイプⅡによる点数DB!A:B,2,FALSE),IF(D72="樹林",VLOOKUP(G72,環境タイプⅡによる点数DB!A:C,3,FALSE),IF(D72="低木・草地",VLOOKUP(G72,環境タイプⅡによる点数DB!A:D,4,FALSE),0)))))</f>
        <v>0</v>
      </c>
      <c r="V72" s="24" t="str">
        <f>$H72&amp;"in"&amp;基本情報!$C$13</f>
        <v>in</v>
      </c>
      <c r="W72" s="24">
        <f t="shared" si="81"/>
        <v>0</v>
      </c>
      <c r="X72" s="24">
        <f>IF($H72="",0,IF($D72="樹林",IF(ISERROR(VLOOKUP($V72,市町村・植物種ごとの樹林点数DB!$A:$G,7,FALSE))=TRUE,20,VLOOKUP($V72,市町村・植物種ごとの樹林点数DB!$A:$G,7,FALSE)),IF($D72="低木・草地",IF($H72="【ススキ】・【ネザサ】・【チガヤ】",45,10),0)))</f>
        <v>0</v>
      </c>
      <c r="Y72" s="24">
        <f t="shared" si="59"/>
        <v>0</v>
      </c>
      <c r="Z72" s="24">
        <f t="shared" si="60"/>
        <v>1</v>
      </c>
      <c r="AA72" s="24">
        <f t="shared" si="61"/>
        <v>1</v>
      </c>
      <c r="AB72" s="24">
        <f t="shared" si="62"/>
        <v>0</v>
      </c>
      <c r="AC72" s="25">
        <f t="shared" si="63"/>
        <v>0</v>
      </c>
      <c r="AD72" s="25">
        <f t="shared" si="64"/>
        <v>0</v>
      </c>
      <c r="AE72" s="25">
        <f t="shared" si="65"/>
        <v>0</v>
      </c>
      <c r="AF72" s="25" t="str">
        <f t="shared" si="66"/>
        <v/>
      </c>
      <c r="AG72" s="25" t="str">
        <f t="shared" si="67"/>
        <v/>
      </c>
      <c r="AH72" s="25" t="str">
        <f t="shared" si="68"/>
        <v/>
      </c>
      <c r="AI72" s="25">
        <f>IF(ISERROR(VLOOKUP(K72,割合DB!$A:$B,2,FALSE))=TRUE,100,VLOOKUP(K72,割合DB!$A:$B,2,FALSE))</f>
        <v>100</v>
      </c>
      <c r="AJ72" s="25">
        <f>IF(ISERROR(VLOOKUP(L72,割合DB!$A:$B,2,FALSE))=TRUE,100,VLOOKUP(L72,割合DB!$A:$B,2,FALSE))</f>
        <v>100</v>
      </c>
      <c r="AK72" s="25">
        <f>IF(ISERROR(VLOOKUP(M72,割合DB!$A:$B,2,FALSE))=TRUE,100,VLOOKUP(M72,割合DB!$A:$B,2,FALSE))</f>
        <v>100</v>
      </c>
      <c r="AL72" s="25">
        <f t="shared" si="69"/>
        <v>0</v>
      </c>
      <c r="AM72" s="18">
        <f t="shared" si="70"/>
        <v>0</v>
      </c>
      <c r="AN72" s="18">
        <f t="shared" si="71"/>
        <v>0</v>
      </c>
      <c r="AO72" s="18">
        <f t="shared" si="82"/>
        <v>0</v>
      </c>
      <c r="AP72" s="18">
        <f>IF($C72="人工面",0,IF($G72="",70,IF($D72="湿性環境",VLOOKUP($G72,環境タイプⅡによる点数DB!$A:$B,2,FALSE),IF($D72="樹林",VLOOKUP($G72,環境タイプⅡによる点数DB!$A:$C,3,FALSE),IF($D72="低木・草地",VLOOKUP($G72,環境タイプⅡによる点数DB!$A:$D,4,FALSE),0)))))</f>
        <v>70</v>
      </c>
      <c r="AQ72" s="24" t="str">
        <f>$H72&amp;"in"&amp;基本情報!$C$13</f>
        <v>in</v>
      </c>
      <c r="AR72" s="24">
        <f t="shared" si="83"/>
        <v>0</v>
      </c>
      <c r="AS72" s="24">
        <f>IF($H72="",0,IF($D72="樹林",IF(ISERROR(VLOOKUP($V72,市町村・植物種ごとの樹林点数DB!$A:$F,6,FALSE))=TRUE,10,VLOOKUP($V72,市町村・植物種ごとの樹林点数DB!$A:$F,6,FALSE)),IF($D72="低木・草地",IF(OR($H72="【ススキ】・【ネザサ】・【チガヤ】",$H72="不明"),45,10),0)))</f>
        <v>0</v>
      </c>
      <c r="AT72" s="24">
        <f t="shared" si="84"/>
        <v>0</v>
      </c>
      <c r="AU72" s="24">
        <f t="shared" si="85"/>
        <v>1</v>
      </c>
      <c r="AV72" s="24">
        <f t="shared" si="86"/>
        <v>0</v>
      </c>
      <c r="AW72" s="24">
        <f t="shared" si="87"/>
        <v>1</v>
      </c>
      <c r="AX72" s="25">
        <f t="shared" si="72"/>
        <v>0</v>
      </c>
      <c r="AY72" s="25">
        <f t="shared" si="73"/>
        <v>0</v>
      </c>
      <c r="AZ72" s="25">
        <f t="shared" si="74"/>
        <v>0</v>
      </c>
      <c r="BA72" s="25" t="str">
        <f t="shared" si="75"/>
        <v/>
      </c>
      <c r="BB72" s="25" t="str">
        <f t="shared" si="76"/>
        <v/>
      </c>
      <c r="BC72" s="25" t="str">
        <f t="shared" si="77"/>
        <v/>
      </c>
      <c r="BD72" s="25">
        <f>IF(ISERROR(VLOOKUP($K72,割合DB!$A:$B,2,FALSE))=TRUE,0,VLOOKUP($K72,割合DB!$A:$B,2,FALSE))</f>
        <v>0</v>
      </c>
      <c r="BE72" s="25">
        <f>IF(ISERROR(VLOOKUP($L72,割合DB!$A:$B,2,FALSE))=TRUE,0,VLOOKUP($L72,割合DB!$A:$B,2,FALSE))</f>
        <v>0</v>
      </c>
      <c r="BF72" s="25">
        <f>IF(ISERROR(VLOOKUP($M72,割合DB!$A:$B,2,FALSE))=TRUE,0,VLOOKUP($M72,割合DB!$A:$B,2,FALSE))</f>
        <v>0</v>
      </c>
      <c r="BG72" s="25">
        <f t="shared" si="78"/>
        <v>100</v>
      </c>
      <c r="BH72" s="18">
        <f t="shared" si="79"/>
        <v>100</v>
      </c>
      <c r="BI72" s="18">
        <f t="shared" si="90"/>
        <v>1</v>
      </c>
      <c r="BJ72" s="176"/>
      <c r="BK72" s="176"/>
      <c r="BL72" s="176"/>
      <c r="BM72" s="176"/>
      <c r="BN72" s="176"/>
      <c r="BO72" s="176"/>
      <c r="BP72" s="176"/>
      <c r="BQ72" s="176"/>
      <c r="BR72" s="176"/>
      <c r="BS72" s="176"/>
      <c r="BT72" s="176"/>
      <c r="BU72" s="176"/>
      <c r="BV72" s="176"/>
      <c r="BW72" s="176"/>
      <c r="BX72" s="176"/>
      <c r="BY72" s="176"/>
      <c r="BZ72" s="176"/>
      <c r="CA72" s="176"/>
    </row>
    <row r="73" spans="1:79" ht="27" customHeight="1" x14ac:dyDescent="0.15">
      <c r="A73" s="160" t="s">
        <v>565</v>
      </c>
      <c r="B73" s="21"/>
      <c r="C73" s="19"/>
      <c r="D73" s="40" t="str">
        <f t="shared" si="88"/>
        <v/>
      </c>
      <c r="E73" s="19"/>
      <c r="F73" s="26"/>
      <c r="G73" s="21"/>
      <c r="H73" s="22"/>
      <c r="I73" s="22"/>
      <c r="J73" s="22"/>
      <c r="K73" s="23"/>
      <c r="L73" s="23"/>
      <c r="M73" s="23"/>
      <c r="N73" s="146"/>
      <c r="O73" s="40">
        <f t="shared" si="57"/>
        <v>0</v>
      </c>
      <c r="P73" s="183" t="str">
        <f t="shared" si="58"/>
        <v/>
      </c>
      <c r="S73" s="18">
        <f t="shared" si="89"/>
        <v>0</v>
      </c>
      <c r="T73" s="18">
        <f t="shared" si="80"/>
        <v>0</v>
      </c>
      <c r="U73" s="18">
        <f>IF(C73="人工面",0,IF(G73="",0,IF(D73="湿性環境",VLOOKUP(G73,環境タイプⅡによる点数DB!A:B,2,FALSE),IF(D73="樹林",VLOOKUP(G73,環境タイプⅡによる点数DB!A:C,3,FALSE),IF(D73="低木・草地",VLOOKUP(G73,環境タイプⅡによる点数DB!A:D,4,FALSE),0)))))</f>
        <v>0</v>
      </c>
      <c r="V73" s="24" t="str">
        <f>$H73&amp;"in"&amp;基本情報!$C$13</f>
        <v>in</v>
      </c>
      <c r="W73" s="24">
        <f t="shared" si="81"/>
        <v>0</v>
      </c>
      <c r="X73" s="24">
        <f>IF($H73="",0,IF($D73="樹林",IF(ISERROR(VLOOKUP($V73,市町村・植物種ごとの樹林点数DB!$A:$G,7,FALSE))=TRUE,20,VLOOKUP($V73,市町村・植物種ごとの樹林点数DB!$A:$G,7,FALSE)),IF($D73="低木・草地",IF($H73="【ススキ】・【ネザサ】・【チガヤ】",45,10),0)))</f>
        <v>0</v>
      </c>
      <c r="Y73" s="24">
        <f t="shared" si="59"/>
        <v>0</v>
      </c>
      <c r="Z73" s="24">
        <f t="shared" si="60"/>
        <v>1</v>
      </c>
      <c r="AA73" s="24">
        <f t="shared" si="61"/>
        <v>1</v>
      </c>
      <c r="AB73" s="24">
        <f t="shared" si="62"/>
        <v>0</v>
      </c>
      <c r="AC73" s="25">
        <f t="shared" si="63"/>
        <v>0</v>
      </c>
      <c r="AD73" s="25">
        <f t="shared" si="64"/>
        <v>0</v>
      </c>
      <c r="AE73" s="25">
        <f t="shared" si="65"/>
        <v>0</v>
      </c>
      <c r="AF73" s="25" t="str">
        <f t="shared" si="66"/>
        <v/>
      </c>
      <c r="AG73" s="25" t="str">
        <f t="shared" si="67"/>
        <v/>
      </c>
      <c r="AH73" s="25" t="str">
        <f t="shared" si="68"/>
        <v/>
      </c>
      <c r="AI73" s="25">
        <f>IF(ISERROR(VLOOKUP(K73,割合DB!$A:$B,2,FALSE))=TRUE,100,VLOOKUP(K73,割合DB!$A:$B,2,FALSE))</f>
        <v>100</v>
      </c>
      <c r="AJ73" s="25">
        <f>IF(ISERROR(VLOOKUP(L73,割合DB!$A:$B,2,FALSE))=TRUE,100,VLOOKUP(L73,割合DB!$A:$B,2,FALSE))</f>
        <v>100</v>
      </c>
      <c r="AK73" s="25">
        <f>IF(ISERROR(VLOOKUP(M73,割合DB!$A:$B,2,FALSE))=TRUE,100,VLOOKUP(M73,割合DB!$A:$B,2,FALSE))</f>
        <v>100</v>
      </c>
      <c r="AL73" s="25">
        <f t="shared" si="69"/>
        <v>0</v>
      </c>
      <c r="AM73" s="18">
        <f t="shared" si="70"/>
        <v>0</v>
      </c>
      <c r="AN73" s="18">
        <f t="shared" si="71"/>
        <v>0</v>
      </c>
      <c r="AO73" s="18">
        <f t="shared" si="82"/>
        <v>0</v>
      </c>
      <c r="AP73" s="18">
        <f>IF($C73="人工面",0,IF($G73="",70,IF($D73="湿性環境",VLOOKUP($G73,環境タイプⅡによる点数DB!$A:$B,2,FALSE),IF($D73="樹林",VLOOKUP($G73,環境タイプⅡによる点数DB!$A:$C,3,FALSE),IF($D73="低木・草地",VLOOKUP($G73,環境タイプⅡによる点数DB!$A:$D,4,FALSE),0)))))</f>
        <v>70</v>
      </c>
      <c r="AQ73" s="24" t="str">
        <f>$H73&amp;"in"&amp;基本情報!$C$13</f>
        <v>in</v>
      </c>
      <c r="AR73" s="24">
        <f t="shared" si="83"/>
        <v>0</v>
      </c>
      <c r="AS73" s="24">
        <f>IF($H73="",0,IF($D73="樹林",IF(ISERROR(VLOOKUP($V73,市町村・植物種ごとの樹林点数DB!$A:$F,6,FALSE))=TRUE,10,VLOOKUP($V73,市町村・植物種ごとの樹林点数DB!$A:$F,6,FALSE)),IF($D73="低木・草地",IF(OR($H73="【ススキ】・【ネザサ】・【チガヤ】",$H73="不明"),45,10),0)))</f>
        <v>0</v>
      </c>
      <c r="AT73" s="24">
        <f t="shared" si="84"/>
        <v>0</v>
      </c>
      <c r="AU73" s="24">
        <f t="shared" si="85"/>
        <v>1</v>
      </c>
      <c r="AV73" s="24">
        <f t="shared" si="86"/>
        <v>0</v>
      </c>
      <c r="AW73" s="24">
        <f t="shared" si="87"/>
        <v>1</v>
      </c>
      <c r="AX73" s="25">
        <f t="shared" si="72"/>
        <v>0</v>
      </c>
      <c r="AY73" s="25">
        <f t="shared" si="73"/>
        <v>0</v>
      </c>
      <c r="AZ73" s="25">
        <f t="shared" si="74"/>
        <v>0</v>
      </c>
      <c r="BA73" s="25" t="str">
        <f t="shared" si="75"/>
        <v/>
      </c>
      <c r="BB73" s="25" t="str">
        <f t="shared" si="76"/>
        <v/>
      </c>
      <c r="BC73" s="25" t="str">
        <f t="shared" si="77"/>
        <v/>
      </c>
      <c r="BD73" s="25">
        <f>IF(ISERROR(VLOOKUP($K73,割合DB!$A:$B,2,FALSE))=TRUE,0,VLOOKUP($K73,割合DB!$A:$B,2,FALSE))</f>
        <v>0</v>
      </c>
      <c r="BE73" s="25">
        <f>IF(ISERROR(VLOOKUP($L73,割合DB!$A:$B,2,FALSE))=TRUE,0,VLOOKUP($L73,割合DB!$A:$B,2,FALSE))</f>
        <v>0</v>
      </c>
      <c r="BF73" s="25">
        <f>IF(ISERROR(VLOOKUP($M73,割合DB!$A:$B,2,FALSE))=TRUE,0,VLOOKUP($M73,割合DB!$A:$B,2,FALSE))</f>
        <v>0</v>
      </c>
      <c r="BG73" s="25">
        <f t="shared" si="78"/>
        <v>100</v>
      </c>
      <c r="BH73" s="18">
        <f t="shared" si="79"/>
        <v>100</v>
      </c>
      <c r="BI73" s="18">
        <f t="shared" si="90"/>
        <v>1</v>
      </c>
      <c r="BJ73" s="176"/>
      <c r="BK73" s="176"/>
      <c r="BL73" s="176"/>
      <c r="BM73" s="176"/>
      <c r="BN73" s="176"/>
      <c r="BO73" s="176"/>
      <c r="BP73" s="176"/>
      <c r="BQ73" s="176"/>
      <c r="BR73" s="176"/>
      <c r="BS73" s="176"/>
      <c r="BT73" s="176"/>
      <c r="BU73" s="176"/>
      <c r="BV73" s="176"/>
      <c r="BW73" s="176"/>
      <c r="BX73" s="176"/>
      <c r="BY73" s="176"/>
      <c r="BZ73" s="176"/>
      <c r="CA73" s="176"/>
    </row>
    <row r="74" spans="1:79" ht="27" customHeight="1" x14ac:dyDescent="0.15">
      <c r="A74" s="160" t="s">
        <v>1</v>
      </c>
      <c r="B74" s="40">
        <f>SUM(B4:B73)</f>
        <v>0</v>
      </c>
      <c r="C74" s="40" t="s">
        <v>68</v>
      </c>
      <c r="D74" s="40"/>
      <c r="E74" s="41"/>
      <c r="F74" s="40"/>
      <c r="G74" s="40"/>
      <c r="H74" s="35"/>
      <c r="I74" s="35"/>
      <c r="J74" s="35"/>
      <c r="K74" s="36"/>
      <c r="L74" s="37"/>
      <c r="M74" s="38"/>
      <c r="N74" s="147"/>
      <c r="O74" s="39"/>
      <c r="P74" s="184">
        <f>SUM(P4:P73)</f>
        <v>0</v>
      </c>
      <c r="V74" s="25"/>
      <c r="W74" s="25"/>
      <c r="X74" s="25"/>
      <c r="Y74" s="25"/>
      <c r="Z74" s="25"/>
      <c r="AA74" s="25"/>
      <c r="AB74" s="25"/>
      <c r="AC74" s="25"/>
      <c r="AD74" s="25"/>
      <c r="AE74" s="25"/>
      <c r="AF74" s="25"/>
      <c r="AG74" s="25"/>
      <c r="AH74" s="25"/>
      <c r="AI74" s="25"/>
      <c r="AJ74" s="25"/>
      <c r="AK74" s="25"/>
      <c r="AL74" s="25"/>
      <c r="AQ74" s="25"/>
      <c r="AR74" s="25"/>
      <c r="AS74" s="25"/>
      <c r="AT74" s="25"/>
      <c r="AU74" s="25"/>
      <c r="AV74" s="25"/>
      <c r="AW74" s="25"/>
      <c r="AX74" s="25"/>
      <c r="AY74" s="25"/>
      <c r="AZ74" s="25"/>
      <c r="BA74" s="25"/>
      <c r="BB74" s="25"/>
      <c r="BC74" s="25"/>
      <c r="BD74" s="25"/>
      <c r="BE74" s="25"/>
      <c r="BF74" s="25"/>
      <c r="BG74" s="25"/>
      <c r="BH74" s="25"/>
      <c r="BJ74" s="176"/>
      <c r="BK74" s="176"/>
      <c r="BL74" s="176"/>
      <c r="BM74" s="176"/>
      <c r="BN74" s="176"/>
      <c r="BO74" s="176"/>
      <c r="BP74" s="176"/>
      <c r="BQ74" s="176"/>
      <c r="BR74" s="176"/>
      <c r="BS74" s="176"/>
      <c r="BT74" s="176"/>
      <c r="BU74" s="176"/>
      <c r="BV74" s="176"/>
      <c r="BW74" s="176"/>
      <c r="BX74" s="176"/>
      <c r="BY74" s="176"/>
      <c r="BZ74" s="176"/>
      <c r="CA74" s="176"/>
    </row>
    <row r="75" spans="1:79" ht="20.100000000000001" customHeight="1" x14ac:dyDescent="0.15">
      <c r="A75" s="182"/>
      <c r="B75" s="182"/>
      <c r="V75" s="25"/>
      <c r="W75" s="25"/>
      <c r="X75" s="25"/>
      <c r="Y75" s="25"/>
      <c r="Z75" s="25"/>
      <c r="AA75" s="25"/>
      <c r="AB75" s="25"/>
      <c r="AQ75" s="25"/>
      <c r="AR75" s="25"/>
      <c r="AS75" s="25"/>
      <c r="AT75" s="25"/>
      <c r="AU75" s="25"/>
      <c r="AV75" s="25"/>
      <c r="AW75" s="25"/>
      <c r="AX75" s="25"/>
      <c r="BJ75" s="176"/>
      <c r="BK75" s="176"/>
      <c r="BL75" s="176"/>
      <c r="BM75" s="176"/>
      <c r="BN75" s="176"/>
      <c r="BO75" s="176"/>
      <c r="BP75" s="176"/>
      <c r="BQ75" s="176"/>
      <c r="BR75" s="176"/>
      <c r="BS75" s="176"/>
      <c r="BT75" s="176"/>
      <c r="BU75" s="176"/>
      <c r="BV75" s="176"/>
      <c r="BW75" s="176"/>
      <c r="BX75" s="176"/>
      <c r="BY75" s="176"/>
      <c r="BZ75" s="176"/>
      <c r="CA75" s="176"/>
    </row>
  </sheetData>
  <sheetProtection algorithmName="SHA-512" hashValue="neZ/3WmLedVrdKBwbJ78ruOiopxBX03vbY7IEErgZ6bzFY079qpr5iQ+HpuaoKPYPgnFX56liuERtOFuz8OUyQ==" saltValue="f1bGsLJsfzgisgVXImxWSg==" spinCount="100000" sheet="1" objects="1" scenarios="1"/>
  <mergeCells count="11">
    <mergeCell ref="K2:M2"/>
    <mergeCell ref="O2:O3"/>
    <mergeCell ref="P2:P3"/>
    <mergeCell ref="A2:A3"/>
    <mergeCell ref="B2:B3"/>
    <mergeCell ref="C2:C3"/>
    <mergeCell ref="D2:D3"/>
    <mergeCell ref="E2:E3"/>
    <mergeCell ref="F2:F3"/>
    <mergeCell ref="G2:G3"/>
    <mergeCell ref="H2:J2"/>
  </mergeCells>
  <phoneticPr fontId="20"/>
  <dataValidations count="7">
    <dataValidation type="list" allowBlank="1" showInputMessage="1" showErrorMessage="1" sqref="H4:H73" xr:uid="{00000000-0002-0000-0900-000000000000}">
      <formula1>上層の植生</formula1>
    </dataValidation>
    <dataValidation type="list" allowBlank="1" showInputMessage="1" showErrorMessage="1" sqref="F4:F73" xr:uid="{00000000-0002-0000-0900-000001000000}">
      <formula1>○</formula1>
    </dataValidation>
    <dataValidation type="list" allowBlank="1" showInputMessage="1" showErrorMessage="1" sqref="G4:G73" xr:uid="{00000000-0002-0000-0900-000002000000}">
      <formula1>環境タイプⅡ</formula1>
    </dataValidation>
    <dataValidation type="list" allowBlank="1" showInputMessage="1" showErrorMessage="1" sqref="E4:E73" xr:uid="{00000000-0002-0000-0900-000003000000}">
      <formula1>目標環境タイプの変更</formula1>
    </dataValidation>
    <dataValidation type="list" allowBlank="1" showInputMessage="1" showErrorMessage="1" sqref="C4:C73" xr:uid="{00000000-0002-0000-0900-000004000000}">
      <formula1>環境タイプⅠ</formula1>
    </dataValidation>
    <dataValidation type="list" allowBlank="1" showInputMessage="1" showErrorMessage="1" sqref="J4:J73" xr:uid="{00000000-0002-0000-0900-000005000000}">
      <formula1>有無</formula1>
    </dataValidation>
    <dataValidation type="list" allowBlank="1" showInputMessage="1" showErrorMessage="1" sqref="I4:I73 K4:M73" xr:uid="{00000000-0002-0000-0900-000006000000}">
      <formula1>五段階割合</formula1>
    </dataValidation>
  </dataValidations>
  <printOptions horizontalCentered="1"/>
  <pageMargins left="0.27559055118110237" right="0.27559055118110237" top="0.27559055118110237" bottom="0.23622047244094491" header="0.23622047244094491" footer="0.19685039370078741"/>
  <pageSetup paperSize="9" scale="5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8A28641-9934-4784-9218-7C921E555BCE}">
          <x14:formula1>
            <xm:f>リスト!$Y$1:$Y$5</xm:f>
          </x14:formula1>
          <xm:sqref>N4:N73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A76"/>
  <sheetViews>
    <sheetView view="pageBreakPreview" zoomScale="55" zoomScaleNormal="70" zoomScaleSheetLayoutView="55" workbookViewId="0">
      <pane ySplit="3" topLeftCell="A4" activePane="bottomLeft" state="frozen"/>
      <selection activeCell="M12" sqref="M12"/>
      <selection pane="bottomLeft" activeCell="G4" sqref="G4"/>
    </sheetView>
  </sheetViews>
  <sheetFormatPr defaultColWidth="9" defaultRowHeight="14.25" x14ac:dyDescent="0.15"/>
  <cols>
    <col min="1" max="1" width="6.125" style="176" customWidth="1"/>
    <col min="2" max="3" width="15.625" style="176" customWidth="1"/>
    <col min="4" max="4" width="18.375" style="176" bestFit="1" customWidth="1"/>
    <col min="5" max="5" width="25.375" style="176" bestFit="1" customWidth="1"/>
    <col min="6" max="6" width="7.5" style="176" customWidth="1"/>
    <col min="7" max="7" width="21.125" style="176" customWidth="1"/>
    <col min="8" max="8" width="50" style="176" customWidth="1"/>
    <col min="9" max="9" width="12.875" style="176" customWidth="1"/>
    <col min="10" max="10" width="8.75" style="176" customWidth="1"/>
    <col min="11" max="11" width="12.875" style="176" customWidth="1"/>
    <col min="12" max="12" width="11.375" style="176" customWidth="1"/>
    <col min="13" max="14" width="14" style="176" customWidth="1"/>
    <col min="15" max="15" width="13.125" style="176" bestFit="1" customWidth="1"/>
    <col min="16" max="16" width="14.375" style="176" customWidth="1"/>
    <col min="17" max="18" width="7.5" style="18" hidden="1" customWidth="1"/>
    <col min="19" max="19" width="10.25" style="18" hidden="1" customWidth="1"/>
    <col min="20" max="20" width="13.875" style="18" hidden="1" customWidth="1"/>
    <col min="21" max="21" width="13.75" style="18" hidden="1" customWidth="1"/>
    <col min="22" max="22" width="8.25" style="18" hidden="1" customWidth="1"/>
    <col min="23" max="23" width="14.75" style="18" hidden="1" customWidth="1"/>
    <col min="24" max="24" width="17.5" style="18" hidden="1" customWidth="1"/>
    <col min="25" max="25" width="17.125" style="18" hidden="1" customWidth="1"/>
    <col min="26" max="26" width="14.25" style="18" hidden="1" customWidth="1"/>
    <col min="27" max="27" width="14" style="18" hidden="1" customWidth="1"/>
    <col min="28" max="28" width="10.25" style="18" hidden="1" customWidth="1"/>
    <col min="29" max="39" width="7.5" style="18" hidden="1" customWidth="1"/>
    <col min="40" max="42" width="9" style="18" hidden="1" customWidth="1"/>
    <col min="43" max="43" width="17.875" style="18" hidden="1" customWidth="1"/>
    <col min="44" max="44" width="16.375" style="18" hidden="1" customWidth="1"/>
    <col min="45" max="45" width="17.5" style="18" hidden="1" customWidth="1"/>
    <col min="46" max="47" width="17.125" style="18" hidden="1" customWidth="1"/>
    <col min="48" max="48" width="14.25" style="18" hidden="1" customWidth="1"/>
    <col min="49" max="49" width="14" style="18" hidden="1" customWidth="1"/>
    <col min="50" max="50" width="10.25" style="18" hidden="1" customWidth="1"/>
    <col min="51" max="60" width="7.5" style="18" hidden="1" customWidth="1"/>
    <col min="61" max="61" width="9.125" style="18" hidden="1" customWidth="1"/>
    <col min="62" max="62" width="7.5" style="18" hidden="1" customWidth="1"/>
    <col min="63" max="63" width="9" style="18" hidden="1" customWidth="1"/>
    <col min="64" max="70" width="0" style="18" hidden="1" customWidth="1"/>
    <col min="71" max="79" width="9" style="18"/>
    <col min="80" max="16384" width="9" style="176"/>
  </cols>
  <sheetData>
    <row r="1" spans="1:79" ht="21" customHeight="1" x14ac:dyDescent="0.15">
      <c r="A1" s="13" t="s">
        <v>567</v>
      </c>
      <c r="B1" s="13"/>
      <c r="C1" s="13"/>
      <c r="D1" s="13"/>
      <c r="E1" s="13"/>
      <c r="F1" s="13"/>
      <c r="G1" s="13"/>
      <c r="H1" s="13"/>
      <c r="I1" s="13"/>
      <c r="J1" s="13"/>
      <c r="K1" s="13"/>
      <c r="L1" s="13"/>
      <c r="M1" s="13"/>
      <c r="N1" s="13"/>
      <c r="O1" s="13"/>
      <c r="P1" s="13"/>
      <c r="BJ1" s="176"/>
      <c r="BK1" s="176"/>
      <c r="BL1" s="176"/>
      <c r="BM1" s="176"/>
      <c r="BN1" s="176"/>
      <c r="BO1" s="176"/>
      <c r="BP1" s="176"/>
      <c r="BQ1" s="176"/>
      <c r="BR1" s="176"/>
      <c r="BS1" s="176"/>
      <c r="BT1" s="176"/>
      <c r="BU1" s="176"/>
      <c r="BV1" s="176"/>
      <c r="BW1" s="176"/>
      <c r="BX1" s="176"/>
      <c r="BY1" s="176"/>
      <c r="BZ1" s="176"/>
      <c r="CA1" s="176"/>
    </row>
    <row r="2" spans="1:79" ht="26.25" customHeight="1" x14ac:dyDescent="0.15">
      <c r="A2" s="277" t="s">
        <v>223</v>
      </c>
      <c r="B2" s="281" t="s">
        <v>71</v>
      </c>
      <c r="C2" s="277" t="s">
        <v>86</v>
      </c>
      <c r="D2" s="277" t="s">
        <v>72</v>
      </c>
      <c r="E2" s="277" t="s">
        <v>76</v>
      </c>
      <c r="F2" s="277" t="s">
        <v>92</v>
      </c>
      <c r="G2" s="277" t="s">
        <v>87</v>
      </c>
      <c r="H2" s="282" t="s">
        <v>69</v>
      </c>
      <c r="I2" s="282"/>
      <c r="J2" s="282"/>
      <c r="K2" s="278" t="s">
        <v>16</v>
      </c>
      <c r="L2" s="278"/>
      <c r="M2" s="278"/>
      <c r="N2" s="148" t="s">
        <v>614</v>
      </c>
      <c r="O2" s="277" t="s">
        <v>619</v>
      </c>
      <c r="P2" s="275" t="s">
        <v>620</v>
      </c>
      <c r="V2" s="179"/>
      <c r="W2" s="179"/>
      <c r="X2" s="179"/>
      <c r="Y2" s="179"/>
      <c r="Z2" s="179"/>
      <c r="AA2" s="179"/>
      <c r="AB2" s="179"/>
      <c r="AC2" s="180"/>
      <c r="AD2" s="180"/>
      <c r="AE2" s="180"/>
      <c r="AF2" s="180"/>
      <c r="AG2" s="180"/>
      <c r="AH2" s="180"/>
      <c r="AI2" s="180"/>
      <c r="AJ2" s="180"/>
      <c r="AK2" s="180"/>
      <c r="AL2" s="180"/>
      <c r="AQ2" s="179"/>
      <c r="AR2" s="179"/>
      <c r="AS2" s="179"/>
      <c r="AT2" s="179"/>
      <c r="AU2" s="179"/>
      <c r="AV2" s="179"/>
      <c r="AW2" s="179"/>
      <c r="AX2" s="179"/>
      <c r="AY2" s="180"/>
      <c r="AZ2" s="180"/>
      <c r="BA2" s="180"/>
      <c r="BB2" s="180"/>
      <c r="BC2" s="180"/>
      <c r="BD2" s="180"/>
      <c r="BE2" s="180"/>
      <c r="BF2" s="180"/>
      <c r="BG2" s="180"/>
      <c r="BH2" s="180"/>
      <c r="BI2" s="18" t="s">
        <v>613</v>
      </c>
      <c r="BJ2" s="176"/>
      <c r="BK2" s="176"/>
      <c r="BL2" s="176"/>
      <c r="BM2" s="176"/>
      <c r="BN2" s="176"/>
      <c r="BO2" s="176"/>
      <c r="BP2" s="176"/>
      <c r="BQ2" s="176"/>
      <c r="BR2" s="176"/>
      <c r="BS2" s="176"/>
      <c r="BT2" s="176"/>
      <c r="BU2" s="176"/>
      <c r="BV2" s="176"/>
      <c r="BW2" s="176"/>
      <c r="BX2" s="176"/>
      <c r="BY2" s="176"/>
      <c r="BZ2" s="176"/>
      <c r="CA2" s="176"/>
    </row>
    <row r="3" spans="1:79" ht="42" customHeight="1" x14ac:dyDescent="0.15">
      <c r="A3" s="277"/>
      <c r="B3" s="281"/>
      <c r="C3" s="277"/>
      <c r="D3" s="277"/>
      <c r="E3" s="277"/>
      <c r="F3" s="279"/>
      <c r="G3" s="279"/>
      <c r="H3" s="161" t="s">
        <v>88</v>
      </c>
      <c r="I3" s="161" t="s">
        <v>394</v>
      </c>
      <c r="J3" s="161" t="s">
        <v>225</v>
      </c>
      <c r="K3" s="159" t="s">
        <v>90</v>
      </c>
      <c r="L3" s="159" t="s">
        <v>245</v>
      </c>
      <c r="M3" s="159" t="s">
        <v>395</v>
      </c>
      <c r="N3" s="148" t="s">
        <v>618</v>
      </c>
      <c r="O3" s="277"/>
      <c r="P3" s="276"/>
      <c r="V3" s="179"/>
      <c r="W3" s="179"/>
      <c r="X3" s="179"/>
      <c r="Y3" s="179"/>
      <c r="Z3" s="179"/>
      <c r="AA3" s="179"/>
      <c r="AB3" s="179"/>
      <c r="AC3" s="180"/>
      <c r="AD3" s="180"/>
      <c r="AE3" s="180"/>
      <c r="AF3" s="180"/>
      <c r="AG3" s="180"/>
      <c r="AH3" s="180"/>
      <c r="AI3" s="180"/>
      <c r="AJ3" s="180"/>
      <c r="AK3" s="180"/>
      <c r="AL3" s="180"/>
      <c r="AO3" s="178" t="s">
        <v>336</v>
      </c>
      <c r="AP3" s="18" t="s">
        <v>326</v>
      </c>
      <c r="AQ3" s="179"/>
      <c r="AR3" s="181"/>
      <c r="AS3" s="179" t="s">
        <v>340</v>
      </c>
      <c r="AT3" s="179" t="s">
        <v>344</v>
      </c>
      <c r="AU3" s="179"/>
      <c r="AV3" s="179"/>
      <c r="AW3" s="179"/>
      <c r="AX3" s="180"/>
      <c r="AY3" s="180"/>
      <c r="AZ3" s="180"/>
      <c r="BA3" s="180"/>
      <c r="BB3" s="180"/>
      <c r="BC3" s="180"/>
      <c r="BD3" s="180" t="s">
        <v>23</v>
      </c>
      <c r="BE3" s="180" t="s">
        <v>24</v>
      </c>
      <c r="BF3" s="180" t="s">
        <v>25</v>
      </c>
      <c r="BG3" s="180" t="s">
        <v>26</v>
      </c>
      <c r="BH3" s="18" t="s">
        <v>27</v>
      </c>
      <c r="BJ3" s="176"/>
      <c r="BK3" s="176"/>
      <c r="BL3" s="176"/>
      <c r="BM3" s="176"/>
      <c r="BN3" s="176"/>
      <c r="BO3" s="176"/>
      <c r="BP3" s="176"/>
      <c r="BQ3" s="176"/>
      <c r="BR3" s="176"/>
      <c r="BS3" s="176"/>
      <c r="BT3" s="176"/>
      <c r="BU3" s="176"/>
      <c r="BV3" s="176"/>
      <c r="BW3" s="176"/>
      <c r="BX3" s="176"/>
      <c r="BY3" s="176"/>
      <c r="BZ3" s="176"/>
      <c r="CA3" s="176"/>
    </row>
    <row r="4" spans="1:79" ht="27" customHeight="1" x14ac:dyDescent="0.15">
      <c r="A4" s="30" t="s">
        <v>226</v>
      </c>
      <c r="B4" s="31" t="str">
        <f>IF('環境条件(竣工時)'!B4="","",'環境条件(竣工時)'!B4)</f>
        <v/>
      </c>
      <c r="C4" s="31" t="str">
        <f>IF('環境条件(竣工時)'!C4="","",'環境条件(竣工時)'!C4)</f>
        <v/>
      </c>
      <c r="D4" s="31" t="str">
        <f>IF('環境条件(竣工時)'!D4="","",'環境条件(竣工時)'!D4)</f>
        <v/>
      </c>
      <c r="E4" s="31" t="str">
        <f>IF('環境条件(竣工時)'!E4="","",'環境条件(竣工時)'!E4)</f>
        <v/>
      </c>
      <c r="F4" s="30" t="str">
        <f>IF('環境条件(竣工時)'!F4="","",'環境条件(竣工時)'!F4)</f>
        <v/>
      </c>
      <c r="G4" s="21"/>
      <c r="H4" s="22"/>
      <c r="I4" s="22"/>
      <c r="J4" s="22"/>
      <c r="K4" s="23"/>
      <c r="L4" s="23"/>
      <c r="M4" s="23"/>
      <c r="N4" s="146"/>
      <c r="O4" s="40">
        <f>IF(F4="該当",AN4,S4)</f>
        <v>0</v>
      </c>
      <c r="P4" s="183" t="str">
        <f t="shared" ref="P4:P8" si="0">IF(B4="","",B4*O4)</f>
        <v/>
      </c>
      <c r="S4" s="18">
        <f>IF(T4=0,0,IF(U4="点数特定できず",SUM(AF4:AH4),U4))*BI4</f>
        <v>0</v>
      </c>
      <c r="T4" s="18">
        <f t="shared" ref="T4:T67" si="1">IF(OR($C4="人工面",$C4=""),0,IF($C4=$D4,70,IF(AND($C4="低木・竹・草地",$D4="低木・草地"),70,IF(AND($C4="湿性環境",$D4="低木・草地",$G4="整備水田"),10,0))))</f>
        <v>0</v>
      </c>
      <c r="U4" s="18">
        <f>IF(C4="人工面",0,IF(G4="",0,IF(D4="湿性環境",VLOOKUP(G4,環境タイプⅡによる点数DB!A:B,2,FALSE),IF(D4="樹林",VLOOKUP(G4,環境タイプⅡによる点数DB!A:C,3,FALSE),IF(D4="低木・草地",VLOOKUP(G4,環境タイプⅡによる点数DB!A:D,4,FALSE),0)))))</f>
        <v>0</v>
      </c>
      <c r="V4" s="24" t="str">
        <f>$H4&amp;"in"&amp;基本情報!$C$13</f>
        <v>in</v>
      </c>
      <c r="W4" s="24">
        <f t="shared" ref="W4:W67" si="2">IF($G4="乾性草地",1,IF($G4="高さ8m以上の木",1,IF($G4="高さ3.5m以上8m未満の木",0.375,0)))</f>
        <v>0</v>
      </c>
      <c r="X4" s="24">
        <f>IF($H4="",0,IF($D4="樹林",IF(ISERROR(VLOOKUP($V4,市町村・植物種ごとの樹林点数DB!$A:$G,7,FALSE))=TRUE,20,VLOOKUP($V4,市町村・植物種ごとの樹林点数DB!$A:$G,7,FALSE)),IF($D4="低木・草地",IF($H4="【ススキ】・【ネザサ】・【チガヤ】",45,10),0)))</f>
        <v>0</v>
      </c>
      <c r="Y4" s="24">
        <f t="shared" ref="Y4:Y8" si="3">IF($D4="樹林",IF(H4="",5,0),IF($D4="低木・草地",IF(H4="",10,0),0))</f>
        <v>0</v>
      </c>
      <c r="Z4" s="24">
        <f t="shared" ref="Z4:Z8" si="4">IF(OR(H4="その他の低木・草",H4="【ススキ】・【ネザサ】・【チガヤ】"),0,1)</f>
        <v>1</v>
      </c>
      <c r="AA4" s="24">
        <f t="shared" ref="AA4:AA8" si="5">IF(I4="ほぼ無し",0,IF(I4="1/4程度",0.25,IF(I4="1/2程度",0.5,IF(I4="3/4程度",0.75,IF(I4="ほぼ全て",1,1)))))</f>
        <v>1</v>
      </c>
      <c r="AB4" s="24">
        <f t="shared" ref="AB4:AB8" si="6">IF(J4="無し",0,IF(J4="有り",1,IF(J4="不明",0,0)))</f>
        <v>0</v>
      </c>
      <c r="AC4" s="25">
        <f t="shared" ref="AC4:AC8" si="7">(X4+Y4)*W4</f>
        <v>0</v>
      </c>
      <c r="AD4" s="25">
        <f t="shared" ref="AD4:AD8" si="8">IF(AC4=45,25*(1-AA4),IF(AC4=40,20*(1-AA4),IF(AC4&gt;=2.5,10*(1-AA4),IF(AC4&gt;0,5*(1-AA4),0))))</f>
        <v>0</v>
      </c>
      <c r="AE4" s="25">
        <f t="shared" ref="AE4:AE8" si="9">IF(W4=1,AB4*Z4*10,0)</f>
        <v>0</v>
      </c>
      <c r="AF4" s="25" t="str">
        <f t="shared" ref="AF4:AF8" si="10">IF(D4="低木・草地",SUM(AC4:AD4),"")</f>
        <v/>
      </c>
      <c r="AG4" s="25" t="str">
        <f t="shared" ref="AG4:AG8" si="11">IF(D4="樹林",SUM(AC4:AE4),"")</f>
        <v/>
      </c>
      <c r="AH4" s="25" t="str">
        <f t="shared" ref="AH4:AH8" si="12">IF(D4="湿性環境",IF(AL4+AM4&lt;60,0,(AL4+AM4)/2-30),"")</f>
        <v/>
      </c>
      <c r="AI4" s="25">
        <f>IF(ISERROR(VLOOKUP(K4,割合DB!$A:$B,2,FALSE))=TRUE,100,VLOOKUP(K4,割合DB!$A:$B,2,FALSE))</f>
        <v>100</v>
      </c>
      <c r="AJ4" s="25">
        <f>IF(ISERROR(VLOOKUP(L4,割合DB!$A:$B,2,FALSE))=TRUE,100,VLOOKUP(L4,割合DB!$A:$B,2,FALSE))</f>
        <v>100</v>
      </c>
      <c r="AK4" s="25">
        <f>IF(ISERROR(VLOOKUP(M4,割合DB!$A:$B,2,FALSE))=TRUE,100,VLOOKUP(M4,割合DB!$A:$B,2,FALSE))</f>
        <v>100</v>
      </c>
      <c r="AL4" s="25">
        <f t="shared" ref="AL4:AL8" si="13">((100-AI4)+(100-AJ4))/2</f>
        <v>0</v>
      </c>
      <c r="AM4" s="18">
        <f t="shared" ref="AM4:AM8" si="14">100-AK4</f>
        <v>0</v>
      </c>
      <c r="AN4" s="18">
        <f t="shared" ref="AN4:AN8" si="15">IF(AO4=0,0,IF(AP4="点数特定できず",SUM(BA4:BC4),AP4))</f>
        <v>0</v>
      </c>
      <c r="AO4" s="18">
        <f t="shared" ref="AO4:AO67" si="16">IF(OR($C4="人工面",$C4=""),0,IF($C4=$D4,70,IF(AND($C4="低木・竹・草地",$D4="低木・草地"),70,IF(AND($C4="湿性環境",$D4="低木・草地",$G4="整備水田"),10,0))))</f>
        <v>0</v>
      </c>
      <c r="AP4" s="18">
        <f>IF(Z4="人工面",0,IF($G4="",70,IF($D4="湿性環境",VLOOKUP($G4,環境タイプⅡによる点数DB!$A:$B,2,FALSE),IF($D4="樹林",VLOOKUP($G4,環境タイプⅡによる点数DB!$A:$C,3,FALSE),IF($D4="低木・草地",VLOOKUP($G4,環境タイプⅡによる点数DB!$A:$D,4,FALSE),0)))))</f>
        <v>70</v>
      </c>
      <c r="AQ4" s="24" t="str">
        <f>$H4&amp;"in"&amp;基本情報!$C$13</f>
        <v>in</v>
      </c>
      <c r="AR4" s="24">
        <f t="shared" ref="AR4:AR67" si="17">IF($G4="乾性草地",1,IF($G4="高さ8m以上の木",1,IF($G4="高さ3.5m以上8m未満の木",0.375,0)))</f>
        <v>0</v>
      </c>
      <c r="AS4" s="24">
        <f>IF($H4="",0,IF($D4="樹林",IF(ISERROR(VLOOKUP($V4,市町村・植物種ごとの樹林点数DB!$A:$F,6,FALSE))=TRUE,10,VLOOKUP($V4,市町村・植物種ごとの樹林点数DB!$A:$F,6,FALSE)),IF($D4="低木・草地",IF(OR($H4="【ススキ】・【ネザサ】・【チガヤ】",$H4="不明"),45,10),0)))</f>
        <v>0</v>
      </c>
      <c r="AT4" s="24">
        <f t="shared" ref="AT4:AT67" si="18">IF($D4="樹林",IF($H4="",40,0),IF($D4="低木・草地",IF($H4="",45,0),0))</f>
        <v>0</v>
      </c>
      <c r="AU4" s="24">
        <f t="shared" ref="AU4:AU67" si="19">IF(OR($H4="その他の低木・草",$H4="【ススキ】・【ネザサ】・【チガヤ】"),0,1)</f>
        <v>1</v>
      </c>
      <c r="AV4" s="24">
        <f t="shared" ref="AV4:AV67" si="20">IF($I4="ほぼ無し",0,IF($I4="1/4程度",0.25,IF($I4="1/2程度",0.5,IF($I4="3/4程度",0.75,IF($I4="ほぼ全て",1,0)))))</f>
        <v>0</v>
      </c>
      <c r="AW4" s="24">
        <f t="shared" ref="AW4:AW67" si="21">IF($J4="無し",0,IF($J4="有り",1,IF($J4="不明",1,1)))</f>
        <v>1</v>
      </c>
      <c r="AX4" s="25">
        <f t="shared" ref="AX4:AX8" si="22">(AS4+AT4)*AR4</f>
        <v>0</v>
      </c>
      <c r="AY4" s="25">
        <f t="shared" ref="AY4:AY8" si="23">IF(AX4=45,25*(1-AV4),IF(AX4=40,20*(1-AV4),IF(AX4&gt;=2.5,10*(1-AV4),IF(AX4&gt;0,5*(1-AV4),0))))</f>
        <v>0</v>
      </c>
      <c r="AZ4" s="25">
        <f t="shared" ref="AZ4:AZ8" si="24">IF(AR4=1,AW4*AU4*10,0)</f>
        <v>0</v>
      </c>
      <c r="BA4" s="25" t="str">
        <f t="shared" ref="BA4:BA8" si="25">IF($D4="低木・草地",SUM(AX4:AY4),"")</f>
        <v/>
      </c>
      <c r="BB4" s="25" t="str">
        <f t="shared" ref="BB4:BB8" si="26">IF($D4="樹林",SUM(AX4:AZ4),"")</f>
        <v/>
      </c>
      <c r="BC4" s="25" t="str">
        <f t="shared" ref="BC4:BC8" si="27">IF($D4="湿性環境",IF(BG4+BH4&lt;60,0,(BG4+BH4)/2-30),"")</f>
        <v/>
      </c>
      <c r="BD4" s="25">
        <f>IF(ISERROR(VLOOKUP($K4,割合DB!$A:$B,2,FALSE))=TRUE,0,VLOOKUP($K4,割合DB!$A:$B,2,FALSE))</f>
        <v>0</v>
      </c>
      <c r="BE4" s="25">
        <f>IF(ISERROR(VLOOKUP($L4,割合DB!$A:$B,2,FALSE))=TRUE,0,VLOOKUP($L4,割合DB!$A:$B,2,FALSE))</f>
        <v>0</v>
      </c>
      <c r="BF4" s="25">
        <f>IF(ISERROR(VLOOKUP($M4,割合DB!$A:$B,2,FALSE))=TRUE,0,VLOOKUP($M4,割合DB!$A:$B,2,FALSE))</f>
        <v>0</v>
      </c>
      <c r="BG4" s="25">
        <f t="shared" ref="BG4:BG8" si="28">((100-BD4)+(100-BE4))/2</f>
        <v>100</v>
      </c>
      <c r="BH4" s="18">
        <f t="shared" ref="BH4:BH8" si="29">100-BF4</f>
        <v>100</v>
      </c>
      <c r="BI4" s="18">
        <f>IF(N4="",1,IF(N4="CR",30,IF(N4="EN",20,IF(N4="VU",5,1))))</f>
        <v>1</v>
      </c>
      <c r="BJ4" s="176"/>
      <c r="BK4" s="176"/>
      <c r="BL4" s="176"/>
      <c r="BM4" s="176"/>
      <c r="BN4" s="176"/>
      <c r="BO4" s="176"/>
      <c r="BP4" s="176"/>
      <c r="BQ4" s="176"/>
      <c r="BR4" s="176"/>
      <c r="BS4" s="176"/>
      <c r="BT4" s="176"/>
      <c r="BU4" s="176"/>
      <c r="BV4" s="176"/>
      <c r="BW4" s="176"/>
      <c r="BX4" s="176"/>
      <c r="BY4" s="176"/>
      <c r="BZ4" s="176"/>
      <c r="CA4" s="176"/>
    </row>
    <row r="5" spans="1:79" ht="27" customHeight="1" x14ac:dyDescent="0.15">
      <c r="A5" s="30" t="s">
        <v>227</v>
      </c>
      <c r="B5" s="31" t="str">
        <f>IF('環境条件(竣工時)'!B5="","",'環境条件(竣工時)'!B5)</f>
        <v/>
      </c>
      <c r="C5" s="31" t="str">
        <f>IF('環境条件(竣工時)'!C5="","",'環境条件(竣工時)'!C5)</f>
        <v/>
      </c>
      <c r="D5" s="31" t="str">
        <f>IF('環境条件(竣工時)'!D5="","",'環境条件(竣工時)'!D5)</f>
        <v/>
      </c>
      <c r="E5" s="31" t="str">
        <f>IF('環境条件(竣工時)'!E5="","",'環境条件(竣工時)'!E5)</f>
        <v/>
      </c>
      <c r="F5" s="30" t="str">
        <f>IF('環境条件(竣工時)'!F5="","",'環境条件(竣工時)'!F5)</f>
        <v/>
      </c>
      <c r="G5" s="21"/>
      <c r="H5" s="22"/>
      <c r="I5" s="22"/>
      <c r="J5" s="22"/>
      <c r="K5" s="23"/>
      <c r="L5" s="23"/>
      <c r="M5" s="23"/>
      <c r="N5" s="146"/>
      <c r="O5" s="40">
        <f t="shared" ref="O5:O8" si="30">IF(F5="該当",AN5,S5)</f>
        <v>0</v>
      </c>
      <c r="P5" s="183" t="str">
        <f t="shared" si="0"/>
        <v/>
      </c>
      <c r="S5" s="18">
        <f t="shared" ref="S5:S68" si="31">IF(T5=0,0,IF(U5="点数特定できず",SUM(AF5:AH5),U5))*BI5</f>
        <v>0</v>
      </c>
      <c r="T5" s="18">
        <f t="shared" si="1"/>
        <v>0</v>
      </c>
      <c r="U5" s="18">
        <f>IF(C5="人工面",0,IF(G5="",0,IF(D5="湿性環境",VLOOKUP(G5,環境タイプⅡによる点数DB!A:B,2,FALSE),IF(D5="樹林",VLOOKUP(G5,環境タイプⅡによる点数DB!A:C,3,FALSE),IF(D5="低木・草地",VLOOKUP(G5,環境タイプⅡによる点数DB!A:D,4,FALSE),0)))))</f>
        <v>0</v>
      </c>
      <c r="V5" s="24" t="str">
        <f>$H5&amp;"in"&amp;基本情報!$C$13</f>
        <v>in</v>
      </c>
      <c r="W5" s="24">
        <f t="shared" si="2"/>
        <v>0</v>
      </c>
      <c r="X5" s="24">
        <f>IF($H5="",0,IF($D5="樹林",IF(ISERROR(VLOOKUP($V5,市町村・植物種ごとの樹林点数DB!$A:$G,7,FALSE))=TRUE,20,VLOOKUP($V5,市町村・植物種ごとの樹林点数DB!$A:$G,7,FALSE)),IF($D5="低木・草地",IF($H5="【ススキ】・【ネザサ】・【チガヤ】",45,10),0)))</f>
        <v>0</v>
      </c>
      <c r="Y5" s="24">
        <f t="shared" si="3"/>
        <v>0</v>
      </c>
      <c r="Z5" s="24">
        <f t="shared" si="4"/>
        <v>1</v>
      </c>
      <c r="AA5" s="24">
        <f t="shared" si="5"/>
        <v>1</v>
      </c>
      <c r="AB5" s="24">
        <f t="shared" si="6"/>
        <v>0</v>
      </c>
      <c r="AC5" s="25">
        <f t="shared" si="7"/>
        <v>0</v>
      </c>
      <c r="AD5" s="25">
        <f t="shared" si="8"/>
        <v>0</v>
      </c>
      <c r="AE5" s="25">
        <f t="shared" si="9"/>
        <v>0</v>
      </c>
      <c r="AF5" s="25" t="str">
        <f t="shared" si="10"/>
        <v/>
      </c>
      <c r="AG5" s="25" t="str">
        <f t="shared" si="11"/>
        <v/>
      </c>
      <c r="AH5" s="25" t="str">
        <f t="shared" si="12"/>
        <v/>
      </c>
      <c r="AI5" s="25">
        <f>IF(ISERROR(VLOOKUP(K5,割合DB!$A:$B,2,FALSE))=TRUE,100,VLOOKUP(K5,割合DB!$A:$B,2,FALSE))</f>
        <v>100</v>
      </c>
      <c r="AJ5" s="25">
        <f>IF(ISERROR(VLOOKUP(L5,割合DB!$A:$B,2,FALSE))=TRUE,100,VLOOKUP(L5,割合DB!$A:$B,2,FALSE))</f>
        <v>100</v>
      </c>
      <c r="AK5" s="25">
        <f>IF(ISERROR(VLOOKUP(M5,割合DB!$A:$B,2,FALSE))=TRUE,100,VLOOKUP(M5,割合DB!$A:$B,2,FALSE))</f>
        <v>100</v>
      </c>
      <c r="AL5" s="25">
        <f t="shared" si="13"/>
        <v>0</v>
      </c>
      <c r="AM5" s="18">
        <f t="shared" si="14"/>
        <v>0</v>
      </c>
      <c r="AN5" s="18">
        <f t="shared" si="15"/>
        <v>0</v>
      </c>
      <c r="AO5" s="18">
        <f t="shared" si="16"/>
        <v>0</v>
      </c>
      <c r="AP5" s="18">
        <f>IF($C5="人工面",0,IF($G5="",70,IF($D5="湿性環境",VLOOKUP($G5,環境タイプⅡによる点数DB!$A:$B,2,FALSE),IF($D5="樹林",VLOOKUP($G5,環境タイプⅡによる点数DB!$A:$C,3,FALSE),IF($D5="低木・草地",VLOOKUP($G5,環境タイプⅡによる点数DB!$A:$D,4,FALSE),0)))))</f>
        <v>70</v>
      </c>
      <c r="AQ5" s="24" t="str">
        <f>$H5&amp;"in"&amp;基本情報!$C$13</f>
        <v>in</v>
      </c>
      <c r="AR5" s="24">
        <f t="shared" si="17"/>
        <v>0</v>
      </c>
      <c r="AS5" s="24">
        <f>IF($H5="",0,IF($D5="樹林",IF(ISERROR(VLOOKUP($V5,市町村・植物種ごとの樹林点数DB!$A:$F,6,FALSE))=TRUE,10,VLOOKUP($V5,市町村・植物種ごとの樹林点数DB!$A:$F,6,FALSE)),IF($D5="低木・草地",IF(OR($H5="【ススキ】・【ネザサ】・【チガヤ】",$H5="不明"),45,10),0)))</f>
        <v>0</v>
      </c>
      <c r="AT5" s="24">
        <f t="shared" si="18"/>
        <v>0</v>
      </c>
      <c r="AU5" s="24">
        <f t="shared" si="19"/>
        <v>1</v>
      </c>
      <c r="AV5" s="24">
        <f t="shared" si="20"/>
        <v>0</v>
      </c>
      <c r="AW5" s="24">
        <f t="shared" si="21"/>
        <v>1</v>
      </c>
      <c r="AX5" s="25">
        <f t="shared" si="22"/>
        <v>0</v>
      </c>
      <c r="AY5" s="25">
        <f t="shared" si="23"/>
        <v>0</v>
      </c>
      <c r="AZ5" s="25">
        <f t="shared" si="24"/>
        <v>0</v>
      </c>
      <c r="BA5" s="25" t="str">
        <f t="shared" si="25"/>
        <v/>
      </c>
      <c r="BB5" s="25" t="str">
        <f t="shared" si="26"/>
        <v/>
      </c>
      <c r="BC5" s="25" t="str">
        <f t="shared" si="27"/>
        <v/>
      </c>
      <c r="BD5" s="25">
        <f>IF(ISERROR(VLOOKUP($K5,割合DB!$A:$B,2,FALSE))=TRUE,0,VLOOKUP($K5,割合DB!$A:$B,2,FALSE))</f>
        <v>0</v>
      </c>
      <c r="BE5" s="25">
        <f>IF(ISERROR(VLOOKUP($L5,割合DB!$A:$B,2,FALSE))=TRUE,0,VLOOKUP($L5,割合DB!$A:$B,2,FALSE))</f>
        <v>0</v>
      </c>
      <c r="BF5" s="25">
        <f>IF(ISERROR(VLOOKUP($M5,割合DB!$A:$B,2,FALSE))=TRUE,0,VLOOKUP($M5,割合DB!$A:$B,2,FALSE))</f>
        <v>0</v>
      </c>
      <c r="BG5" s="25">
        <f t="shared" si="28"/>
        <v>100</v>
      </c>
      <c r="BH5" s="18">
        <f t="shared" si="29"/>
        <v>100</v>
      </c>
      <c r="BI5" s="18">
        <f t="shared" ref="BI5:BI68" si="32">IF(N5="",1,IF(N5="CR",30,IF(N5="EN",20,IF(N5="VU",5,1))))</f>
        <v>1</v>
      </c>
      <c r="BJ5" s="176"/>
      <c r="BK5" s="176"/>
      <c r="BL5" s="176"/>
      <c r="BM5" s="176"/>
      <c r="BN5" s="176"/>
      <c r="BO5" s="176"/>
      <c r="BP5" s="176"/>
      <c r="BQ5" s="176"/>
      <c r="BR5" s="176"/>
      <c r="BS5" s="176"/>
      <c r="BT5" s="176"/>
      <c r="BU5" s="176"/>
      <c r="BV5" s="176"/>
      <c r="BW5" s="176"/>
      <c r="BX5" s="176"/>
      <c r="BY5" s="176"/>
      <c r="BZ5" s="176"/>
      <c r="CA5" s="176"/>
    </row>
    <row r="6" spans="1:79" ht="27" customHeight="1" x14ac:dyDescent="0.15">
      <c r="A6" s="30" t="s">
        <v>228</v>
      </c>
      <c r="B6" s="31" t="str">
        <f>IF('環境条件(竣工時)'!B6="","",'環境条件(竣工時)'!B6)</f>
        <v/>
      </c>
      <c r="C6" s="31" t="str">
        <f>IF('環境条件(竣工時)'!C6="","",'環境条件(竣工時)'!C6)</f>
        <v/>
      </c>
      <c r="D6" s="31" t="str">
        <f>IF('環境条件(竣工時)'!D6="","",'環境条件(竣工時)'!D6)</f>
        <v/>
      </c>
      <c r="E6" s="31" t="str">
        <f>IF('環境条件(竣工時)'!E6="","",'環境条件(竣工時)'!E6)</f>
        <v/>
      </c>
      <c r="F6" s="30" t="str">
        <f>IF('環境条件(竣工時)'!F6="","",'環境条件(竣工時)'!F6)</f>
        <v/>
      </c>
      <c r="G6" s="21"/>
      <c r="H6" s="22"/>
      <c r="I6" s="22"/>
      <c r="J6" s="22"/>
      <c r="K6" s="23"/>
      <c r="L6" s="23"/>
      <c r="M6" s="23"/>
      <c r="N6" s="146"/>
      <c r="O6" s="40">
        <f t="shared" si="30"/>
        <v>0</v>
      </c>
      <c r="P6" s="183" t="str">
        <f t="shared" si="0"/>
        <v/>
      </c>
      <c r="S6" s="18">
        <f t="shared" si="31"/>
        <v>0</v>
      </c>
      <c r="T6" s="18">
        <f t="shared" si="1"/>
        <v>0</v>
      </c>
      <c r="U6" s="18">
        <f>IF(C6="人工面",0,IF(G6="",0,IF(D6="湿性環境",VLOOKUP(G6,環境タイプⅡによる点数DB!A:B,2,FALSE),IF(D6="樹林",VLOOKUP(G6,環境タイプⅡによる点数DB!A:C,3,FALSE),IF(D6="低木・草地",VLOOKUP(G6,環境タイプⅡによる点数DB!A:D,4,FALSE),0)))))</f>
        <v>0</v>
      </c>
      <c r="V6" s="24" t="str">
        <f>$H6&amp;"in"&amp;基本情報!$C$13</f>
        <v>in</v>
      </c>
      <c r="W6" s="24">
        <f t="shared" si="2"/>
        <v>0</v>
      </c>
      <c r="X6" s="24">
        <f>IF($H6="",0,IF($D6="樹林",IF(ISERROR(VLOOKUP($V6,市町村・植物種ごとの樹林点数DB!$A:$G,7,FALSE))=TRUE,20,VLOOKUP($V6,市町村・植物種ごとの樹林点数DB!$A:$G,7,FALSE)),IF($D6="低木・草地",IF($H6="【ススキ】・【ネザサ】・【チガヤ】",45,10),0)))</f>
        <v>0</v>
      </c>
      <c r="Y6" s="24">
        <f t="shared" si="3"/>
        <v>0</v>
      </c>
      <c r="Z6" s="24">
        <f t="shared" si="4"/>
        <v>1</v>
      </c>
      <c r="AA6" s="24">
        <f t="shared" si="5"/>
        <v>1</v>
      </c>
      <c r="AB6" s="24">
        <f t="shared" si="6"/>
        <v>0</v>
      </c>
      <c r="AC6" s="25">
        <f t="shared" si="7"/>
        <v>0</v>
      </c>
      <c r="AD6" s="25">
        <f t="shared" si="8"/>
        <v>0</v>
      </c>
      <c r="AE6" s="25">
        <f t="shared" si="9"/>
        <v>0</v>
      </c>
      <c r="AF6" s="25" t="str">
        <f t="shared" si="10"/>
        <v/>
      </c>
      <c r="AG6" s="25" t="str">
        <f t="shared" si="11"/>
        <v/>
      </c>
      <c r="AH6" s="25" t="str">
        <f t="shared" si="12"/>
        <v/>
      </c>
      <c r="AI6" s="25">
        <f>IF(ISERROR(VLOOKUP(K6,割合DB!$A:$B,2,FALSE))=TRUE,100,VLOOKUP(K6,割合DB!$A:$B,2,FALSE))</f>
        <v>100</v>
      </c>
      <c r="AJ6" s="25">
        <f>IF(ISERROR(VLOOKUP(L6,割合DB!$A:$B,2,FALSE))=TRUE,100,VLOOKUP(L6,割合DB!$A:$B,2,FALSE))</f>
        <v>100</v>
      </c>
      <c r="AK6" s="25">
        <f>IF(ISERROR(VLOOKUP(M6,割合DB!$A:$B,2,FALSE))=TRUE,100,VLOOKUP(M6,割合DB!$A:$B,2,FALSE))</f>
        <v>100</v>
      </c>
      <c r="AL6" s="25">
        <f t="shared" si="13"/>
        <v>0</v>
      </c>
      <c r="AM6" s="18">
        <f t="shared" si="14"/>
        <v>0</v>
      </c>
      <c r="AN6" s="18">
        <f t="shared" si="15"/>
        <v>0</v>
      </c>
      <c r="AO6" s="18">
        <f t="shared" si="16"/>
        <v>0</v>
      </c>
      <c r="AP6" s="18">
        <f>IF($C6="人工面",0,IF($G6="",70,IF($D6="湿性環境",VLOOKUP($G6,環境タイプⅡによる点数DB!$A:$B,2,FALSE),IF($D6="樹林",VLOOKUP($G6,環境タイプⅡによる点数DB!$A:$C,3,FALSE),IF($D6="低木・草地",VLOOKUP($G6,環境タイプⅡによる点数DB!$A:$D,4,FALSE),0)))))</f>
        <v>70</v>
      </c>
      <c r="AQ6" s="24" t="str">
        <f>$H6&amp;"in"&amp;基本情報!$C$13</f>
        <v>in</v>
      </c>
      <c r="AR6" s="24">
        <f t="shared" si="17"/>
        <v>0</v>
      </c>
      <c r="AS6" s="24">
        <f>IF($H6="",0,IF($D6="樹林",IF(ISERROR(VLOOKUP($V6,市町村・植物種ごとの樹林点数DB!$A:$F,6,FALSE))=TRUE,10,VLOOKUP($V6,市町村・植物種ごとの樹林点数DB!$A:$F,6,FALSE)),IF($D6="低木・草地",IF(OR($H6="【ススキ】・【ネザサ】・【チガヤ】",$H6="不明"),45,10),0)))</f>
        <v>0</v>
      </c>
      <c r="AT6" s="24">
        <f t="shared" si="18"/>
        <v>0</v>
      </c>
      <c r="AU6" s="24">
        <f t="shared" si="19"/>
        <v>1</v>
      </c>
      <c r="AV6" s="24">
        <f t="shared" si="20"/>
        <v>0</v>
      </c>
      <c r="AW6" s="24">
        <f t="shared" si="21"/>
        <v>1</v>
      </c>
      <c r="AX6" s="25">
        <f t="shared" si="22"/>
        <v>0</v>
      </c>
      <c r="AY6" s="25">
        <f t="shared" si="23"/>
        <v>0</v>
      </c>
      <c r="AZ6" s="25">
        <f t="shared" si="24"/>
        <v>0</v>
      </c>
      <c r="BA6" s="25" t="str">
        <f t="shared" si="25"/>
        <v/>
      </c>
      <c r="BB6" s="25" t="str">
        <f t="shared" si="26"/>
        <v/>
      </c>
      <c r="BC6" s="25" t="str">
        <f t="shared" si="27"/>
        <v/>
      </c>
      <c r="BD6" s="25">
        <f>IF(ISERROR(VLOOKUP($K6,割合DB!$A:$B,2,FALSE))=TRUE,0,VLOOKUP($K6,割合DB!$A:$B,2,FALSE))</f>
        <v>0</v>
      </c>
      <c r="BE6" s="25">
        <f>IF(ISERROR(VLOOKUP($L6,割合DB!$A:$B,2,FALSE))=TRUE,0,VLOOKUP($L6,割合DB!$A:$B,2,FALSE))</f>
        <v>0</v>
      </c>
      <c r="BF6" s="25">
        <f>IF(ISERROR(VLOOKUP($M6,割合DB!$A:$B,2,FALSE))=TRUE,0,VLOOKUP($M6,割合DB!$A:$B,2,FALSE))</f>
        <v>0</v>
      </c>
      <c r="BG6" s="25">
        <f t="shared" si="28"/>
        <v>100</v>
      </c>
      <c r="BH6" s="18">
        <f t="shared" si="29"/>
        <v>100</v>
      </c>
      <c r="BI6" s="18">
        <f t="shared" si="32"/>
        <v>1</v>
      </c>
      <c r="BJ6" s="176"/>
      <c r="BK6" s="176"/>
      <c r="BL6" s="176"/>
      <c r="BM6" s="176"/>
      <c r="BN6" s="176"/>
      <c r="BO6" s="176"/>
      <c r="BP6" s="176"/>
      <c r="BQ6" s="176"/>
      <c r="BR6" s="176"/>
      <c r="BS6" s="176"/>
      <c r="BT6" s="176"/>
      <c r="BU6" s="176"/>
      <c r="BV6" s="176"/>
      <c r="BW6" s="176"/>
      <c r="BX6" s="176"/>
      <c r="BY6" s="176"/>
      <c r="BZ6" s="176"/>
      <c r="CA6" s="176"/>
    </row>
    <row r="7" spans="1:79" ht="27" customHeight="1" x14ac:dyDescent="0.15">
      <c r="A7" s="30" t="s">
        <v>229</v>
      </c>
      <c r="B7" s="31" t="str">
        <f>IF('環境条件(竣工時)'!B7="","",'環境条件(竣工時)'!B7)</f>
        <v/>
      </c>
      <c r="C7" s="31" t="str">
        <f>IF('環境条件(竣工時)'!C7="","",'環境条件(竣工時)'!C7)</f>
        <v/>
      </c>
      <c r="D7" s="31" t="str">
        <f>IF('環境条件(竣工時)'!D7="","",'環境条件(竣工時)'!D7)</f>
        <v/>
      </c>
      <c r="E7" s="31" t="str">
        <f>IF('環境条件(竣工時)'!E7="","",'環境条件(竣工時)'!E7)</f>
        <v/>
      </c>
      <c r="F7" s="30" t="str">
        <f>IF('環境条件(竣工時)'!F7="","",'環境条件(竣工時)'!F7)</f>
        <v/>
      </c>
      <c r="G7" s="21"/>
      <c r="H7" s="22"/>
      <c r="I7" s="22"/>
      <c r="J7" s="22"/>
      <c r="K7" s="23"/>
      <c r="L7" s="23"/>
      <c r="M7" s="23"/>
      <c r="N7" s="146"/>
      <c r="O7" s="40">
        <f t="shared" si="30"/>
        <v>0</v>
      </c>
      <c r="P7" s="183" t="str">
        <f t="shared" si="0"/>
        <v/>
      </c>
      <c r="S7" s="18">
        <f t="shared" si="31"/>
        <v>0</v>
      </c>
      <c r="T7" s="18">
        <f t="shared" si="1"/>
        <v>0</v>
      </c>
      <c r="U7" s="18">
        <f>IF(C7="人工面",0,IF(G7="",0,IF(D7="湿性環境",VLOOKUP(G7,環境タイプⅡによる点数DB!A:B,2,FALSE),IF(D7="樹林",VLOOKUP(G7,環境タイプⅡによる点数DB!A:C,3,FALSE),IF(D7="低木・草地",VLOOKUP(G7,環境タイプⅡによる点数DB!A:D,4,FALSE),0)))))</f>
        <v>0</v>
      </c>
      <c r="V7" s="24" t="str">
        <f>$H7&amp;"in"&amp;基本情報!$C$13</f>
        <v>in</v>
      </c>
      <c r="W7" s="24">
        <f t="shared" si="2"/>
        <v>0</v>
      </c>
      <c r="X7" s="24">
        <f>IF($H7="",0,IF($D7="樹林",IF(ISERROR(VLOOKUP($V7,市町村・植物種ごとの樹林点数DB!$A:$G,7,FALSE))=TRUE,20,VLOOKUP($V7,市町村・植物種ごとの樹林点数DB!$A:$G,7,FALSE)),IF($D7="低木・草地",IF($H7="【ススキ】・【ネザサ】・【チガヤ】",45,10),0)))</f>
        <v>0</v>
      </c>
      <c r="Y7" s="24">
        <f t="shared" si="3"/>
        <v>0</v>
      </c>
      <c r="Z7" s="24">
        <f t="shared" si="4"/>
        <v>1</v>
      </c>
      <c r="AA7" s="24">
        <f t="shared" si="5"/>
        <v>1</v>
      </c>
      <c r="AB7" s="24">
        <f t="shared" si="6"/>
        <v>0</v>
      </c>
      <c r="AC7" s="25">
        <f t="shared" si="7"/>
        <v>0</v>
      </c>
      <c r="AD7" s="25">
        <f t="shared" si="8"/>
        <v>0</v>
      </c>
      <c r="AE7" s="25">
        <f t="shared" si="9"/>
        <v>0</v>
      </c>
      <c r="AF7" s="25" t="str">
        <f t="shared" si="10"/>
        <v/>
      </c>
      <c r="AG7" s="25" t="str">
        <f t="shared" si="11"/>
        <v/>
      </c>
      <c r="AH7" s="25" t="str">
        <f t="shared" si="12"/>
        <v/>
      </c>
      <c r="AI7" s="25">
        <f>IF(ISERROR(VLOOKUP(K7,割合DB!$A:$B,2,FALSE))=TRUE,100,VLOOKUP(K7,割合DB!$A:$B,2,FALSE))</f>
        <v>100</v>
      </c>
      <c r="AJ7" s="25">
        <f>IF(ISERROR(VLOOKUP(L7,割合DB!$A:$B,2,FALSE))=TRUE,100,VLOOKUP(L7,割合DB!$A:$B,2,FALSE))</f>
        <v>100</v>
      </c>
      <c r="AK7" s="25">
        <f>IF(ISERROR(VLOOKUP(M7,割合DB!$A:$B,2,FALSE))=TRUE,100,VLOOKUP(M7,割合DB!$A:$B,2,FALSE))</f>
        <v>100</v>
      </c>
      <c r="AL7" s="25">
        <f t="shared" si="13"/>
        <v>0</v>
      </c>
      <c r="AM7" s="18">
        <f t="shared" si="14"/>
        <v>0</v>
      </c>
      <c r="AN7" s="18">
        <f t="shared" si="15"/>
        <v>0</v>
      </c>
      <c r="AO7" s="18">
        <f t="shared" si="16"/>
        <v>0</v>
      </c>
      <c r="AP7" s="18">
        <f>IF($C7="人工面",0,IF($G7="",70,IF($D7="湿性環境",VLOOKUP($G7,環境タイプⅡによる点数DB!$A:$B,2,FALSE),IF($D7="樹林",VLOOKUP($G7,環境タイプⅡによる点数DB!$A:$C,3,FALSE),IF($D7="低木・草地",VLOOKUP($G7,環境タイプⅡによる点数DB!$A:$D,4,FALSE),0)))))</f>
        <v>70</v>
      </c>
      <c r="AQ7" s="24" t="str">
        <f>$H7&amp;"in"&amp;基本情報!$C$13</f>
        <v>in</v>
      </c>
      <c r="AR7" s="24">
        <f t="shared" si="17"/>
        <v>0</v>
      </c>
      <c r="AS7" s="24">
        <f>IF($H7="",0,IF($D7="樹林",IF(ISERROR(VLOOKUP($V7,市町村・植物種ごとの樹林点数DB!$A:$F,6,FALSE))=TRUE,10,VLOOKUP($V7,市町村・植物種ごとの樹林点数DB!$A:$F,6,FALSE)),IF($D7="低木・草地",IF(OR($H7="【ススキ】・【ネザサ】・【チガヤ】",$H7="不明"),45,10),0)))</f>
        <v>0</v>
      </c>
      <c r="AT7" s="24">
        <f t="shared" si="18"/>
        <v>0</v>
      </c>
      <c r="AU7" s="24">
        <f t="shared" si="19"/>
        <v>1</v>
      </c>
      <c r="AV7" s="24">
        <f t="shared" si="20"/>
        <v>0</v>
      </c>
      <c r="AW7" s="24">
        <f t="shared" si="21"/>
        <v>1</v>
      </c>
      <c r="AX7" s="25">
        <f t="shared" si="22"/>
        <v>0</v>
      </c>
      <c r="AY7" s="25">
        <f t="shared" si="23"/>
        <v>0</v>
      </c>
      <c r="AZ7" s="25">
        <f t="shared" si="24"/>
        <v>0</v>
      </c>
      <c r="BA7" s="25" t="str">
        <f t="shared" si="25"/>
        <v/>
      </c>
      <c r="BB7" s="25" t="str">
        <f t="shared" si="26"/>
        <v/>
      </c>
      <c r="BC7" s="25" t="str">
        <f t="shared" si="27"/>
        <v/>
      </c>
      <c r="BD7" s="25">
        <f>IF(ISERROR(VLOOKUP($K7,割合DB!$A:$B,2,FALSE))=TRUE,0,VLOOKUP($K7,割合DB!$A:$B,2,FALSE))</f>
        <v>0</v>
      </c>
      <c r="BE7" s="25">
        <f>IF(ISERROR(VLOOKUP($L7,割合DB!$A:$B,2,FALSE))=TRUE,0,VLOOKUP($L7,割合DB!$A:$B,2,FALSE))</f>
        <v>0</v>
      </c>
      <c r="BF7" s="25">
        <f>IF(ISERROR(VLOOKUP($M7,割合DB!$A:$B,2,FALSE))=TRUE,0,VLOOKUP($M7,割合DB!$A:$B,2,FALSE))</f>
        <v>0</v>
      </c>
      <c r="BG7" s="25">
        <f t="shared" si="28"/>
        <v>100</v>
      </c>
      <c r="BH7" s="18">
        <f t="shared" si="29"/>
        <v>100</v>
      </c>
      <c r="BI7" s="18">
        <f t="shared" si="32"/>
        <v>1</v>
      </c>
      <c r="BJ7" s="176"/>
      <c r="BK7" s="176"/>
      <c r="BL7" s="176"/>
      <c r="BM7" s="176"/>
      <c r="BN7" s="176"/>
      <c r="BO7" s="176"/>
      <c r="BP7" s="176"/>
      <c r="BQ7" s="176"/>
      <c r="BR7" s="176"/>
      <c r="BS7" s="176"/>
      <c r="BT7" s="176"/>
      <c r="BU7" s="176"/>
      <c r="BV7" s="176"/>
      <c r="BW7" s="176"/>
      <c r="BX7" s="176"/>
      <c r="BY7" s="176"/>
      <c r="BZ7" s="176"/>
      <c r="CA7" s="176"/>
    </row>
    <row r="8" spans="1:79" ht="27" customHeight="1" x14ac:dyDescent="0.15">
      <c r="A8" s="30" t="s">
        <v>230</v>
      </c>
      <c r="B8" s="31" t="str">
        <f>IF('環境条件(竣工時)'!B8="","",'環境条件(竣工時)'!B8)</f>
        <v/>
      </c>
      <c r="C8" s="31" t="str">
        <f>IF('環境条件(竣工時)'!C8="","",'環境条件(竣工時)'!C8)</f>
        <v/>
      </c>
      <c r="D8" s="31" t="str">
        <f>IF('環境条件(竣工時)'!D8="","",'環境条件(竣工時)'!D8)</f>
        <v/>
      </c>
      <c r="E8" s="31" t="str">
        <f>IF('環境条件(竣工時)'!E8="","",'環境条件(竣工時)'!E8)</f>
        <v/>
      </c>
      <c r="F8" s="30" t="str">
        <f>IF('環境条件(竣工時)'!F8="","",'環境条件(竣工時)'!F8)</f>
        <v/>
      </c>
      <c r="G8" s="21"/>
      <c r="H8" s="22"/>
      <c r="I8" s="22"/>
      <c r="J8" s="22"/>
      <c r="K8" s="23"/>
      <c r="L8" s="23"/>
      <c r="M8" s="23"/>
      <c r="N8" s="146"/>
      <c r="O8" s="40">
        <f t="shared" si="30"/>
        <v>0</v>
      </c>
      <c r="P8" s="183" t="str">
        <f t="shared" si="0"/>
        <v/>
      </c>
      <c r="S8" s="18">
        <f t="shared" si="31"/>
        <v>0</v>
      </c>
      <c r="T8" s="18">
        <f t="shared" si="1"/>
        <v>0</v>
      </c>
      <c r="U8" s="18">
        <f>IF(C8="人工面",0,IF(G8="",0,IF(D8="湿性環境",VLOOKUP(G8,環境タイプⅡによる点数DB!A:B,2,FALSE),IF(D8="樹林",VLOOKUP(G8,環境タイプⅡによる点数DB!A:C,3,FALSE),IF(D8="低木・草地",VLOOKUP(G8,環境タイプⅡによる点数DB!A:D,4,FALSE),0)))))</f>
        <v>0</v>
      </c>
      <c r="V8" s="24" t="str">
        <f>$H8&amp;"in"&amp;基本情報!$C$13</f>
        <v>in</v>
      </c>
      <c r="W8" s="24">
        <f t="shared" si="2"/>
        <v>0</v>
      </c>
      <c r="X8" s="24">
        <f>IF($H8="",0,IF($D8="樹林",IF(ISERROR(VLOOKUP($V8,市町村・植物種ごとの樹林点数DB!$A:$G,7,FALSE))=TRUE,20,VLOOKUP($V8,市町村・植物種ごとの樹林点数DB!$A:$G,7,FALSE)),IF($D8="低木・草地",IF($H8="【ススキ】・【ネザサ】・【チガヤ】",45,10),0)))</f>
        <v>0</v>
      </c>
      <c r="Y8" s="24">
        <f t="shared" si="3"/>
        <v>0</v>
      </c>
      <c r="Z8" s="24">
        <f t="shared" si="4"/>
        <v>1</v>
      </c>
      <c r="AA8" s="24">
        <f t="shared" si="5"/>
        <v>1</v>
      </c>
      <c r="AB8" s="24">
        <f t="shared" si="6"/>
        <v>0</v>
      </c>
      <c r="AC8" s="25">
        <f t="shared" si="7"/>
        <v>0</v>
      </c>
      <c r="AD8" s="25">
        <f t="shared" si="8"/>
        <v>0</v>
      </c>
      <c r="AE8" s="25">
        <f t="shared" si="9"/>
        <v>0</v>
      </c>
      <c r="AF8" s="25" t="str">
        <f t="shared" si="10"/>
        <v/>
      </c>
      <c r="AG8" s="25" t="str">
        <f t="shared" si="11"/>
        <v/>
      </c>
      <c r="AH8" s="25" t="str">
        <f t="shared" si="12"/>
        <v/>
      </c>
      <c r="AI8" s="25">
        <f>IF(ISERROR(VLOOKUP(K8,割合DB!$A:$B,2,FALSE))=TRUE,100,VLOOKUP(K8,割合DB!$A:$B,2,FALSE))</f>
        <v>100</v>
      </c>
      <c r="AJ8" s="25">
        <f>IF(ISERROR(VLOOKUP(L8,割合DB!$A:$B,2,FALSE))=TRUE,100,VLOOKUP(L8,割合DB!$A:$B,2,FALSE))</f>
        <v>100</v>
      </c>
      <c r="AK8" s="25">
        <f>IF(ISERROR(VLOOKUP(M8,割合DB!$A:$B,2,FALSE))=TRUE,100,VLOOKUP(M8,割合DB!$A:$B,2,FALSE))</f>
        <v>100</v>
      </c>
      <c r="AL8" s="25">
        <f t="shared" si="13"/>
        <v>0</v>
      </c>
      <c r="AM8" s="18">
        <f t="shared" si="14"/>
        <v>0</v>
      </c>
      <c r="AN8" s="18">
        <f t="shared" si="15"/>
        <v>0</v>
      </c>
      <c r="AO8" s="18">
        <f t="shared" si="16"/>
        <v>0</v>
      </c>
      <c r="AP8" s="18">
        <f>IF($C8="人工面",0,IF($G8="",70,IF($D8="湿性環境",VLOOKUP($G8,環境タイプⅡによる点数DB!$A:$B,2,FALSE),IF($D8="樹林",VLOOKUP($G8,環境タイプⅡによる点数DB!$A:$C,3,FALSE),IF($D8="低木・草地",VLOOKUP($G8,環境タイプⅡによる点数DB!$A:$D,4,FALSE),0)))))</f>
        <v>70</v>
      </c>
      <c r="AQ8" s="24" t="str">
        <f>$H8&amp;"in"&amp;基本情報!$C$13</f>
        <v>in</v>
      </c>
      <c r="AR8" s="24">
        <f t="shared" si="17"/>
        <v>0</v>
      </c>
      <c r="AS8" s="24">
        <f>IF($H8="",0,IF($D8="樹林",IF(ISERROR(VLOOKUP($V8,市町村・植物種ごとの樹林点数DB!$A:$F,6,FALSE))=TRUE,10,VLOOKUP($V8,市町村・植物種ごとの樹林点数DB!$A:$F,6,FALSE)),IF($D8="低木・草地",IF(OR($H8="【ススキ】・【ネザサ】・【チガヤ】",$H8="不明"),45,10),0)))</f>
        <v>0</v>
      </c>
      <c r="AT8" s="24">
        <f t="shared" si="18"/>
        <v>0</v>
      </c>
      <c r="AU8" s="24">
        <f t="shared" si="19"/>
        <v>1</v>
      </c>
      <c r="AV8" s="24">
        <f t="shared" si="20"/>
        <v>0</v>
      </c>
      <c r="AW8" s="24">
        <f t="shared" si="21"/>
        <v>1</v>
      </c>
      <c r="AX8" s="25">
        <f t="shared" si="22"/>
        <v>0</v>
      </c>
      <c r="AY8" s="25">
        <f t="shared" si="23"/>
        <v>0</v>
      </c>
      <c r="AZ8" s="25">
        <f t="shared" si="24"/>
        <v>0</v>
      </c>
      <c r="BA8" s="25" t="str">
        <f t="shared" si="25"/>
        <v/>
      </c>
      <c r="BB8" s="25" t="str">
        <f t="shared" si="26"/>
        <v/>
      </c>
      <c r="BC8" s="25" t="str">
        <f t="shared" si="27"/>
        <v/>
      </c>
      <c r="BD8" s="25">
        <f>IF(ISERROR(VLOOKUP($K8,割合DB!$A:$B,2,FALSE))=TRUE,0,VLOOKUP($K8,割合DB!$A:$B,2,FALSE))</f>
        <v>0</v>
      </c>
      <c r="BE8" s="25">
        <f>IF(ISERROR(VLOOKUP($L8,割合DB!$A:$B,2,FALSE))=TRUE,0,VLOOKUP($L8,割合DB!$A:$B,2,FALSE))</f>
        <v>0</v>
      </c>
      <c r="BF8" s="25">
        <f>IF(ISERROR(VLOOKUP($M8,割合DB!$A:$B,2,FALSE))=TRUE,0,VLOOKUP($M8,割合DB!$A:$B,2,FALSE))</f>
        <v>0</v>
      </c>
      <c r="BG8" s="25">
        <f t="shared" si="28"/>
        <v>100</v>
      </c>
      <c r="BH8" s="18">
        <f t="shared" si="29"/>
        <v>100</v>
      </c>
      <c r="BI8" s="18">
        <f t="shared" si="32"/>
        <v>1</v>
      </c>
      <c r="BJ8" s="176"/>
      <c r="BK8" s="176"/>
      <c r="BL8" s="176"/>
      <c r="BM8" s="176"/>
      <c r="BN8" s="176"/>
      <c r="BO8" s="176"/>
      <c r="BP8" s="176"/>
      <c r="BQ8" s="176"/>
      <c r="BR8" s="176"/>
      <c r="BS8" s="176"/>
      <c r="BT8" s="176"/>
      <c r="BU8" s="176"/>
      <c r="BV8" s="176"/>
      <c r="BW8" s="176"/>
      <c r="BX8" s="176"/>
      <c r="BY8" s="176"/>
      <c r="BZ8" s="176"/>
      <c r="CA8" s="176"/>
    </row>
    <row r="9" spans="1:79" ht="27" customHeight="1" x14ac:dyDescent="0.15">
      <c r="A9" s="30" t="s">
        <v>231</v>
      </c>
      <c r="B9" s="31" t="str">
        <f>IF('環境条件(竣工時)'!B9="","",'環境条件(竣工時)'!B9)</f>
        <v/>
      </c>
      <c r="C9" s="31" t="str">
        <f>IF('環境条件(竣工時)'!C9="","",'環境条件(竣工時)'!C9)</f>
        <v/>
      </c>
      <c r="D9" s="31" t="str">
        <f>IF('環境条件(竣工時)'!D9="","",'環境条件(竣工時)'!D9)</f>
        <v/>
      </c>
      <c r="E9" s="31" t="str">
        <f>IF('環境条件(竣工時)'!E9="","",'環境条件(竣工時)'!E9)</f>
        <v/>
      </c>
      <c r="F9" s="30" t="str">
        <f>IF('環境条件(竣工時)'!F9="","",'環境条件(竣工時)'!F9)</f>
        <v/>
      </c>
      <c r="G9" s="21"/>
      <c r="H9" s="22"/>
      <c r="I9" s="22"/>
      <c r="J9" s="22"/>
      <c r="K9" s="23"/>
      <c r="L9" s="23"/>
      <c r="M9" s="23"/>
      <c r="N9" s="146"/>
      <c r="O9" s="40">
        <f t="shared" ref="O9:O72" si="33">IF(F9="該当",AN9,S9)</f>
        <v>0</v>
      </c>
      <c r="P9" s="183" t="str">
        <f t="shared" ref="P9:P72" si="34">IF(B9="","",B9*O9)</f>
        <v/>
      </c>
      <c r="S9" s="18">
        <f t="shared" si="31"/>
        <v>0</v>
      </c>
      <c r="T9" s="18">
        <f t="shared" si="1"/>
        <v>0</v>
      </c>
      <c r="U9" s="18">
        <f>IF(C9="人工面",0,IF(G9="",0,IF(D9="湿性環境",VLOOKUP(G9,環境タイプⅡによる点数DB!A:B,2,FALSE),IF(D9="樹林",VLOOKUP(G9,環境タイプⅡによる点数DB!A:C,3,FALSE),IF(D9="低木・草地",VLOOKUP(G9,環境タイプⅡによる点数DB!A:D,4,FALSE),0)))))</f>
        <v>0</v>
      </c>
      <c r="V9" s="24" t="str">
        <f>$H9&amp;"in"&amp;基本情報!$C$13</f>
        <v>in</v>
      </c>
      <c r="W9" s="24">
        <f t="shared" si="2"/>
        <v>0</v>
      </c>
      <c r="X9" s="24">
        <f>IF($H9="",0,IF($D9="樹林",IF(ISERROR(VLOOKUP($V9,市町村・植物種ごとの樹林点数DB!$A:$G,7,FALSE))=TRUE,20,VLOOKUP($V9,市町村・植物種ごとの樹林点数DB!$A:$G,7,FALSE)),IF($D9="低木・草地",IF($H9="【ススキ】・【ネザサ】・【チガヤ】",45,10),0)))</f>
        <v>0</v>
      </c>
      <c r="Y9" s="24">
        <f t="shared" ref="Y9:Y72" si="35">IF($D9="樹林",IF(H9="",5,0),IF($D9="低木・草地",IF(H9="",10,0),0))</f>
        <v>0</v>
      </c>
      <c r="Z9" s="24">
        <f t="shared" ref="Z9:Z72" si="36">IF(OR(H9="その他の低木・草",H9="【ススキ】・【ネザサ】・【チガヤ】"),0,1)</f>
        <v>1</v>
      </c>
      <c r="AA9" s="24">
        <f t="shared" ref="AA9:AA72" si="37">IF(I9="ほぼ無し",0,IF(I9="1/4程度",0.25,IF(I9="1/2程度",0.5,IF(I9="3/4程度",0.75,IF(I9="ほぼ全て",1,1)))))</f>
        <v>1</v>
      </c>
      <c r="AB9" s="24">
        <f t="shared" ref="AB9:AB72" si="38">IF(J9="無し",0,IF(J9="有り",1,IF(J9="不明",0,0)))</f>
        <v>0</v>
      </c>
      <c r="AC9" s="25">
        <f t="shared" ref="AC9:AC72" si="39">(X9+Y9)*W9</f>
        <v>0</v>
      </c>
      <c r="AD9" s="25">
        <f t="shared" ref="AD9:AD72" si="40">IF(AC9=45,25*(1-AA9),IF(AC9=40,20*(1-AA9),IF(AC9&gt;=2.5,10*(1-AA9),IF(AC9&gt;0,5*(1-AA9),0))))</f>
        <v>0</v>
      </c>
      <c r="AE9" s="25">
        <f t="shared" ref="AE9:AE72" si="41">IF(W9=1,AB9*Z9*10,0)</f>
        <v>0</v>
      </c>
      <c r="AF9" s="25" t="str">
        <f t="shared" ref="AF9:AF72" si="42">IF(D9="低木・草地",SUM(AC9:AD9),"")</f>
        <v/>
      </c>
      <c r="AG9" s="25" t="str">
        <f t="shared" ref="AG9:AG72" si="43">IF(D9="樹林",SUM(AC9:AE9),"")</f>
        <v/>
      </c>
      <c r="AH9" s="25" t="str">
        <f t="shared" ref="AH9:AH72" si="44">IF(D9="湿性環境",IF(AL9+AM9&lt;60,0,(AL9+AM9)/2-30),"")</f>
        <v/>
      </c>
      <c r="AI9" s="25">
        <f>IF(ISERROR(VLOOKUP(K9,割合DB!$A:$B,2,FALSE))=TRUE,100,VLOOKUP(K9,割合DB!$A:$B,2,FALSE))</f>
        <v>100</v>
      </c>
      <c r="AJ9" s="25">
        <f>IF(ISERROR(VLOOKUP(L9,割合DB!$A:$B,2,FALSE))=TRUE,100,VLOOKUP(L9,割合DB!$A:$B,2,FALSE))</f>
        <v>100</v>
      </c>
      <c r="AK9" s="25">
        <f>IF(ISERROR(VLOOKUP(M9,割合DB!$A:$B,2,FALSE))=TRUE,100,VLOOKUP(M9,割合DB!$A:$B,2,FALSE))</f>
        <v>100</v>
      </c>
      <c r="AL9" s="25">
        <f t="shared" ref="AL9:AL72" si="45">((100-AI9)+(100-AJ9))/2</f>
        <v>0</v>
      </c>
      <c r="AM9" s="18">
        <f t="shared" ref="AM9:AM72" si="46">100-AK9</f>
        <v>0</v>
      </c>
      <c r="AN9" s="18">
        <f t="shared" ref="AN9:AN72" si="47">IF(AO9=0,0,IF(AP9="点数特定できず",SUM(BA9:BC9),AP9))</f>
        <v>0</v>
      </c>
      <c r="AO9" s="18">
        <f t="shared" si="16"/>
        <v>0</v>
      </c>
      <c r="AP9" s="18">
        <f>IF($C9="人工面",0,IF($G9="",70,IF($D9="湿性環境",VLOOKUP($G9,環境タイプⅡによる点数DB!$A:$B,2,FALSE),IF($D9="樹林",VLOOKUP($G9,環境タイプⅡによる点数DB!$A:$C,3,FALSE),IF($D9="低木・草地",VLOOKUP($G9,環境タイプⅡによる点数DB!$A:$D,4,FALSE),0)))))</f>
        <v>70</v>
      </c>
      <c r="AQ9" s="24" t="str">
        <f>$H9&amp;"in"&amp;基本情報!$C$13</f>
        <v>in</v>
      </c>
      <c r="AR9" s="24">
        <f t="shared" si="17"/>
        <v>0</v>
      </c>
      <c r="AS9" s="24">
        <f>IF($H9="",0,IF($D9="樹林",IF(ISERROR(VLOOKUP($V9,市町村・植物種ごとの樹林点数DB!$A:$F,6,FALSE))=TRUE,10,VLOOKUP($V9,市町村・植物種ごとの樹林点数DB!$A:$F,6,FALSE)),IF($D9="低木・草地",IF(OR($H9="【ススキ】・【ネザサ】・【チガヤ】",$H9="不明"),45,10),0)))</f>
        <v>0</v>
      </c>
      <c r="AT9" s="24">
        <f t="shared" si="18"/>
        <v>0</v>
      </c>
      <c r="AU9" s="24">
        <f t="shared" si="19"/>
        <v>1</v>
      </c>
      <c r="AV9" s="24">
        <f t="shared" si="20"/>
        <v>0</v>
      </c>
      <c r="AW9" s="24">
        <f t="shared" si="21"/>
        <v>1</v>
      </c>
      <c r="AX9" s="25">
        <f t="shared" ref="AX9:AX72" si="48">(AS9+AT9)*AR9</f>
        <v>0</v>
      </c>
      <c r="AY9" s="25">
        <f t="shared" ref="AY9:AY72" si="49">IF(AX9=45,25*(1-AV9),IF(AX9=40,20*(1-AV9),IF(AX9&gt;=2.5,10*(1-AV9),IF(AX9&gt;0,5*(1-AV9),0))))</f>
        <v>0</v>
      </c>
      <c r="AZ9" s="25">
        <f t="shared" ref="AZ9:AZ72" si="50">IF(AR9=1,AW9*AU9*10,0)</f>
        <v>0</v>
      </c>
      <c r="BA9" s="25" t="str">
        <f t="shared" ref="BA9:BA72" si="51">IF($D9="低木・草地",SUM(AX9:AY9),"")</f>
        <v/>
      </c>
      <c r="BB9" s="25" t="str">
        <f t="shared" ref="BB9:BB72" si="52">IF($D9="樹林",SUM(AX9:AZ9),"")</f>
        <v/>
      </c>
      <c r="BC9" s="25" t="str">
        <f t="shared" ref="BC9:BC72" si="53">IF($D9="湿性環境",IF(BG9+BH9&lt;60,0,(BG9+BH9)/2-30),"")</f>
        <v/>
      </c>
      <c r="BD9" s="25">
        <f>IF(ISERROR(VLOOKUP($K9,割合DB!$A:$B,2,FALSE))=TRUE,0,VLOOKUP($K9,割合DB!$A:$B,2,FALSE))</f>
        <v>0</v>
      </c>
      <c r="BE9" s="25">
        <f>IF(ISERROR(VLOOKUP($L9,割合DB!$A:$B,2,FALSE))=TRUE,0,VLOOKUP($L9,割合DB!$A:$B,2,FALSE))</f>
        <v>0</v>
      </c>
      <c r="BF9" s="25">
        <f>IF(ISERROR(VLOOKUP($M9,割合DB!$A:$B,2,FALSE))=TRUE,0,VLOOKUP($M9,割合DB!$A:$B,2,FALSE))</f>
        <v>0</v>
      </c>
      <c r="BG9" s="25">
        <f t="shared" ref="BG9:BG72" si="54">((100-BD9)+(100-BE9))/2</f>
        <v>100</v>
      </c>
      <c r="BH9" s="18">
        <f t="shared" ref="BH9:BH72" si="55">100-BF9</f>
        <v>100</v>
      </c>
      <c r="BI9" s="18">
        <f t="shared" si="32"/>
        <v>1</v>
      </c>
      <c r="BJ9" s="176"/>
      <c r="BK9" s="176"/>
      <c r="BL9" s="176"/>
      <c r="BM9" s="176"/>
      <c r="BN9" s="176"/>
      <c r="BO9" s="176"/>
      <c r="BP9" s="176"/>
      <c r="BQ9" s="176"/>
      <c r="BR9" s="176"/>
      <c r="BS9" s="176"/>
      <c r="BT9" s="176"/>
      <c r="BU9" s="176"/>
      <c r="BV9" s="176"/>
      <c r="BW9" s="176"/>
      <c r="BX9" s="176"/>
      <c r="BY9" s="176"/>
      <c r="BZ9" s="176"/>
      <c r="CA9" s="176"/>
    </row>
    <row r="10" spans="1:79" ht="27" customHeight="1" x14ac:dyDescent="0.15">
      <c r="A10" s="30" t="s">
        <v>502</v>
      </c>
      <c r="B10" s="31" t="str">
        <f>IF('環境条件(竣工時)'!B10="","",'環境条件(竣工時)'!B10)</f>
        <v/>
      </c>
      <c r="C10" s="31" t="str">
        <f>IF('環境条件(竣工時)'!C10="","",'環境条件(竣工時)'!C10)</f>
        <v/>
      </c>
      <c r="D10" s="31" t="str">
        <f>IF('環境条件(竣工時)'!D10="","",'環境条件(竣工時)'!D10)</f>
        <v/>
      </c>
      <c r="E10" s="31" t="str">
        <f>IF('環境条件(竣工時)'!E10="","",'環境条件(竣工時)'!E10)</f>
        <v/>
      </c>
      <c r="F10" s="30" t="str">
        <f>IF('環境条件(竣工時)'!F10="","",'環境条件(竣工時)'!F10)</f>
        <v/>
      </c>
      <c r="G10" s="21"/>
      <c r="H10" s="22"/>
      <c r="I10" s="22"/>
      <c r="J10" s="22"/>
      <c r="K10" s="23"/>
      <c r="L10" s="23"/>
      <c r="M10" s="23"/>
      <c r="N10" s="146"/>
      <c r="O10" s="40">
        <f t="shared" si="33"/>
        <v>0</v>
      </c>
      <c r="P10" s="183" t="str">
        <f t="shared" si="34"/>
        <v/>
      </c>
      <c r="S10" s="18">
        <f t="shared" si="31"/>
        <v>0</v>
      </c>
      <c r="T10" s="18">
        <f t="shared" si="1"/>
        <v>0</v>
      </c>
      <c r="U10" s="18">
        <f>IF(C10="人工面",0,IF(G10="",0,IF(D10="湿性環境",VLOOKUP(G10,環境タイプⅡによる点数DB!A:B,2,FALSE),IF(D10="樹林",VLOOKUP(G10,環境タイプⅡによる点数DB!A:C,3,FALSE),IF(D10="低木・草地",VLOOKUP(G10,環境タイプⅡによる点数DB!A:D,4,FALSE),0)))))</f>
        <v>0</v>
      </c>
      <c r="V10" s="24" t="str">
        <f>$H10&amp;"in"&amp;基本情報!$C$13</f>
        <v>in</v>
      </c>
      <c r="W10" s="24">
        <f t="shared" si="2"/>
        <v>0</v>
      </c>
      <c r="X10" s="24">
        <f>IF($H10="",0,IF($D10="樹林",IF(ISERROR(VLOOKUP($V10,市町村・植物種ごとの樹林点数DB!$A:$G,7,FALSE))=TRUE,20,VLOOKUP($V10,市町村・植物種ごとの樹林点数DB!$A:$G,7,FALSE)),IF($D10="低木・草地",IF($H10="【ススキ】・【ネザサ】・【チガヤ】",45,10),0)))</f>
        <v>0</v>
      </c>
      <c r="Y10" s="24">
        <f t="shared" si="35"/>
        <v>0</v>
      </c>
      <c r="Z10" s="24">
        <f t="shared" si="36"/>
        <v>1</v>
      </c>
      <c r="AA10" s="24">
        <f t="shared" si="37"/>
        <v>1</v>
      </c>
      <c r="AB10" s="24">
        <f t="shared" si="38"/>
        <v>0</v>
      </c>
      <c r="AC10" s="25">
        <f t="shared" si="39"/>
        <v>0</v>
      </c>
      <c r="AD10" s="25">
        <f t="shared" si="40"/>
        <v>0</v>
      </c>
      <c r="AE10" s="25">
        <f t="shared" si="41"/>
        <v>0</v>
      </c>
      <c r="AF10" s="25" t="str">
        <f t="shared" si="42"/>
        <v/>
      </c>
      <c r="AG10" s="25" t="str">
        <f t="shared" si="43"/>
        <v/>
      </c>
      <c r="AH10" s="25" t="str">
        <f t="shared" si="44"/>
        <v/>
      </c>
      <c r="AI10" s="25">
        <f>IF(ISERROR(VLOOKUP(K10,割合DB!$A:$B,2,FALSE))=TRUE,100,VLOOKUP(K10,割合DB!$A:$B,2,FALSE))</f>
        <v>100</v>
      </c>
      <c r="AJ10" s="25">
        <f>IF(ISERROR(VLOOKUP(L10,割合DB!$A:$B,2,FALSE))=TRUE,100,VLOOKUP(L10,割合DB!$A:$B,2,FALSE))</f>
        <v>100</v>
      </c>
      <c r="AK10" s="25">
        <f>IF(ISERROR(VLOOKUP(M10,割合DB!$A:$B,2,FALSE))=TRUE,100,VLOOKUP(M10,割合DB!$A:$B,2,FALSE))</f>
        <v>100</v>
      </c>
      <c r="AL10" s="25">
        <f t="shared" si="45"/>
        <v>0</v>
      </c>
      <c r="AM10" s="18">
        <f t="shared" si="46"/>
        <v>0</v>
      </c>
      <c r="AN10" s="18">
        <f t="shared" si="47"/>
        <v>0</v>
      </c>
      <c r="AO10" s="18">
        <f t="shared" si="16"/>
        <v>0</v>
      </c>
      <c r="AP10" s="18">
        <f>IF($C10="人工面",0,IF($G10="",70,IF($D10="湿性環境",VLOOKUP($G10,環境タイプⅡによる点数DB!$A:$B,2,FALSE),IF($D10="樹林",VLOOKUP($G10,環境タイプⅡによる点数DB!$A:$C,3,FALSE),IF($D10="低木・草地",VLOOKUP($G10,環境タイプⅡによる点数DB!$A:$D,4,FALSE),0)))))</f>
        <v>70</v>
      </c>
      <c r="AQ10" s="24" t="str">
        <f>$H10&amp;"in"&amp;基本情報!$C$13</f>
        <v>in</v>
      </c>
      <c r="AR10" s="24">
        <f t="shared" si="17"/>
        <v>0</v>
      </c>
      <c r="AS10" s="24">
        <f>IF($H10="",0,IF($D10="樹林",IF(ISERROR(VLOOKUP($V10,市町村・植物種ごとの樹林点数DB!$A:$F,6,FALSE))=TRUE,10,VLOOKUP($V10,市町村・植物種ごとの樹林点数DB!$A:$F,6,FALSE)),IF($D10="低木・草地",IF(OR($H10="【ススキ】・【ネザサ】・【チガヤ】",$H10="不明"),45,10),0)))</f>
        <v>0</v>
      </c>
      <c r="AT10" s="24">
        <f t="shared" si="18"/>
        <v>0</v>
      </c>
      <c r="AU10" s="24">
        <f t="shared" si="19"/>
        <v>1</v>
      </c>
      <c r="AV10" s="24">
        <f t="shared" si="20"/>
        <v>0</v>
      </c>
      <c r="AW10" s="24">
        <f t="shared" si="21"/>
        <v>1</v>
      </c>
      <c r="AX10" s="25">
        <f t="shared" si="48"/>
        <v>0</v>
      </c>
      <c r="AY10" s="25">
        <f t="shared" si="49"/>
        <v>0</v>
      </c>
      <c r="AZ10" s="25">
        <f t="shared" si="50"/>
        <v>0</v>
      </c>
      <c r="BA10" s="25" t="str">
        <f t="shared" si="51"/>
        <v/>
      </c>
      <c r="BB10" s="25" t="str">
        <f t="shared" si="52"/>
        <v/>
      </c>
      <c r="BC10" s="25" t="str">
        <f t="shared" si="53"/>
        <v/>
      </c>
      <c r="BD10" s="25">
        <f>IF(ISERROR(VLOOKUP($K10,割合DB!$A:$B,2,FALSE))=TRUE,0,VLOOKUP($K10,割合DB!$A:$B,2,FALSE))</f>
        <v>0</v>
      </c>
      <c r="BE10" s="25">
        <f>IF(ISERROR(VLOOKUP($L10,割合DB!$A:$B,2,FALSE))=TRUE,0,VLOOKUP($L10,割合DB!$A:$B,2,FALSE))</f>
        <v>0</v>
      </c>
      <c r="BF10" s="25">
        <f>IF(ISERROR(VLOOKUP($M10,割合DB!$A:$B,2,FALSE))=TRUE,0,VLOOKUP($M10,割合DB!$A:$B,2,FALSE))</f>
        <v>0</v>
      </c>
      <c r="BG10" s="25">
        <f t="shared" si="54"/>
        <v>100</v>
      </c>
      <c r="BH10" s="18">
        <f t="shared" si="55"/>
        <v>100</v>
      </c>
      <c r="BI10" s="18">
        <f t="shared" si="32"/>
        <v>1</v>
      </c>
      <c r="BJ10" s="176"/>
      <c r="BK10" s="176"/>
      <c r="BL10" s="176"/>
      <c r="BM10" s="176"/>
      <c r="BN10" s="176"/>
      <c r="BO10" s="176"/>
      <c r="BP10" s="176"/>
      <c r="BQ10" s="176"/>
      <c r="BR10" s="176"/>
      <c r="BS10" s="176"/>
      <c r="BT10" s="176"/>
      <c r="BU10" s="176"/>
      <c r="BV10" s="176"/>
      <c r="BW10" s="176"/>
      <c r="BX10" s="176"/>
      <c r="BY10" s="176"/>
      <c r="BZ10" s="176"/>
      <c r="CA10" s="176"/>
    </row>
    <row r="11" spans="1:79" ht="27" customHeight="1" x14ac:dyDescent="0.15">
      <c r="A11" s="30" t="s">
        <v>503</v>
      </c>
      <c r="B11" s="31" t="str">
        <f>IF('環境条件(竣工時)'!B11="","",'環境条件(竣工時)'!B11)</f>
        <v/>
      </c>
      <c r="C11" s="31" t="str">
        <f>IF('環境条件(竣工時)'!C11="","",'環境条件(竣工時)'!C11)</f>
        <v/>
      </c>
      <c r="D11" s="31" t="str">
        <f>IF('環境条件(竣工時)'!D11="","",'環境条件(竣工時)'!D11)</f>
        <v/>
      </c>
      <c r="E11" s="31" t="str">
        <f>IF('環境条件(竣工時)'!E11="","",'環境条件(竣工時)'!E11)</f>
        <v/>
      </c>
      <c r="F11" s="30" t="str">
        <f>IF('環境条件(竣工時)'!F11="","",'環境条件(竣工時)'!F11)</f>
        <v/>
      </c>
      <c r="G11" s="21"/>
      <c r="H11" s="22"/>
      <c r="I11" s="22"/>
      <c r="J11" s="22"/>
      <c r="K11" s="23"/>
      <c r="L11" s="23"/>
      <c r="M11" s="23"/>
      <c r="N11" s="146"/>
      <c r="O11" s="40">
        <f t="shared" si="33"/>
        <v>0</v>
      </c>
      <c r="P11" s="183" t="str">
        <f t="shared" si="34"/>
        <v/>
      </c>
      <c r="S11" s="18">
        <f t="shared" si="31"/>
        <v>0</v>
      </c>
      <c r="T11" s="18">
        <f t="shared" si="1"/>
        <v>0</v>
      </c>
      <c r="U11" s="18">
        <f>IF(C11="人工面",0,IF(G11="",0,IF(D11="湿性環境",VLOOKUP(G11,環境タイプⅡによる点数DB!A:B,2,FALSE),IF(D11="樹林",VLOOKUP(G11,環境タイプⅡによる点数DB!A:C,3,FALSE),IF(D11="低木・草地",VLOOKUP(G11,環境タイプⅡによる点数DB!A:D,4,FALSE),0)))))</f>
        <v>0</v>
      </c>
      <c r="V11" s="24" t="str">
        <f>$H11&amp;"in"&amp;基本情報!$C$13</f>
        <v>in</v>
      </c>
      <c r="W11" s="24">
        <f t="shared" si="2"/>
        <v>0</v>
      </c>
      <c r="X11" s="24">
        <f>IF($H11="",0,IF($D11="樹林",IF(ISERROR(VLOOKUP($V11,市町村・植物種ごとの樹林点数DB!$A:$G,7,FALSE))=TRUE,20,VLOOKUP($V11,市町村・植物種ごとの樹林点数DB!$A:$G,7,FALSE)),IF($D11="低木・草地",IF($H11="【ススキ】・【ネザサ】・【チガヤ】",45,10),0)))</f>
        <v>0</v>
      </c>
      <c r="Y11" s="24">
        <f t="shared" si="35"/>
        <v>0</v>
      </c>
      <c r="Z11" s="24">
        <f t="shared" si="36"/>
        <v>1</v>
      </c>
      <c r="AA11" s="24">
        <f t="shared" si="37"/>
        <v>1</v>
      </c>
      <c r="AB11" s="24">
        <f t="shared" si="38"/>
        <v>0</v>
      </c>
      <c r="AC11" s="25">
        <f t="shared" si="39"/>
        <v>0</v>
      </c>
      <c r="AD11" s="25">
        <f t="shared" si="40"/>
        <v>0</v>
      </c>
      <c r="AE11" s="25">
        <f t="shared" si="41"/>
        <v>0</v>
      </c>
      <c r="AF11" s="25" t="str">
        <f t="shared" si="42"/>
        <v/>
      </c>
      <c r="AG11" s="25" t="str">
        <f t="shared" si="43"/>
        <v/>
      </c>
      <c r="AH11" s="25" t="str">
        <f t="shared" si="44"/>
        <v/>
      </c>
      <c r="AI11" s="25">
        <f>IF(ISERROR(VLOOKUP(K11,割合DB!$A:$B,2,FALSE))=TRUE,100,VLOOKUP(K11,割合DB!$A:$B,2,FALSE))</f>
        <v>100</v>
      </c>
      <c r="AJ11" s="25">
        <f>IF(ISERROR(VLOOKUP(L11,割合DB!$A:$B,2,FALSE))=TRUE,100,VLOOKUP(L11,割合DB!$A:$B,2,FALSE))</f>
        <v>100</v>
      </c>
      <c r="AK11" s="25">
        <f>IF(ISERROR(VLOOKUP(M11,割合DB!$A:$B,2,FALSE))=TRUE,100,VLOOKUP(M11,割合DB!$A:$B,2,FALSE))</f>
        <v>100</v>
      </c>
      <c r="AL11" s="25">
        <f t="shared" si="45"/>
        <v>0</v>
      </c>
      <c r="AM11" s="18">
        <f t="shared" si="46"/>
        <v>0</v>
      </c>
      <c r="AN11" s="18">
        <f t="shared" si="47"/>
        <v>0</v>
      </c>
      <c r="AO11" s="18">
        <f t="shared" si="16"/>
        <v>0</v>
      </c>
      <c r="AP11" s="18">
        <f>IF($C11="人工面",0,IF($G11="",70,IF($D11="湿性環境",VLOOKUP($G11,環境タイプⅡによる点数DB!$A:$B,2,FALSE),IF($D11="樹林",VLOOKUP($G11,環境タイプⅡによる点数DB!$A:$C,3,FALSE),IF($D11="低木・草地",VLOOKUP($G11,環境タイプⅡによる点数DB!$A:$D,4,FALSE),0)))))</f>
        <v>70</v>
      </c>
      <c r="AQ11" s="24" t="str">
        <f>$H11&amp;"in"&amp;基本情報!$C$13</f>
        <v>in</v>
      </c>
      <c r="AR11" s="24">
        <f t="shared" si="17"/>
        <v>0</v>
      </c>
      <c r="AS11" s="24">
        <f>IF($H11="",0,IF($D11="樹林",IF(ISERROR(VLOOKUP($V11,市町村・植物種ごとの樹林点数DB!$A:$F,6,FALSE))=TRUE,10,VLOOKUP($V11,市町村・植物種ごとの樹林点数DB!$A:$F,6,FALSE)),IF($D11="低木・草地",IF(OR($H11="【ススキ】・【ネザサ】・【チガヤ】",$H11="不明"),45,10),0)))</f>
        <v>0</v>
      </c>
      <c r="AT11" s="24">
        <f t="shared" si="18"/>
        <v>0</v>
      </c>
      <c r="AU11" s="24">
        <f t="shared" si="19"/>
        <v>1</v>
      </c>
      <c r="AV11" s="24">
        <f t="shared" si="20"/>
        <v>0</v>
      </c>
      <c r="AW11" s="24">
        <f t="shared" si="21"/>
        <v>1</v>
      </c>
      <c r="AX11" s="25">
        <f t="shared" si="48"/>
        <v>0</v>
      </c>
      <c r="AY11" s="25">
        <f t="shared" si="49"/>
        <v>0</v>
      </c>
      <c r="AZ11" s="25">
        <f t="shared" si="50"/>
        <v>0</v>
      </c>
      <c r="BA11" s="25" t="str">
        <f t="shared" si="51"/>
        <v/>
      </c>
      <c r="BB11" s="25" t="str">
        <f t="shared" si="52"/>
        <v/>
      </c>
      <c r="BC11" s="25" t="str">
        <f t="shared" si="53"/>
        <v/>
      </c>
      <c r="BD11" s="25">
        <f>IF(ISERROR(VLOOKUP($K11,割合DB!$A:$B,2,FALSE))=TRUE,0,VLOOKUP($K11,割合DB!$A:$B,2,FALSE))</f>
        <v>0</v>
      </c>
      <c r="BE11" s="25">
        <f>IF(ISERROR(VLOOKUP($L11,割合DB!$A:$B,2,FALSE))=TRUE,0,VLOOKUP($L11,割合DB!$A:$B,2,FALSE))</f>
        <v>0</v>
      </c>
      <c r="BF11" s="25">
        <f>IF(ISERROR(VLOOKUP($M11,割合DB!$A:$B,2,FALSE))=TRUE,0,VLOOKUP($M11,割合DB!$A:$B,2,FALSE))</f>
        <v>0</v>
      </c>
      <c r="BG11" s="25">
        <f t="shared" si="54"/>
        <v>100</v>
      </c>
      <c r="BH11" s="18">
        <f t="shared" si="55"/>
        <v>100</v>
      </c>
      <c r="BI11" s="18">
        <f t="shared" si="32"/>
        <v>1</v>
      </c>
      <c r="BJ11" s="176"/>
      <c r="BK11" s="176"/>
      <c r="BL11" s="176"/>
      <c r="BM11" s="176"/>
      <c r="BN11" s="176"/>
      <c r="BO11" s="176"/>
      <c r="BP11" s="176"/>
      <c r="BQ11" s="176"/>
      <c r="BR11" s="176"/>
      <c r="BS11" s="176"/>
      <c r="BT11" s="176"/>
      <c r="BU11" s="176"/>
      <c r="BV11" s="176"/>
      <c r="BW11" s="176"/>
      <c r="BX11" s="176"/>
      <c r="BY11" s="176"/>
      <c r="BZ11" s="176"/>
      <c r="CA11" s="176"/>
    </row>
    <row r="12" spans="1:79" ht="27" customHeight="1" x14ac:dyDescent="0.15">
      <c r="A12" s="30" t="s">
        <v>504</v>
      </c>
      <c r="B12" s="31" t="str">
        <f>IF('環境条件(竣工時)'!B12="","",'環境条件(竣工時)'!B12)</f>
        <v/>
      </c>
      <c r="C12" s="31" t="str">
        <f>IF('環境条件(竣工時)'!C12="","",'環境条件(竣工時)'!C12)</f>
        <v/>
      </c>
      <c r="D12" s="31" t="str">
        <f>IF('環境条件(竣工時)'!D12="","",'環境条件(竣工時)'!D12)</f>
        <v/>
      </c>
      <c r="E12" s="31" t="str">
        <f>IF('環境条件(竣工時)'!E12="","",'環境条件(竣工時)'!E12)</f>
        <v/>
      </c>
      <c r="F12" s="30" t="str">
        <f>IF('環境条件(竣工時)'!F12="","",'環境条件(竣工時)'!F12)</f>
        <v/>
      </c>
      <c r="G12" s="21"/>
      <c r="H12" s="22"/>
      <c r="I12" s="22"/>
      <c r="J12" s="22"/>
      <c r="K12" s="23"/>
      <c r="L12" s="23"/>
      <c r="M12" s="23"/>
      <c r="N12" s="146"/>
      <c r="O12" s="40">
        <f t="shared" si="33"/>
        <v>0</v>
      </c>
      <c r="P12" s="183" t="str">
        <f t="shared" si="34"/>
        <v/>
      </c>
      <c r="S12" s="18">
        <f t="shared" si="31"/>
        <v>0</v>
      </c>
      <c r="T12" s="18">
        <f t="shared" si="1"/>
        <v>0</v>
      </c>
      <c r="U12" s="18">
        <f>IF(C12="人工面",0,IF(G12="",0,IF(D12="湿性環境",VLOOKUP(G12,環境タイプⅡによる点数DB!A:B,2,FALSE),IF(D12="樹林",VLOOKUP(G12,環境タイプⅡによる点数DB!A:C,3,FALSE),IF(D12="低木・草地",VLOOKUP(G12,環境タイプⅡによる点数DB!A:D,4,FALSE),0)))))</f>
        <v>0</v>
      </c>
      <c r="V12" s="24" t="str">
        <f>$H12&amp;"in"&amp;基本情報!$C$13</f>
        <v>in</v>
      </c>
      <c r="W12" s="24">
        <f t="shared" si="2"/>
        <v>0</v>
      </c>
      <c r="X12" s="24">
        <f>IF($H12="",0,IF($D12="樹林",IF(ISERROR(VLOOKUP($V12,市町村・植物種ごとの樹林点数DB!$A:$G,7,FALSE))=TRUE,20,VLOOKUP($V12,市町村・植物種ごとの樹林点数DB!$A:$G,7,FALSE)),IF($D12="低木・草地",IF($H12="【ススキ】・【ネザサ】・【チガヤ】",45,10),0)))</f>
        <v>0</v>
      </c>
      <c r="Y12" s="24">
        <f t="shared" si="35"/>
        <v>0</v>
      </c>
      <c r="Z12" s="24">
        <f t="shared" si="36"/>
        <v>1</v>
      </c>
      <c r="AA12" s="24">
        <f t="shared" si="37"/>
        <v>1</v>
      </c>
      <c r="AB12" s="24">
        <f t="shared" si="38"/>
        <v>0</v>
      </c>
      <c r="AC12" s="25">
        <f t="shared" si="39"/>
        <v>0</v>
      </c>
      <c r="AD12" s="25">
        <f t="shared" si="40"/>
        <v>0</v>
      </c>
      <c r="AE12" s="25">
        <f t="shared" si="41"/>
        <v>0</v>
      </c>
      <c r="AF12" s="25" t="str">
        <f t="shared" si="42"/>
        <v/>
      </c>
      <c r="AG12" s="25" t="str">
        <f t="shared" si="43"/>
        <v/>
      </c>
      <c r="AH12" s="25" t="str">
        <f t="shared" si="44"/>
        <v/>
      </c>
      <c r="AI12" s="25">
        <f>IF(ISERROR(VLOOKUP(K12,割合DB!$A:$B,2,FALSE))=TRUE,100,VLOOKUP(K12,割合DB!$A:$B,2,FALSE))</f>
        <v>100</v>
      </c>
      <c r="AJ12" s="25">
        <f>IF(ISERROR(VLOOKUP(L12,割合DB!$A:$B,2,FALSE))=TRUE,100,VLOOKUP(L12,割合DB!$A:$B,2,FALSE))</f>
        <v>100</v>
      </c>
      <c r="AK12" s="25">
        <f>IF(ISERROR(VLOOKUP(M12,割合DB!$A:$B,2,FALSE))=TRUE,100,VLOOKUP(M12,割合DB!$A:$B,2,FALSE))</f>
        <v>100</v>
      </c>
      <c r="AL12" s="25">
        <f t="shared" si="45"/>
        <v>0</v>
      </c>
      <c r="AM12" s="18">
        <f t="shared" si="46"/>
        <v>0</v>
      </c>
      <c r="AN12" s="18">
        <f t="shared" si="47"/>
        <v>0</v>
      </c>
      <c r="AO12" s="18">
        <f t="shared" si="16"/>
        <v>0</v>
      </c>
      <c r="AP12" s="18">
        <f>IF($C12="人工面",0,IF($G12="",70,IF($D12="湿性環境",VLOOKUP($G12,環境タイプⅡによる点数DB!$A:$B,2,FALSE),IF($D12="樹林",VLOOKUP($G12,環境タイプⅡによる点数DB!$A:$C,3,FALSE),IF($D12="低木・草地",VLOOKUP($G12,環境タイプⅡによる点数DB!$A:$D,4,FALSE),0)))))</f>
        <v>70</v>
      </c>
      <c r="AQ12" s="24" t="str">
        <f>$H12&amp;"in"&amp;基本情報!$C$13</f>
        <v>in</v>
      </c>
      <c r="AR12" s="24">
        <f t="shared" si="17"/>
        <v>0</v>
      </c>
      <c r="AS12" s="24">
        <f>IF($H12="",0,IF($D12="樹林",IF(ISERROR(VLOOKUP($V12,市町村・植物種ごとの樹林点数DB!$A:$F,6,FALSE))=TRUE,10,VLOOKUP($V12,市町村・植物種ごとの樹林点数DB!$A:$F,6,FALSE)),IF($D12="低木・草地",IF(OR($H12="【ススキ】・【ネザサ】・【チガヤ】",$H12="不明"),45,10),0)))</f>
        <v>0</v>
      </c>
      <c r="AT12" s="24">
        <f t="shared" si="18"/>
        <v>0</v>
      </c>
      <c r="AU12" s="24">
        <f t="shared" si="19"/>
        <v>1</v>
      </c>
      <c r="AV12" s="24">
        <f t="shared" si="20"/>
        <v>0</v>
      </c>
      <c r="AW12" s="24">
        <f t="shared" si="21"/>
        <v>1</v>
      </c>
      <c r="AX12" s="25">
        <f t="shared" si="48"/>
        <v>0</v>
      </c>
      <c r="AY12" s="25">
        <f t="shared" si="49"/>
        <v>0</v>
      </c>
      <c r="AZ12" s="25">
        <f t="shared" si="50"/>
        <v>0</v>
      </c>
      <c r="BA12" s="25" t="str">
        <f t="shared" si="51"/>
        <v/>
      </c>
      <c r="BB12" s="25" t="str">
        <f t="shared" si="52"/>
        <v/>
      </c>
      <c r="BC12" s="25" t="str">
        <f t="shared" si="53"/>
        <v/>
      </c>
      <c r="BD12" s="25">
        <f>IF(ISERROR(VLOOKUP($K12,割合DB!$A:$B,2,FALSE))=TRUE,0,VLOOKUP($K12,割合DB!$A:$B,2,FALSE))</f>
        <v>0</v>
      </c>
      <c r="BE12" s="25">
        <f>IF(ISERROR(VLOOKUP($L12,割合DB!$A:$B,2,FALSE))=TRUE,0,VLOOKUP($L12,割合DB!$A:$B,2,FALSE))</f>
        <v>0</v>
      </c>
      <c r="BF12" s="25">
        <f>IF(ISERROR(VLOOKUP($M12,割合DB!$A:$B,2,FALSE))=TRUE,0,VLOOKUP($M12,割合DB!$A:$B,2,FALSE))</f>
        <v>0</v>
      </c>
      <c r="BG12" s="25">
        <f t="shared" si="54"/>
        <v>100</v>
      </c>
      <c r="BH12" s="18">
        <f t="shared" si="55"/>
        <v>100</v>
      </c>
      <c r="BI12" s="18">
        <f t="shared" si="32"/>
        <v>1</v>
      </c>
      <c r="BJ12" s="176"/>
      <c r="BK12" s="176"/>
      <c r="BL12" s="176"/>
      <c r="BM12" s="176"/>
      <c r="BN12" s="176"/>
      <c r="BO12" s="176"/>
      <c r="BP12" s="176"/>
      <c r="BQ12" s="176"/>
      <c r="BR12" s="176"/>
      <c r="BS12" s="176"/>
      <c r="BT12" s="176"/>
      <c r="BU12" s="176"/>
      <c r="BV12" s="176"/>
      <c r="BW12" s="176"/>
      <c r="BX12" s="176"/>
      <c r="BY12" s="176"/>
      <c r="BZ12" s="176"/>
      <c r="CA12" s="176"/>
    </row>
    <row r="13" spans="1:79" ht="27" customHeight="1" x14ac:dyDescent="0.15">
      <c r="A13" s="30" t="s">
        <v>505</v>
      </c>
      <c r="B13" s="31" t="str">
        <f>IF('環境条件(竣工時)'!B13="","",'環境条件(竣工時)'!B13)</f>
        <v/>
      </c>
      <c r="C13" s="31" t="str">
        <f>IF('環境条件(竣工時)'!C13="","",'環境条件(竣工時)'!C13)</f>
        <v/>
      </c>
      <c r="D13" s="31" t="str">
        <f>IF('環境条件(竣工時)'!D13="","",'環境条件(竣工時)'!D13)</f>
        <v/>
      </c>
      <c r="E13" s="31" t="str">
        <f>IF('環境条件(竣工時)'!E13="","",'環境条件(竣工時)'!E13)</f>
        <v/>
      </c>
      <c r="F13" s="30" t="str">
        <f>IF('環境条件(竣工時)'!F13="","",'環境条件(竣工時)'!F13)</f>
        <v/>
      </c>
      <c r="G13" s="21"/>
      <c r="H13" s="22"/>
      <c r="I13" s="22"/>
      <c r="J13" s="22"/>
      <c r="K13" s="23"/>
      <c r="L13" s="23"/>
      <c r="M13" s="23"/>
      <c r="N13" s="146"/>
      <c r="O13" s="40">
        <f t="shared" si="33"/>
        <v>0</v>
      </c>
      <c r="P13" s="183" t="str">
        <f t="shared" si="34"/>
        <v/>
      </c>
      <c r="S13" s="18">
        <f t="shared" si="31"/>
        <v>0</v>
      </c>
      <c r="T13" s="18">
        <f t="shared" si="1"/>
        <v>0</v>
      </c>
      <c r="U13" s="18">
        <f>IF(C13="人工面",0,IF(G13="",0,IF(D13="湿性環境",VLOOKUP(G13,環境タイプⅡによる点数DB!A:B,2,FALSE),IF(D13="樹林",VLOOKUP(G13,環境タイプⅡによる点数DB!A:C,3,FALSE),IF(D13="低木・草地",VLOOKUP(G13,環境タイプⅡによる点数DB!A:D,4,FALSE),0)))))</f>
        <v>0</v>
      </c>
      <c r="V13" s="24" t="str">
        <f>$H13&amp;"in"&amp;基本情報!$C$13</f>
        <v>in</v>
      </c>
      <c r="W13" s="24">
        <f t="shared" si="2"/>
        <v>0</v>
      </c>
      <c r="X13" s="24">
        <f>IF($H13="",0,IF($D13="樹林",IF(ISERROR(VLOOKUP($V13,市町村・植物種ごとの樹林点数DB!$A:$G,7,FALSE))=TRUE,20,VLOOKUP($V13,市町村・植物種ごとの樹林点数DB!$A:$G,7,FALSE)),IF($D13="低木・草地",IF($H13="【ススキ】・【ネザサ】・【チガヤ】",45,10),0)))</f>
        <v>0</v>
      </c>
      <c r="Y13" s="24">
        <f t="shared" si="35"/>
        <v>0</v>
      </c>
      <c r="Z13" s="24">
        <f t="shared" si="36"/>
        <v>1</v>
      </c>
      <c r="AA13" s="24">
        <f t="shared" si="37"/>
        <v>1</v>
      </c>
      <c r="AB13" s="24">
        <f t="shared" si="38"/>
        <v>0</v>
      </c>
      <c r="AC13" s="25">
        <f t="shared" si="39"/>
        <v>0</v>
      </c>
      <c r="AD13" s="25">
        <f t="shared" si="40"/>
        <v>0</v>
      </c>
      <c r="AE13" s="25">
        <f t="shared" si="41"/>
        <v>0</v>
      </c>
      <c r="AF13" s="25" t="str">
        <f t="shared" si="42"/>
        <v/>
      </c>
      <c r="AG13" s="25" t="str">
        <f t="shared" si="43"/>
        <v/>
      </c>
      <c r="AH13" s="25" t="str">
        <f t="shared" si="44"/>
        <v/>
      </c>
      <c r="AI13" s="25">
        <f>IF(ISERROR(VLOOKUP(K13,割合DB!$A:$B,2,FALSE))=TRUE,100,VLOOKUP(K13,割合DB!$A:$B,2,FALSE))</f>
        <v>100</v>
      </c>
      <c r="AJ13" s="25">
        <f>IF(ISERROR(VLOOKUP(L13,割合DB!$A:$B,2,FALSE))=TRUE,100,VLOOKUP(L13,割合DB!$A:$B,2,FALSE))</f>
        <v>100</v>
      </c>
      <c r="AK13" s="25">
        <f>IF(ISERROR(VLOOKUP(M13,割合DB!$A:$B,2,FALSE))=TRUE,100,VLOOKUP(M13,割合DB!$A:$B,2,FALSE))</f>
        <v>100</v>
      </c>
      <c r="AL13" s="25">
        <f t="shared" si="45"/>
        <v>0</v>
      </c>
      <c r="AM13" s="18">
        <f t="shared" si="46"/>
        <v>0</v>
      </c>
      <c r="AN13" s="18">
        <f t="shared" si="47"/>
        <v>0</v>
      </c>
      <c r="AO13" s="18">
        <f t="shared" si="16"/>
        <v>0</v>
      </c>
      <c r="AP13" s="18">
        <f>IF($C13="人工面",0,IF($G13="",70,IF($D13="湿性環境",VLOOKUP($G13,環境タイプⅡによる点数DB!$A:$B,2,FALSE),IF($D13="樹林",VLOOKUP($G13,環境タイプⅡによる点数DB!$A:$C,3,FALSE),IF($D13="低木・草地",VLOOKUP($G13,環境タイプⅡによる点数DB!$A:$D,4,FALSE),0)))))</f>
        <v>70</v>
      </c>
      <c r="AQ13" s="24" t="str">
        <f>$H13&amp;"in"&amp;基本情報!$C$13</f>
        <v>in</v>
      </c>
      <c r="AR13" s="24">
        <f t="shared" si="17"/>
        <v>0</v>
      </c>
      <c r="AS13" s="24">
        <f>IF($H13="",0,IF($D13="樹林",IF(ISERROR(VLOOKUP($V13,市町村・植物種ごとの樹林点数DB!$A:$F,6,FALSE))=TRUE,10,VLOOKUP($V13,市町村・植物種ごとの樹林点数DB!$A:$F,6,FALSE)),IF($D13="低木・草地",IF(OR($H13="【ススキ】・【ネザサ】・【チガヤ】",$H13="不明"),45,10),0)))</f>
        <v>0</v>
      </c>
      <c r="AT13" s="24">
        <f t="shared" si="18"/>
        <v>0</v>
      </c>
      <c r="AU13" s="24">
        <f t="shared" si="19"/>
        <v>1</v>
      </c>
      <c r="AV13" s="24">
        <f t="shared" si="20"/>
        <v>0</v>
      </c>
      <c r="AW13" s="24">
        <f t="shared" si="21"/>
        <v>1</v>
      </c>
      <c r="AX13" s="25">
        <f t="shared" si="48"/>
        <v>0</v>
      </c>
      <c r="AY13" s="25">
        <f t="shared" si="49"/>
        <v>0</v>
      </c>
      <c r="AZ13" s="25">
        <f t="shared" si="50"/>
        <v>0</v>
      </c>
      <c r="BA13" s="25" t="str">
        <f t="shared" si="51"/>
        <v/>
      </c>
      <c r="BB13" s="25" t="str">
        <f t="shared" si="52"/>
        <v/>
      </c>
      <c r="BC13" s="25" t="str">
        <f t="shared" si="53"/>
        <v/>
      </c>
      <c r="BD13" s="25">
        <f>IF(ISERROR(VLOOKUP($K13,割合DB!$A:$B,2,FALSE))=TRUE,0,VLOOKUP($K13,割合DB!$A:$B,2,FALSE))</f>
        <v>0</v>
      </c>
      <c r="BE13" s="25">
        <f>IF(ISERROR(VLOOKUP($L13,割合DB!$A:$B,2,FALSE))=TRUE,0,VLOOKUP($L13,割合DB!$A:$B,2,FALSE))</f>
        <v>0</v>
      </c>
      <c r="BF13" s="25">
        <f>IF(ISERROR(VLOOKUP($M13,割合DB!$A:$B,2,FALSE))=TRUE,0,VLOOKUP($M13,割合DB!$A:$B,2,FALSE))</f>
        <v>0</v>
      </c>
      <c r="BG13" s="25">
        <f t="shared" si="54"/>
        <v>100</v>
      </c>
      <c r="BH13" s="18">
        <f t="shared" si="55"/>
        <v>100</v>
      </c>
      <c r="BI13" s="18">
        <f t="shared" si="32"/>
        <v>1</v>
      </c>
      <c r="BJ13" s="176"/>
      <c r="BK13" s="176"/>
      <c r="BL13" s="176"/>
      <c r="BM13" s="176"/>
      <c r="BN13" s="176"/>
      <c r="BO13" s="176"/>
      <c r="BP13" s="176"/>
      <c r="BQ13" s="176"/>
      <c r="BR13" s="176"/>
      <c r="BS13" s="176"/>
      <c r="BT13" s="176"/>
      <c r="BU13" s="176"/>
      <c r="BV13" s="176"/>
      <c r="BW13" s="176"/>
      <c r="BX13" s="176"/>
      <c r="BY13" s="176"/>
      <c r="BZ13" s="176"/>
      <c r="CA13" s="176"/>
    </row>
    <row r="14" spans="1:79" ht="27" customHeight="1" x14ac:dyDescent="0.15">
      <c r="A14" s="30" t="s">
        <v>506</v>
      </c>
      <c r="B14" s="31" t="str">
        <f>IF('環境条件(竣工時)'!B14="","",'環境条件(竣工時)'!B14)</f>
        <v/>
      </c>
      <c r="C14" s="31" t="str">
        <f>IF('環境条件(竣工時)'!C14="","",'環境条件(竣工時)'!C14)</f>
        <v/>
      </c>
      <c r="D14" s="31" t="str">
        <f>IF('環境条件(竣工時)'!D14="","",'環境条件(竣工時)'!D14)</f>
        <v/>
      </c>
      <c r="E14" s="31" t="str">
        <f>IF('環境条件(竣工時)'!E14="","",'環境条件(竣工時)'!E14)</f>
        <v/>
      </c>
      <c r="F14" s="30" t="str">
        <f>IF('環境条件(竣工時)'!F14="","",'環境条件(竣工時)'!F14)</f>
        <v/>
      </c>
      <c r="G14" s="21"/>
      <c r="H14" s="22"/>
      <c r="I14" s="22"/>
      <c r="J14" s="22"/>
      <c r="K14" s="23"/>
      <c r="L14" s="23"/>
      <c r="M14" s="23"/>
      <c r="N14" s="146"/>
      <c r="O14" s="40">
        <f t="shared" si="33"/>
        <v>0</v>
      </c>
      <c r="P14" s="183" t="str">
        <f t="shared" si="34"/>
        <v/>
      </c>
      <c r="S14" s="18">
        <f t="shared" si="31"/>
        <v>0</v>
      </c>
      <c r="T14" s="18">
        <f t="shared" si="1"/>
        <v>0</v>
      </c>
      <c r="U14" s="18">
        <f>IF(C14="人工面",0,IF(G14="",0,IF(D14="湿性環境",VLOOKUP(G14,環境タイプⅡによる点数DB!A:B,2,FALSE),IF(D14="樹林",VLOOKUP(G14,環境タイプⅡによる点数DB!A:C,3,FALSE),IF(D14="低木・草地",VLOOKUP(G14,環境タイプⅡによる点数DB!A:D,4,FALSE),0)))))</f>
        <v>0</v>
      </c>
      <c r="V14" s="24" t="str">
        <f>$H14&amp;"in"&amp;基本情報!$C$13</f>
        <v>in</v>
      </c>
      <c r="W14" s="24">
        <f t="shared" si="2"/>
        <v>0</v>
      </c>
      <c r="X14" s="24">
        <f>IF($H14="",0,IF($D14="樹林",IF(ISERROR(VLOOKUP($V14,市町村・植物種ごとの樹林点数DB!$A:$G,7,FALSE))=TRUE,20,VLOOKUP($V14,市町村・植物種ごとの樹林点数DB!$A:$G,7,FALSE)),IF($D14="低木・草地",IF($H14="【ススキ】・【ネザサ】・【チガヤ】",45,10),0)))</f>
        <v>0</v>
      </c>
      <c r="Y14" s="24">
        <f t="shared" si="35"/>
        <v>0</v>
      </c>
      <c r="Z14" s="24">
        <f t="shared" si="36"/>
        <v>1</v>
      </c>
      <c r="AA14" s="24">
        <f t="shared" si="37"/>
        <v>1</v>
      </c>
      <c r="AB14" s="24">
        <f t="shared" si="38"/>
        <v>0</v>
      </c>
      <c r="AC14" s="25">
        <f t="shared" si="39"/>
        <v>0</v>
      </c>
      <c r="AD14" s="25">
        <f t="shared" si="40"/>
        <v>0</v>
      </c>
      <c r="AE14" s="25">
        <f t="shared" si="41"/>
        <v>0</v>
      </c>
      <c r="AF14" s="25" t="str">
        <f t="shared" si="42"/>
        <v/>
      </c>
      <c r="AG14" s="25" t="str">
        <f t="shared" si="43"/>
        <v/>
      </c>
      <c r="AH14" s="25" t="str">
        <f t="shared" si="44"/>
        <v/>
      </c>
      <c r="AI14" s="25">
        <f>IF(ISERROR(VLOOKUP(K14,割合DB!$A:$B,2,FALSE))=TRUE,100,VLOOKUP(K14,割合DB!$A:$B,2,FALSE))</f>
        <v>100</v>
      </c>
      <c r="AJ14" s="25">
        <f>IF(ISERROR(VLOOKUP(L14,割合DB!$A:$B,2,FALSE))=TRUE,100,VLOOKUP(L14,割合DB!$A:$B,2,FALSE))</f>
        <v>100</v>
      </c>
      <c r="AK14" s="25">
        <f>IF(ISERROR(VLOOKUP(M14,割合DB!$A:$B,2,FALSE))=TRUE,100,VLOOKUP(M14,割合DB!$A:$B,2,FALSE))</f>
        <v>100</v>
      </c>
      <c r="AL14" s="25">
        <f t="shared" si="45"/>
        <v>0</v>
      </c>
      <c r="AM14" s="18">
        <f t="shared" si="46"/>
        <v>0</v>
      </c>
      <c r="AN14" s="18">
        <f t="shared" si="47"/>
        <v>0</v>
      </c>
      <c r="AO14" s="18">
        <f t="shared" si="16"/>
        <v>0</v>
      </c>
      <c r="AP14" s="18">
        <f>IF($C14="人工面",0,IF($G14="",70,IF($D14="湿性環境",VLOOKUP($G14,環境タイプⅡによる点数DB!$A:$B,2,FALSE),IF($D14="樹林",VLOOKUP($G14,環境タイプⅡによる点数DB!$A:$C,3,FALSE),IF($D14="低木・草地",VLOOKUP($G14,環境タイプⅡによる点数DB!$A:$D,4,FALSE),0)))))</f>
        <v>70</v>
      </c>
      <c r="AQ14" s="24" t="str">
        <f>$H14&amp;"in"&amp;基本情報!$C$13</f>
        <v>in</v>
      </c>
      <c r="AR14" s="24">
        <f t="shared" si="17"/>
        <v>0</v>
      </c>
      <c r="AS14" s="24">
        <f>IF($H14="",0,IF($D14="樹林",IF(ISERROR(VLOOKUP($V14,市町村・植物種ごとの樹林点数DB!$A:$F,6,FALSE))=TRUE,10,VLOOKUP($V14,市町村・植物種ごとの樹林点数DB!$A:$F,6,FALSE)),IF($D14="低木・草地",IF(OR($H14="【ススキ】・【ネザサ】・【チガヤ】",$H14="不明"),45,10),0)))</f>
        <v>0</v>
      </c>
      <c r="AT14" s="24">
        <f t="shared" si="18"/>
        <v>0</v>
      </c>
      <c r="AU14" s="24">
        <f t="shared" si="19"/>
        <v>1</v>
      </c>
      <c r="AV14" s="24">
        <f t="shared" si="20"/>
        <v>0</v>
      </c>
      <c r="AW14" s="24">
        <f t="shared" si="21"/>
        <v>1</v>
      </c>
      <c r="AX14" s="25">
        <f t="shared" si="48"/>
        <v>0</v>
      </c>
      <c r="AY14" s="25">
        <f t="shared" si="49"/>
        <v>0</v>
      </c>
      <c r="AZ14" s="25">
        <f t="shared" si="50"/>
        <v>0</v>
      </c>
      <c r="BA14" s="25" t="str">
        <f t="shared" si="51"/>
        <v/>
      </c>
      <c r="BB14" s="25" t="str">
        <f t="shared" si="52"/>
        <v/>
      </c>
      <c r="BC14" s="25" t="str">
        <f t="shared" si="53"/>
        <v/>
      </c>
      <c r="BD14" s="25">
        <f>IF(ISERROR(VLOOKUP($K14,割合DB!$A:$B,2,FALSE))=TRUE,0,VLOOKUP($K14,割合DB!$A:$B,2,FALSE))</f>
        <v>0</v>
      </c>
      <c r="BE14" s="25">
        <f>IF(ISERROR(VLOOKUP($L14,割合DB!$A:$B,2,FALSE))=TRUE,0,VLOOKUP($L14,割合DB!$A:$B,2,FALSE))</f>
        <v>0</v>
      </c>
      <c r="BF14" s="25">
        <f>IF(ISERROR(VLOOKUP($M14,割合DB!$A:$B,2,FALSE))=TRUE,0,VLOOKUP($M14,割合DB!$A:$B,2,FALSE))</f>
        <v>0</v>
      </c>
      <c r="BG14" s="25">
        <f t="shared" si="54"/>
        <v>100</v>
      </c>
      <c r="BH14" s="18">
        <f t="shared" si="55"/>
        <v>100</v>
      </c>
      <c r="BI14" s="18">
        <f t="shared" si="32"/>
        <v>1</v>
      </c>
      <c r="BJ14" s="176"/>
      <c r="BK14" s="176"/>
      <c r="BL14" s="176"/>
      <c r="BM14" s="176"/>
      <c r="BN14" s="176"/>
      <c r="BO14" s="176"/>
      <c r="BP14" s="176"/>
      <c r="BQ14" s="176"/>
      <c r="BR14" s="176"/>
      <c r="BS14" s="176"/>
      <c r="BT14" s="176"/>
      <c r="BU14" s="176"/>
      <c r="BV14" s="176"/>
      <c r="BW14" s="176"/>
      <c r="BX14" s="176"/>
      <c r="BY14" s="176"/>
      <c r="BZ14" s="176"/>
      <c r="CA14" s="176"/>
    </row>
    <row r="15" spans="1:79" ht="27" customHeight="1" x14ac:dyDescent="0.15">
      <c r="A15" s="30" t="s">
        <v>507</v>
      </c>
      <c r="B15" s="31" t="str">
        <f>IF('環境条件(竣工時)'!B15="","",'環境条件(竣工時)'!B15)</f>
        <v/>
      </c>
      <c r="C15" s="31" t="str">
        <f>IF('環境条件(竣工時)'!C15="","",'環境条件(竣工時)'!C15)</f>
        <v/>
      </c>
      <c r="D15" s="31" t="str">
        <f>IF('環境条件(竣工時)'!D15="","",'環境条件(竣工時)'!D15)</f>
        <v/>
      </c>
      <c r="E15" s="31" t="str">
        <f>IF('環境条件(竣工時)'!E15="","",'環境条件(竣工時)'!E15)</f>
        <v/>
      </c>
      <c r="F15" s="30" t="str">
        <f>IF('環境条件(竣工時)'!F15="","",'環境条件(竣工時)'!F15)</f>
        <v/>
      </c>
      <c r="G15" s="21"/>
      <c r="H15" s="22"/>
      <c r="I15" s="22"/>
      <c r="J15" s="22"/>
      <c r="K15" s="23"/>
      <c r="L15" s="23"/>
      <c r="M15" s="23"/>
      <c r="N15" s="146"/>
      <c r="O15" s="40">
        <f t="shared" si="33"/>
        <v>0</v>
      </c>
      <c r="P15" s="183" t="str">
        <f t="shared" si="34"/>
        <v/>
      </c>
      <c r="S15" s="18">
        <f t="shared" si="31"/>
        <v>0</v>
      </c>
      <c r="T15" s="18">
        <f t="shared" si="1"/>
        <v>0</v>
      </c>
      <c r="U15" s="18">
        <f>IF(C15="人工面",0,IF(G15="",0,IF(D15="湿性環境",VLOOKUP(G15,環境タイプⅡによる点数DB!A:B,2,FALSE),IF(D15="樹林",VLOOKUP(G15,環境タイプⅡによる点数DB!A:C,3,FALSE),IF(D15="低木・草地",VLOOKUP(G15,環境タイプⅡによる点数DB!A:D,4,FALSE),0)))))</f>
        <v>0</v>
      </c>
      <c r="V15" s="24" t="str">
        <f>$H15&amp;"in"&amp;基本情報!$C$13</f>
        <v>in</v>
      </c>
      <c r="W15" s="24">
        <f t="shared" si="2"/>
        <v>0</v>
      </c>
      <c r="X15" s="24">
        <f>IF($H15="",0,IF($D15="樹林",IF(ISERROR(VLOOKUP($V15,市町村・植物種ごとの樹林点数DB!$A:$G,7,FALSE))=TRUE,20,VLOOKUP($V15,市町村・植物種ごとの樹林点数DB!$A:$G,7,FALSE)),IF($D15="低木・草地",IF($H15="【ススキ】・【ネザサ】・【チガヤ】",45,10),0)))</f>
        <v>0</v>
      </c>
      <c r="Y15" s="24">
        <f t="shared" si="35"/>
        <v>0</v>
      </c>
      <c r="Z15" s="24">
        <f t="shared" si="36"/>
        <v>1</v>
      </c>
      <c r="AA15" s="24">
        <f t="shared" si="37"/>
        <v>1</v>
      </c>
      <c r="AB15" s="24">
        <f t="shared" si="38"/>
        <v>0</v>
      </c>
      <c r="AC15" s="25">
        <f t="shared" si="39"/>
        <v>0</v>
      </c>
      <c r="AD15" s="25">
        <f t="shared" si="40"/>
        <v>0</v>
      </c>
      <c r="AE15" s="25">
        <f t="shared" si="41"/>
        <v>0</v>
      </c>
      <c r="AF15" s="25" t="str">
        <f t="shared" si="42"/>
        <v/>
      </c>
      <c r="AG15" s="25" t="str">
        <f t="shared" si="43"/>
        <v/>
      </c>
      <c r="AH15" s="25" t="str">
        <f t="shared" si="44"/>
        <v/>
      </c>
      <c r="AI15" s="25">
        <f>IF(ISERROR(VLOOKUP(K15,割合DB!$A:$B,2,FALSE))=TRUE,100,VLOOKUP(K15,割合DB!$A:$B,2,FALSE))</f>
        <v>100</v>
      </c>
      <c r="AJ15" s="25">
        <f>IF(ISERROR(VLOOKUP(L15,割合DB!$A:$B,2,FALSE))=TRUE,100,VLOOKUP(L15,割合DB!$A:$B,2,FALSE))</f>
        <v>100</v>
      </c>
      <c r="AK15" s="25">
        <f>IF(ISERROR(VLOOKUP(M15,割合DB!$A:$B,2,FALSE))=TRUE,100,VLOOKUP(M15,割合DB!$A:$B,2,FALSE))</f>
        <v>100</v>
      </c>
      <c r="AL15" s="25">
        <f t="shared" si="45"/>
        <v>0</v>
      </c>
      <c r="AM15" s="18">
        <f t="shared" si="46"/>
        <v>0</v>
      </c>
      <c r="AN15" s="18">
        <f t="shared" si="47"/>
        <v>0</v>
      </c>
      <c r="AO15" s="18">
        <f t="shared" si="16"/>
        <v>0</v>
      </c>
      <c r="AP15" s="18">
        <f>IF($C15="人工面",0,IF($G15="",70,IF($D15="湿性環境",VLOOKUP($G15,環境タイプⅡによる点数DB!$A:$B,2,FALSE),IF($D15="樹林",VLOOKUP($G15,環境タイプⅡによる点数DB!$A:$C,3,FALSE),IF($D15="低木・草地",VLOOKUP($G15,環境タイプⅡによる点数DB!$A:$D,4,FALSE),0)))))</f>
        <v>70</v>
      </c>
      <c r="AQ15" s="24" t="str">
        <f>$H15&amp;"in"&amp;基本情報!$C$13</f>
        <v>in</v>
      </c>
      <c r="AR15" s="24">
        <f t="shared" si="17"/>
        <v>0</v>
      </c>
      <c r="AS15" s="24">
        <f>IF($H15="",0,IF($D15="樹林",IF(ISERROR(VLOOKUP($V15,市町村・植物種ごとの樹林点数DB!$A:$F,6,FALSE))=TRUE,10,VLOOKUP($V15,市町村・植物種ごとの樹林点数DB!$A:$F,6,FALSE)),IF($D15="低木・草地",IF(OR($H15="【ススキ】・【ネザサ】・【チガヤ】",$H15="不明"),45,10),0)))</f>
        <v>0</v>
      </c>
      <c r="AT15" s="24">
        <f t="shared" si="18"/>
        <v>0</v>
      </c>
      <c r="AU15" s="24">
        <f t="shared" si="19"/>
        <v>1</v>
      </c>
      <c r="AV15" s="24">
        <f t="shared" si="20"/>
        <v>0</v>
      </c>
      <c r="AW15" s="24">
        <f t="shared" si="21"/>
        <v>1</v>
      </c>
      <c r="AX15" s="25">
        <f t="shared" si="48"/>
        <v>0</v>
      </c>
      <c r="AY15" s="25">
        <f t="shared" si="49"/>
        <v>0</v>
      </c>
      <c r="AZ15" s="25">
        <f t="shared" si="50"/>
        <v>0</v>
      </c>
      <c r="BA15" s="25" t="str">
        <f t="shared" si="51"/>
        <v/>
      </c>
      <c r="BB15" s="25" t="str">
        <f t="shared" si="52"/>
        <v/>
      </c>
      <c r="BC15" s="25" t="str">
        <f t="shared" si="53"/>
        <v/>
      </c>
      <c r="BD15" s="25">
        <f>IF(ISERROR(VLOOKUP($K15,割合DB!$A:$B,2,FALSE))=TRUE,0,VLOOKUP($K15,割合DB!$A:$B,2,FALSE))</f>
        <v>0</v>
      </c>
      <c r="BE15" s="25">
        <f>IF(ISERROR(VLOOKUP($L15,割合DB!$A:$B,2,FALSE))=TRUE,0,VLOOKUP($L15,割合DB!$A:$B,2,FALSE))</f>
        <v>0</v>
      </c>
      <c r="BF15" s="25">
        <f>IF(ISERROR(VLOOKUP($M15,割合DB!$A:$B,2,FALSE))=TRUE,0,VLOOKUP($M15,割合DB!$A:$B,2,FALSE))</f>
        <v>0</v>
      </c>
      <c r="BG15" s="25">
        <f t="shared" si="54"/>
        <v>100</v>
      </c>
      <c r="BH15" s="18">
        <f t="shared" si="55"/>
        <v>100</v>
      </c>
      <c r="BI15" s="18">
        <f t="shared" si="32"/>
        <v>1</v>
      </c>
      <c r="BJ15" s="176"/>
      <c r="BK15" s="176"/>
      <c r="BL15" s="176"/>
      <c r="BM15" s="176"/>
      <c r="BN15" s="176"/>
      <c r="BO15" s="176"/>
      <c r="BP15" s="176"/>
      <c r="BQ15" s="176"/>
      <c r="BR15" s="176"/>
      <c r="BS15" s="176"/>
      <c r="BT15" s="176"/>
      <c r="BU15" s="176"/>
      <c r="BV15" s="176"/>
      <c r="BW15" s="176"/>
      <c r="BX15" s="176"/>
      <c r="BY15" s="176"/>
      <c r="BZ15" s="176"/>
      <c r="CA15" s="176"/>
    </row>
    <row r="16" spans="1:79" ht="27" customHeight="1" x14ac:dyDescent="0.15">
      <c r="A16" s="30" t="s">
        <v>508</v>
      </c>
      <c r="B16" s="31" t="str">
        <f>IF('環境条件(竣工時)'!B16="","",'環境条件(竣工時)'!B16)</f>
        <v/>
      </c>
      <c r="C16" s="31" t="str">
        <f>IF('環境条件(竣工時)'!C16="","",'環境条件(竣工時)'!C16)</f>
        <v/>
      </c>
      <c r="D16" s="31" t="str">
        <f>IF('環境条件(竣工時)'!D16="","",'環境条件(竣工時)'!D16)</f>
        <v/>
      </c>
      <c r="E16" s="31" t="str">
        <f>IF('環境条件(竣工時)'!E16="","",'環境条件(竣工時)'!E16)</f>
        <v/>
      </c>
      <c r="F16" s="30" t="str">
        <f>IF('環境条件(竣工時)'!F16="","",'環境条件(竣工時)'!F16)</f>
        <v/>
      </c>
      <c r="G16" s="21"/>
      <c r="H16" s="22"/>
      <c r="I16" s="22"/>
      <c r="J16" s="22"/>
      <c r="K16" s="23"/>
      <c r="L16" s="23"/>
      <c r="M16" s="23"/>
      <c r="N16" s="146"/>
      <c r="O16" s="40">
        <f t="shared" si="33"/>
        <v>0</v>
      </c>
      <c r="P16" s="183" t="str">
        <f t="shared" si="34"/>
        <v/>
      </c>
      <c r="S16" s="18">
        <f t="shared" si="31"/>
        <v>0</v>
      </c>
      <c r="T16" s="18">
        <f t="shared" si="1"/>
        <v>0</v>
      </c>
      <c r="U16" s="18">
        <f>IF(C16="人工面",0,IF(G16="",0,IF(D16="湿性環境",VLOOKUP(G16,環境タイプⅡによる点数DB!A:B,2,FALSE),IF(D16="樹林",VLOOKUP(G16,環境タイプⅡによる点数DB!A:C,3,FALSE),IF(D16="低木・草地",VLOOKUP(G16,環境タイプⅡによる点数DB!A:D,4,FALSE),0)))))</f>
        <v>0</v>
      </c>
      <c r="V16" s="24" t="str">
        <f>$H16&amp;"in"&amp;基本情報!$C$13</f>
        <v>in</v>
      </c>
      <c r="W16" s="24">
        <f t="shared" si="2"/>
        <v>0</v>
      </c>
      <c r="X16" s="24">
        <f>IF($H16="",0,IF($D16="樹林",IF(ISERROR(VLOOKUP($V16,市町村・植物種ごとの樹林点数DB!$A:$G,7,FALSE))=TRUE,20,VLOOKUP($V16,市町村・植物種ごとの樹林点数DB!$A:$G,7,FALSE)),IF($D16="低木・草地",IF($H16="【ススキ】・【ネザサ】・【チガヤ】",45,10),0)))</f>
        <v>0</v>
      </c>
      <c r="Y16" s="24">
        <f t="shared" si="35"/>
        <v>0</v>
      </c>
      <c r="Z16" s="24">
        <f t="shared" si="36"/>
        <v>1</v>
      </c>
      <c r="AA16" s="24">
        <f t="shared" si="37"/>
        <v>1</v>
      </c>
      <c r="AB16" s="24">
        <f t="shared" si="38"/>
        <v>0</v>
      </c>
      <c r="AC16" s="25">
        <f t="shared" si="39"/>
        <v>0</v>
      </c>
      <c r="AD16" s="25">
        <f t="shared" si="40"/>
        <v>0</v>
      </c>
      <c r="AE16" s="25">
        <f t="shared" si="41"/>
        <v>0</v>
      </c>
      <c r="AF16" s="25" t="str">
        <f t="shared" si="42"/>
        <v/>
      </c>
      <c r="AG16" s="25" t="str">
        <f t="shared" si="43"/>
        <v/>
      </c>
      <c r="AH16" s="25" t="str">
        <f t="shared" si="44"/>
        <v/>
      </c>
      <c r="AI16" s="25">
        <f>IF(ISERROR(VLOOKUP(K16,割合DB!$A:$B,2,FALSE))=TRUE,100,VLOOKUP(K16,割合DB!$A:$B,2,FALSE))</f>
        <v>100</v>
      </c>
      <c r="AJ16" s="25">
        <f>IF(ISERROR(VLOOKUP(L16,割合DB!$A:$B,2,FALSE))=TRUE,100,VLOOKUP(L16,割合DB!$A:$B,2,FALSE))</f>
        <v>100</v>
      </c>
      <c r="AK16" s="25">
        <f>IF(ISERROR(VLOOKUP(M16,割合DB!$A:$B,2,FALSE))=TRUE,100,VLOOKUP(M16,割合DB!$A:$B,2,FALSE))</f>
        <v>100</v>
      </c>
      <c r="AL16" s="25">
        <f t="shared" si="45"/>
        <v>0</v>
      </c>
      <c r="AM16" s="18">
        <f t="shared" si="46"/>
        <v>0</v>
      </c>
      <c r="AN16" s="18">
        <f t="shared" si="47"/>
        <v>0</v>
      </c>
      <c r="AO16" s="18">
        <f t="shared" si="16"/>
        <v>0</v>
      </c>
      <c r="AP16" s="18">
        <f>IF($C16="人工面",0,IF($G16="",70,IF($D16="湿性環境",VLOOKUP($G16,環境タイプⅡによる点数DB!$A:$B,2,FALSE),IF($D16="樹林",VLOOKUP($G16,環境タイプⅡによる点数DB!$A:$C,3,FALSE),IF($D16="低木・草地",VLOOKUP($G16,環境タイプⅡによる点数DB!$A:$D,4,FALSE),0)))))</f>
        <v>70</v>
      </c>
      <c r="AQ16" s="24" t="str">
        <f>$H16&amp;"in"&amp;基本情報!$C$13</f>
        <v>in</v>
      </c>
      <c r="AR16" s="24">
        <f t="shared" si="17"/>
        <v>0</v>
      </c>
      <c r="AS16" s="24">
        <f>IF($H16="",0,IF($D16="樹林",IF(ISERROR(VLOOKUP($V16,市町村・植物種ごとの樹林点数DB!$A:$F,6,FALSE))=TRUE,10,VLOOKUP($V16,市町村・植物種ごとの樹林点数DB!$A:$F,6,FALSE)),IF($D16="低木・草地",IF(OR($H16="【ススキ】・【ネザサ】・【チガヤ】",$H16="不明"),45,10),0)))</f>
        <v>0</v>
      </c>
      <c r="AT16" s="24">
        <f t="shared" si="18"/>
        <v>0</v>
      </c>
      <c r="AU16" s="24">
        <f t="shared" si="19"/>
        <v>1</v>
      </c>
      <c r="AV16" s="24">
        <f t="shared" si="20"/>
        <v>0</v>
      </c>
      <c r="AW16" s="24">
        <f t="shared" si="21"/>
        <v>1</v>
      </c>
      <c r="AX16" s="25">
        <f t="shared" si="48"/>
        <v>0</v>
      </c>
      <c r="AY16" s="25">
        <f t="shared" si="49"/>
        <v>0</v>
      </c>
      <c r="AZ16" s="25">
        <f t="shared" si="50"/>
        <v>0</v>
      </c>
      <c r="BA16" s="25" t="str">
        <f t="shared" si="51"/>
        <v/>
      </c>
      <c r="BB16" s="25" t="str">
        <f t="shared" si="52"/>
        <v/>
      </c>
      <c r="BC16" s="25" t="str">
        <f t="shared" si="53"/>
        <v/>
      </c>
      <c r="BD16" s="25">
        <f>IF(ISERROR(VLOOKUP($K16,割合DB!$A:$B,2,FALSE))=TRUE,0,VLOOKUP($K16,割合DB!$A:$B,2,FALSE))</f>
        <v>0</v>
      </c>
      <c r="BE16" s="25">
        <f>IF(ISERROR(VLOOKUP($L16,割合DB!$A:$B,2,FALSE))=TRUE,0,VLOOKUP($L16,割合DB!$A:$B,2,FALSE))</f>
        <v>0</v>
      </c>
      <c r="BF16" s="25">
        <f>IF(ISERROR(VLOOKUP($M16,割合DB!$A:$B,2,FALSE))=TRUE,0,VLOOKUP($M16,割合DB!$A:$B,2,FALSE))</f>
        <v>0</v>
      </c>
      <c r="BG16" s="25">
        <f t="shared" si="54"/>
        <v>100</v>
      </c>
      <c r="BH16" s="18">
        <f t="shared" si="55"/>
        <v>100</v>
      </c>
      <c r="BI16" s="18">
        <f t="shared" si="32"/>
        <v>1</v>
      </c>
      <c r="BJ16" s="176"/>
      <c r="BK16" s="176"/>
      <c r="BL16" s="176"/>
      <c r="BM16" s="176"/>
      <c r="BN16" s="176"/>
      <c r="BO16" s="176"/>
      <c r="BP16" s="176"/>
      <c r="BQ16" s="176"/>
      <c r="BR16" s="176"/>
      <c r="BS16" s="176"/>
      <c r="BT16" s="176"/>
      <c r="BU16" s="176"/>
      <c r="BV16" s="176"/>
      <c r="BW16" s="176"/>
      <c r="BX16" s="176"/>
      <c r="BY16" s="176"/>
      <c r="BZ16" s="176"/>
      <c r="CA16" s="176"/>
    </row>
    <row r="17" spans="1:79" ht="27" customHeight="1" x14ac:dyDescent="0.15">
      <c r="A17" s="30" t="s">
        <v>509</v>
      </c>
      <c r="B17" s="31" t="str">
        <f>IF('環境条件(竣工時)'!B17="","",'環境条件(竣工時)'!B17)</f>
        <v/>
      </c>
      <c r="C17" s="31" t="str">
        <f>IF('環境条件(竣工時)'!C17="","",'環境条件(竣工時)'!C17)</f>
        <v/>
      </c>
      <c r="D17" s="31" t="str">
        <f>IF('環境条件(竣工時)'!D17="","",'環境条件(竣工時)'!D17)</f>
        <v/>
      </c>
      <c r="E17" s="31" t="str">
        <f>IF('環境条件(竣工時)'!E17="","",'環境条件(竣工時)'!E17)</f>
        <v/>
      </c>
      <c r="F17" s="30" t="str">
        <f>IF('環境条件(竣工時)'!F17="","",'環境条件(竣工時)'!F17)</f>
        <v/>
      </c>
      <c r="G17" s="21"/>
      <c r="H17" s="22"/>
      <c r="I17" s="22"/>
      <c r="J17" s="22"/>
      <c r="K17" s="23"/>
      <c r="L17" s="23"/>
      <c r="M17" s="23"/>
      <c r="N17" s="146"/>
      <c r="O17" s="40">
        <f t="shared" si="33"/>
        <v>0</v>
      </c>
      <c r="P17" s="183" t="str">
        <f t="shared" si="34"/>
        <v/>
      </c>
      <c r="S17" s="18">
        <f t="shared" si="31"/>
        <v>0</v>
      </c>
      <c r="T17" s="18">
        <f t="shared" si="1"/>
        <v>0</v>
      </c>
      <c r="U17" s="18">
        <f>IF(C17="人工面",0,IF(G17="",0,IF(D17="湿性環境",VLOOKUP(G17,環境タイプⅡによる点数DB!A:B,2,FALSE),IF(D17="樹林",VLOOKUP(G17,環境タイプⅡによる点数DB!A:C,3,FALSE),IF(D17="低木・草地",VLOOKUP(G17,環境タイプⅡによる点数DB!A:D,4,FALSE),0)))))</f>
        <v>0</v>
      </c>
      <c r="V17" s="24" t="str">
        <f>$H17&amp;"in"&amp;基本情報!$C$13</f>
        <v>in</v>
      </c>
      <c r="W17" s="24">
        <f t="shared" si="2"/>
        <v>0</v>
      </c>
      <c r="X17" s="24">
        <f>IF($H17="",0,IF($D17="樹林",IF(ISERROR(VLOOKUP($V17,市町村・植物種ごとの樹林点数DB!$A:$G,7,FALSE))=TRUE,20,VLOOKUP($V17,市町村・植物種ごとの樹林点数DB!$A:$G,7,FALSE)),IF($D17="低木・草地",IF($H17="【ススキ】・【ネザサ】・【チガヤ】",45,10),0)))</f>
        <v>0</v>
      </c>
      <c r="Y17" s="24">
        <f t="shared" si="35"/>
        <v>0</v>
      </c>
      <c r="Z17" s="24">
        <f t="shared" si="36"/>
        <v>1</v>
      </c>
      <c r="AA17" s="24">
        <f t="shared" si="37"/>
        <v>1</v>
      </c>
      <c r="AB17" s="24">
        <f t="shared" si="38"/>
        <v>0</v>
      </c>
      <c r="AC17" s="25">
        <f t="shared" si="39"/>
        <v>0</v>
      </c>
      <c r="AD17" s="25">
        <f t="shared" si="40"/>
        <v>0</v>
      </c>
      <c r="AE17" s="25">
        <f t="shared" si="41"/>
        <v>0</v>
      </c>
      <c r="AF17" s="25" t="str">
        <f t="shared" si="42"/>
        <v/>
      </c>
      <c r="AG17" s="25" t="str">
        <f t="shared" si="43"/>
        <v/>
      </c>
      <c r="AH17" s="25" t="str">
        <f t="shared" si="44"/>
        <v/>
      </c>
      <c r="AI17" s="25">
        <f>IF(ISERROR(VLOOKUP(K17,割合DB!$A:$B,2,FALSE))=TRUE,100,VLOOKUP(K17,割合DB!$A:$B,2,FALSE))</f>
        <v>100</v>
      </c>
      <c r="AJ17" s="25">
        <f>IF(ISERROR(VLOOKUP(L17,割合DB!$A:$B,2,FALSE))=TRUE,100,VLOOKUP(L17,割合DB!$A:$B,2,FALSE))</f>
        <v>100</v>
      </c>
      <c r="AK17" s="25">
        <f>IF(ISERROR(VLOOKUP(M17,割合DB!$A:$B,2,FALSE))=TRUE,100,VLOOKUP(M17,割合DB!$A:$B,2,FALSE))</f>
        <v>100</v>
      </c>
      <c r="AL17" s="25">
        <f t="shared" si="45"/>
        <v>0</v>
      </c>
      <c r="AM17" s="18">
        <f t="shared" si="46"/>
        <v>0</v>
      </c>
      <c r="AN17" s="18">
        <f t="shared" si="47"/>
        <v>0</v>
      </c>
      <c r="AO17" s="18">
        <f t="shared" si="16"/>
        <v>0</v>
      </c>
      <c r="AP17" s="18">
        <f>IF($C17="人工面",0,IF($G17="",70,IF($D17="湿性環境",VLOOKUP($G17,環境タイプⅡによる点数DB!$A:$B,2,FALSE),IF($D17="樹林",VLOOKUP($G17,環境タイプⅡによる点数DB!$A:$C,3,FALSE),IF($D17="低木・草地",VLOOKUP($G17,環境タイプⅡによる点数DB!$A:$D,4,FALSE),0)))))</f>
        <v>70</v>
      </c>
      <c r="AQ17" s="24" t="str">
        <f>$H17&amp;"in"&amp;基本情報!$C$13</f>
        <v>in</v>
      </c>
      <c r="AR17" s="24">
        <f t="shared" si="17"/>
        <v>0</v>
      </c>
      <c r="AS17" s="24">
        <f>IF($H17="",0,IF($D17="樹林",IF(ISERROR(VLOOKUP($V17,市町村・植物種ごとの樹林点数DB!$A:$F,6,FALSE))=TRUE,10,VLOOKUP($V17,市町村・植物種ごとの樹林点数DB!$A:$F,6,FALSE)),IF($D17="低木・草地",IF(OR($H17="【ススキ】・【ネザサ】・【チガヤ】",$H17="不明"),45,10),0)))</f>
        <v>0</v>
      </c>
      <c r="AT17" s="24">
        <f t="shared" si="18"/>
        <v>0</v>
      </c>
      <c r="AU17" s="24">
        <f t="shared" si="19"/>
        <v>1</v>
      </c>
      <c r="AV17" s="24">
        <f t="shared" si="20"/>
        <v>0</v>
      </c>
      <c r="AW17" s="24">
        <f t="shared" si="21"/>
        <v>1</v>
      </c>
      <c r="AX17" s="25">
        <f t="shared" si="48"/>
        <v>0</v>
      </c>
      <c r="AY17" s="25">
        <f t="shared" si="49"/>
        <v>0</v>
      </c>
      <c r="AZ17" s="25">
        <f t="shared" si="50"/>
        <v>0</v>
      </c>
      <c r="BA17" s="25" t="str">
        <f t="shared" si="51"/>
        <v/>
      </c>
      <c r="BB17" s="25" t="str">
        <f t="shared" si="52"/>
        <v/>
      </c>
      <c r="BC17" s="25" t="str">
        <f t="shared" si="53"/>
        <v/>
      </c>
      <c r="BD17" s="25">
        <f>IF(ISERROR(VLOOKUP($K17,割合DB!$A:$B,2,FALSE))=TRUE,0,VLOOKUP($K17,割合DB!$A:$B,2,FALSE))</f>
        <v>0</v>
      </c>
      <c r="BE17" s="25">
        <f>IF(ISERROR(VLOOKUP($L17,割合DB!$A:$B,2,FALSE))=TRUE,0,VLOOKUP($L17,割合DB!$A:$B,2,FALSE))</f>
        <v>0</v>
      </c>
      <c r="BF17" s="25">
        <f>IF(ISERROR(VLOOKUP($M17,割合DB!$A:$B,2,FALSE))=TRUE,0,VLOOKUP($M17,割合DB!$A:$B,2,FALSE))</f>
        <v>0</v>
      </c>
      <c r="BG17" s="25">
        <f t="shared" si="54"/>
        <v>100</v>
      </c>
      <c r="BH17" s="18">
        <f t="shared" si="55"/>
        <v>100</v>
      </c>
      <c r="BI17" s="18">
        <f t="shared" si="32"/>
        <v>1</v>
      </c>
      <c r="BJ17" s="176"/>
      <c r="BK17" s="176"/>
      <c r="BL17" s="176"/>
      <c r="BM17" s="176"/>
      <c r="BN17" s="176"/>
      <c r="BO17" s="176"/>
      <c r="BP17" s="176"/>
      <c r="BQ17" s="176"/>
      <c r="BR17" s="176"/>
      <c r="BS17" s="176"/>
      <c r="BT17" s="176"/>
      <c r="BU17" s="176"/>
      <c r="BV17" s="176"/>
      <c r="BW17" s="176"/>
      <c r="BX17" s="176"/>
      <c r="BY17" s="176"/>
      <c r="BZ17" s="176"/>
      <c r="CA17" s="176"/>
    </row>
    <row r="18" spans="1:79" ht="27" customHeight="1" x14ac:dyDescent="0.15">
      <c r="A18" s="30" t="s">
        <v>510</v>
      </c>
      <c r="B18" s="31" t="str">
        <f>IF('環境条件(竣工時)'!B18="","",'環境条件(竣工時)'!B18)</f>
        <v/>
      </c>
      <c r="C18" s="31" t="str">
        <f>IF('環境条件(竣工時)'!C18="","",'環境条件(竣工時)'!C18)</f>
        <v/>
      </c>
      <c r="D18" s="31" t="str">
        <f>IF('環境条件(竣工時)'!D18="","",'環境条件(竣工時)'!D18)</f>
        <v/>
      </c>
      <c r="E18" s="31" t="str">
        <f>IF('環境条件(竣工時)'!E18="","",'環境条件(竣工時)'!E18)</f>
        <v/>
      </c>
      <c r="F18" s="30" t="str">
        <f>IF('環境条件(竣工時)'!F18="","",'環境条件(竣工時)'!F18)</f>
        <v/>
      </c>
      <c r="G18" s="21"/>
      <c r="H18" s="22"/>
      <c r="I18" s="22"/>
      <c r="J18" s="22"/>
      <c r="K18" s="23"/>
      <c r="L18" s="23"/>
      <c r="M18" s="23"/>
      <c r="N18" s="146"/>
      <c r="O18" s="40">
        <f t="shared" si="33"/>
        <v>0</v>
      </c>
      <c r="P18" s="183" t="str">
        <f t="shared" si="34"/>
        <v/>
      </c>
      <c r="S18" s="18">
        <f t="shared" si="31"/>
        <v>0</v>
      </c>
      <c r="T18" s="18">
        <f t="shared" si="1"/>
        <v>0</v>
      </c>
      <c r="U18" s="18">
        <f>IF(C18="人工面",0,IF(G18="",0,IF(D18="湿性環境",VLOOKUP(G18,環境タイプⅡによる点数DB!A:B,2,FALSE),IF(D18="樹林",VLOOKUP(G18,環境タイプⅡによる点数DB!A:C,3,FALSE),IF(D18="低木・草地",VLOOKUP(G18,環境タイプⅡによる点数DB!A:D,4,FALSE),0)))))</f>
        <v>0</v>
      </c>
      <c r="V18" s="24" t="str">
        <f>$H18&amp;"in"&amp;基本情報!$C$13</f>
        <v>in</v>
      </c>
      <c r="W18" s="24">
        <f t="shared" si="2"/>
        <v>0</v>
      </c>
      <c r="X18" s="24">
        <f>IF($H18="",0,IF($D18="樹林",IF(ISERROR(VLOOKUP($V18,市町村・植物種ごとの樹林点数DB!$A:$G,7,FALSE))=TRUE,20,VLOOKUP($V18,市町村・植物種ごとの樹林点数DB!$A:$G,7,FALSE)),IF($D18="低木・草地",IF($H18="【ススキ】・【ネザサ】・【チガヤ】",45,10),0)))</f>
        <v>0</v>
      </c>
      <c r="Y18" s="24">
        <f t="shared" si="35"/>
        <v>0</v>
      </c>
      <c r="Z18" s="24">
        <f t="shared" si="36"/>
        <v>1</v>
      </c>
      <c r="AA18" s="24">
        <f t="shared" si="37"/>
        <v>1</v>
      </c>
      <c r="AB18" s="24">
        <f t="shared" si="38"/>
        <v>0</v>
      </c>
      <c r="AC18" s="25">
        <f t="shared" si="39"/>
        <v>0</v>
      </c>
      <c r="AD18" s="25">
        <f t="shared" si="40"/>
        <v>0</v>
      </c>
      <c r="AE18" s="25">
        <f t="shared" si="41"/>
        <v>0</v>
      </c>
      <c r="AF18" s="25" t="str">
        <f t="shared" si="42"/>
        <v/>
      </c>
      <c r="AG18" s="25" t="str">
        <f t="shared" si="43"/>
        <v/>
      </c>
      <c r="AH18" s="25" t="str">
        <f t="shared" si="44"/>
        <v/>
      </c>
      <c r="AI18" s="25">
        <f>IF(ISERROR(VLOOKUP(K18,割合DB!$A:$B,2,FALSE))=TRUE,100,VLOOKUP(K18,割合DB!$A:$B,2,FALSE))</f>
        <v>100</v>
      </c>
      <c r="AJ18" s="25">
        <f>IF(ISERROR(VLOOKUP(L18,割合DB!$A:$B,2,FALSE))=TRUE,100,VLOOKUP(L18,割合DB!$A:$B,2,FALSE))</f>
        <v>100</v>
      </c>
      <c r="AK18" s="25">
        <f>IF(ISERROR(VLOOKUP(M18,割合DB!$A:$B,2,FALSE))=TRUE,100,VLOOKUP(M18,割合DB!$A:$B,2,FALSE))</f>
        <v>100</v>
      </c>
      <c r="AL18" s="25">
        <f t="shared" si="45"/>
        <v>0</v>
      </c>
      <c r="AM18" s="18">
        <f t="shared" si="46"/>
        <v>0</v>
      </c>
      <c r="AN18" s="18">
        <f t="shared" si="47"/>
        <v>0</v>
      </c>
      <c r="AO18" s="18">
        <f t="shared" si="16"/>
        <v>0</v>
      </c>
      <c r="AP18" s="18">
        <f>IF($C18="人工面",0,IF($G18="",70,IF($D18="湿性環境",VLOOKUP($G18,環境タイプⅡによる点数DB!$A:$B,2,FALSE),IF($D18="樹林",VLOOKUP($G18,環境タイプⅡによる点数DB!$A:$C,3,FALSE),IF($D18="低木・草地",VLOOKUP($G18,環境タイプⅡによる点数DB!$A:$D,4,FALSE),0)))))</f>
        <v>70</v>
      </c>
      <c r="AQ18" s="24" t="str">
        <f>$H18&amp;"in"&amp;基本情報!$C$13</f>
        <v>in</v>
      </c>
      <c r="AR18" s="24">
        <f t="shared" si="17"/>
        <v>0</v>
      </c>
      <c r="AS18" s="24">
        <f>IF($H18="",0,IF($D18="樹林",IF(ISERROR(VLOOKUP($V18,市町村・植物種ごとの樹林点数DB!$A:$F,6,FALSE))=TRUE,10,VLOOKUP($V18,市町村・植物種ごとの樹林点数DB!$A:$F,6,FALSE)),IF($D18="低木・草地",IF(OR($H18="【ススキ】・【ネザサ】・【チガヤ】",$H18="不明"),45,10),0)))</f>
        <v>0</v>
      </c>
      <c r="AT18" s="24">
        <f t="shared" si="18"/>
        <v>0</v>
      </c>
      <c r="AU18" s="24">
        <f t="shared" si="19"/>
        <v>1</v>
      </c>
      <c r="AV18" s="24">
        <f t="shared" si="20"/>
        <v>0</v>
      </c>
      <c r="AW18" s="24">
        <f t="shared" si="21"/>
        <v>1</v>
      </c>
      <c r="AX18" s="25">
        <f t="shared" si="48"/>
        <v>0</v>
      </c>
      <c r="AY18" s="25">
        <f t="shared" si="49"/>
        <v>0</v>
      </c>
      <c r="AZ18" s="25">
        <f t="shared" si="50"/>
        <v>0</v>
      </c>
      <c r="BA18" s="25" t="str">
        <f t="shared" si="51"/>
        <v/>
      </c>
      <c r="BB18" s="25" t="str">
        <f t="shared" si="52"/>
        <v/>
      </c>
      <c r="BC18" s="25" t="str">
        <f t="shared" si="53"/>
        <v/>
      </c>
      <c r="BD18" s="25">
        <f>IF(ISERROR(VLOOKUP($K18,割合DB!$A:$B,2,FALSE))=TRUE,0,VLOOKUP($K18,割合DB!$A:$B,2,FALSE))</f>
        <v>0</v>
      </c>
      <c r="BE18" s="25">
        <f>IF(ISERROR(VLOOKUP($L18,割合DB!$A:$B,2,FALSE))=TRUE,0,VLOOKUP($L18,割合DB!$A:$B,2,FALSE))</f>
        <v>0</v>
      </c>
      <c r="BF18" s="25">
        <f>IF(ISERROR(VLOOKUP($M18,割合DB!$A:$B,2,FALSE))=TRUE,0,VLOOKUP($M18,割合DB!$A:$B,2,FALSE))</f>
        <v>0</v>
      </c>
      <c r="BG18" s="25">
        <f t="shared" si="54"/>
        <v>100</v>
      </c>
      <c r="BH18" s="18">
        <f t="shared" si="55"/>
        <v>100</v>
      </c>
      <c r="BI18" s="18">
        <f t="shared" si="32"/>
        <v>1</v>
      </c>
      <c r="BJ18" s="176"/>
      <c r="BK18" s="176"/>
      <c r="BL18" s="176"/>
      <c r="BM18" s="176"/>
      <c r="BN18" s="176"/>
      <c r="BO18" s="176"/>
      <c r="BP18" s="176"/>
      <c r="BQ18" s="176"/>
      <c r="BR18" s="176"/>
      <c r="BS18" s="176"/>
      <c r="BT18" s="176"/>
      <c r="BU18" s="176"/>
      <c r="BV18" s="176"/>
      <c r="BW18" s="176"/>
      <c r="BX18" s="176"/>
      <c r="BY18" s="176"/>
      <c r="BZ18" s="176"/>
      <c r="CA18" s="176"/>
    </row>
    <row r="19" spans="1:79" ht="27" customHeight="1" x14ac:dyDescent="0.15">
      <c r="A19" s="30" t="s">
        <v>511</v>
      </c>
      <c r="B19" s="31" t="str">
        <f>IF('環境条件(竣工時)'!B19="","",'環境条件(竣工時)'!B19)</f>
        <v/>
      </c>
      <c r="C19" s="31" t="str">
        <f>IF('環境条件(竣工時)'!C19="","",'環境条件(竣工時)'!C19)</f>
        <v/>
      </c>
      <c r="D19" s="31" t="str">
        <f>IF('環境条件(竣工時)'!D19="","",'環境条件(竣工時)'!D19)</f>
        <v/>
      </c>
      <c r="E19" s="31" t="str">
        <f>IF('環境条件(竣工時)'!E19="","",'環境条件(竣工時)'!E19)</f>
        <v/>
      </c>
      <c r="F19" s="30" t="str">
        <f>IF('環境条件(竣工時)'!F19="","",'環境条件(竣工時)'!F19)</f>
        <v/>
      </c>
      <c r="G19" s="21"/>
      <c r="H19" s="22"/>
      <c r="I19" s="22"/>
      <c r="J19" s="22"/>
      <c r="K19" s="23"/>
      <c r="L19" s="23"/>
      <c r="M19" s="23"/>
      <c r="N19" s="146"/>
      <c r="O19" s="40">
        <f t="shared" si="33"/>
        <v>0</v>
      </c>
      <c r="P19" s="183" t="str">
        <f t="shared" si="34"/>
        <v/>
      </c>
      <c r="S19" s="18">
        <f t="shared" si="31"/>
        <v>0</v>
      </c>
      <c r="T19" s="18">
        <f t="shared" si="1"/>
        <v>0</v>
      </c>
      <c r="U19" s="18">
        <f>IF(C19="人工面",0,IF(G19="",0,IF(D19="湿性環境",VLOOKUP(G19,環境タイプⅡによる点数DB!A:B,2,FALSE),IF(D19="樹林",VLOOKUP(G19,環境タイプⅡによる点数DB!A:C,3,FALSE),IF(D19="低木・草地",VLOOKUP(G19,環境タイプⅡによる点数DB!A:D,4,FALSE),0)))))</f>
        <v>0</v>
      </c>
      <c r="V19" s="24" t="str">
        <f>$H19&amp;"in"&amp;基本情報!$C$13</f>
        <v>in</v>
      </c>
      <c r="W19" s="24">
        <f t="shared" si="2"/>
        <v>0</v>
      </c>
      <c r="X19" s="24">
        <f>IF($H19="",0,IF($D19="樹林",IF(ISERROR(VLOOKUP($V19,市町村・植物種ごとの樹林点数DB!$A:$G,7,FALSE))=TRUE,20,VLOOKUP($V19,市町村・植物種ごとの樹林点数DB!$A:$G,7,FALSE)),IF($D19="低木・草地",IF($H19="【ススキ】・【ネザサ】・【チガヤ】",45,10),0)))</f>
        <v>0</v>
      </c>
      <c r="Y19" s="24">
        <f t="shared" si="35"/>
        <v>0</v>
      </c>
      <c r="Z19" s="24">
        <f t="shared" si="36"/>
        <v>1</v>
      </c>
      <c r="AA19" s="24">
        <f t="shared" si="37"/>
        <v>1</v>
      </c>
      <c r="AB19" s="24">
        <f t="shared" si="38"/>
        <v>0</v>
      </c>
      <c r="AC19" s="25">
        <f t="shared" si="39"/>
        <v>0</v>
      </c>
      <c r="AD19" s="25">
        <f t="shared" si="40"/>
        <v>0</v>
      </c>
      <c r="AE19" s="25">
        <f t="shared" si="41"/>
        <v>0</v>
      </c>
      <c r="AF19" s="25" t="str">
        <f t="shared" si="42"/>
        <v/>
      </c>
      <c r="AG19" s="25" t="str">
        <f t="shared" si="43"/>
        <v/>
      </c>
      <c r="AH19" s="25" t="str">
        <f t="shared" si="44"/>
        <v/>
      </c>
      <c r="AI19" s="25">
        <f>IF(ISERROR(VLOOKUP(K19,割合DB!$A:$B,2,FALSE))=TRUE,100,VLOOKUP(K19,割合DB!$A:$B,2,FALSE))</f>
        <v>100</v>
      </c>
      <c r="AJ19" s="25">
        <f>IF(ISERROR(VLOOKUP(L19,割合DB!$A:$B,2,FALSE))=TRUE,100,VLOOKUP(L19,割合DB!$A:$B,2,FALSE))</f>
        <v>100</v>
      </c>
      <c r="AK19" s="25">
        <f>IF(ISERROR(VLOOKUP(M19,割合DB!$A:$B,2,FALSE))=TRUE,100,VLOOKUP(M19,割合DB!$A:$B,2,FALSE))</f>
        <v>100</v>
      </c>
      <c r="AL19" s="25">
        <f t="shared" si="45"/>
        <v>0</v>
      </c>
      <c r="AM19" s="18">
        <f t="shared" si="46"/>
        <v>0</v>
      </c>
      <c r="AN19" s="18">
        <f t="shared" si="47"/>
        <v>0</v>
      </c>
      <c r="AO19" s="18">
        <f t="shared" si="16"/>
        <v>0</v>
      </c>
      <c r="AP19" s="18">
        <f>IF($C19="人工面",0,IF($G19="",70,IF($D19="湿性環境",VLOOKUP($G19,環境タイプⅡによる点数DB!$A:$B,2,FALSE),IF($D19="樹林",VLOOKUP($G19,環境タイプⅡによる点数DB!$A:$C,3,FALSE),IF($D19="低木・草地",VLOOKUP($G19,環境タイプⅡによる点数DB!$A:$D,4,FALSE),0)))))</f>
        <v>70</v>
      </c>
      <c r="AQ19" s="24" t="str">
        <f>$H19&amp;"in"&amp;基本情報!$C$13</f>
        <v>in</v>
      </c>
      <c r="AR19" s="24">
        <f t="shared" si="17"/>
        <v>0</v>
      </c>
      <c r="AS19" s="24">
        <f>IF($H19="",0,IF($D19="樹林",IF(ISERROR(VLOOKUP($V19,市町村・植物種ごとの樹林点数DB!$A:$F,6,FALSE))=TRUE,10,VLOOKUP($V19,市町村・植物種ごとの樹林点数DB!$A:$F,6,FALSE)),IF($D19="低木・草地",IF(OR($H19="【ススキ】・【ネザサ】・【チガヤ】",$H19="不明"),45,10),0)))</f>
        <v>0</v>
      </c>
      <c r="AT19" s="24">
        <f t="shared" si="18"/>
        <v>0</v>
      </c>
      <c r="AU19" s="24">
        <f t="shared" si="19"/>
        <v>1</v>
      </c>
      <c r="AV19" s="24">
        <f t="shared" si="20"/>
        <v>0</v>
      </c>
      <c r="AW19" s="24">
        <f t="shared" si="21"/>
        <v>1</v>
      </c>
      <c r="AX19" s="25">
        <f t="shared" si="48"/>
        <v>0</v>
      </c>
      <c r="AY19" s="25">
        <f t="shared" si="49"/>
        <v>0</v>
      </c>
      <c r="AZ19" s="25">
        <f t="shared" si="50"/>
        <v>0</v>
      </c>
      <c r="BA19" s="25" t="str">
        <f t="shared" si="51"/>
        <v/>
      </c>
      <c r="BB19" s="25" t="str">
        <f t="shared" si="52"/>
        <v/>
      </c>
      <c r="BC19" s="25" t="str">
        <f t="shared" si="53"/>
        <v/>
      </c>
      <c r="BD19" s="25">
        <f>IF(ISERROR(VLOOKUP($K19,割合DB!$A:$B,2,FALSE))=TRUE,0,VLOOKUP($K19,割合DB!$A:$B,2,FALSE))</f>
        <v>0</v>
      </c>
      <c r="BE19" s="25">
        <f>IF(ISERROR(VLOOKUP($L19,割合DB!$A:$B,2,FALSE))=TRUE,0,VLOOKUP($L19,割合DB!$A:$B,2,FALSE))</f>
        <v>0</v>
      </c>
      <c r="BF19" s="25">
        <f>IF(ISERROR(VLOOKUP($M19,割合DB!$A:$B,2,FALSE))=TRUE,0,VLOOKUP($M19,割合DB!$A:$B,2,FALSE))</f>
        <v>0</v>
      </c>
      <c r="BG19" s="25">
        <f t="shared" si="54"/>
        <v>100</v>
      </c>
      <c r="BH19" s="18">
        <f t="shared" si="55"/>
        <v>100</v>
      </c>
      <c r="BI19" s="18">
        <f t="shared" si="32"/>
        <v>1</v>
      </c>
      <c r="BJ19" s="176"/>
      <c r="BK19" s="176"/>
      <c r="BL19" s="176"/>
      <c r="BM19" s="176"/>
      <c r="BN19" s="176"/>
      <c r="BO19" s="176"/>
      <c r="BP19" s="176"/>
      <c r="BQ19" s="176"/>
      <c r="BR19" s="176"/>
      <c r="BS19" s="176"/>
      <c r="BT19" s="176"/>
      <c r="BU19" s="176"/>
      <c r="BV19" s="176"/>
      <c r="BW19" s="176"/>
      <c r="BX19" s="176"/>
      <c r="BY19" s="176"/>
      <c r="BZ19" s="176"/>
      <c r="CA19" s="176"/>
    </row>
    <row r="20" spans="1:79" ht="27" customHeight="1" x14ac:dyDescent="0.15">
      <c r="A20" s="30" t="s">
        <v>512</v>
      </c>
      <c r="B20" s="31" t="str">
        <f>IF('環境条件(竣工時)'!B20="","",'環境条件(竣工時)'!B20)</f>
        <v/>
      </c>
      <c r="C20" s="31" t="str">
        <f>IF('環境条件(竣工時)'!C20="","",'環境条件(竣工時)'!C20)</f>
        <v/>
      </c>
      <c r="D20" s="31" t="str">
        <f>IF('環境条件(竣工時)'!D20="","",'環境条件(竣工時)'!D20)</f>
        <v/>
      </c>
      <c r="E20" s="31" t="str">
        <f>IF('環境条件(竣工時)'!E20="","",'環境条件(竣工時)'!E20)</f>
        <v/>
      </c>
      <c r="F20" s="30" t="str">
        <f>IF('環境条件(竣工時)'!F20="","",'環境条件(竣工時)'!F20)</f>
        <v/>
      </c>
      <c r="G20" s="21"/>
      <c r="H20" s="22"/>
      <c r="I20" s="22"/>
      <c r="J20" s="22"/>
      <c r="K20" s="23"/>
      <c r="L20" s="23"/>
      <c r="M20" s="23"/>
      <c r="N20" s="146"/>
      <c r="O20" s="40">
        <f t="shared" si="33"/>
        <v>0</v>
      </c>
      <c r="P20" s="183" t="str">
        <f t="shared" si="34"/>
        <v/>
      </c>
      <c r="S20" s="18">
        <f t="shared" si="31"/>
        <v>0</v>
      </c>
      <c r="T20" s="18">
        <f t="shared" si="1"/>
        <v>0</v>
      </c>
      <c r="U20" s="18">
        <f>IF(C20="人工面",0,IF(G20="",0,IF(D20="湿性環境",VLOOKUP(G20,環境タイプⅡによる点数DB!A:B,2,FALSE),IF(D20="樹林",VLOOKUP(G20,環境タイプⅡによる点数DB!A:C,3,FALSE),IF(D20="低木・草地",VLOOKUP(G20,環境タイプⅡによる点数DB!A:D,4,FALSE),0)))))</f>
        <v>0</v>
      </c>
      <c r="V20" s="24" t="str">
        <f>$H20&amp;"in"&amp;基本情報!$C$13</f>
        <v>in</v>
      </c>
      <c r="W20" s="24">
        <f t="shared" si="2"/>
        <v>0</v>
      </c>
      <c r="X20" s="24">
        <f>IF($H20="",0,IF($D20="樹林",IF(ISERROR(VLOOKUP($V20,市町村・植物種ごとの樹林点数DB!$A:$G,7,FALSE))=TRUE,20,VLOOKUP($V20,市町村・植物種ごとの樹林点数DB!$A:$G,7,FALSE)),IF($D20="低木・草地",IF($H20="【ススキ】・【ネザサ】・【チガヤ】",45,10),0)))</f>
        <v>0</v>
      </c>
      <c r="Y20" s="24">
        <f t="shared" si="35"/>
        <v>0</v>
      </c>
      <c r="Z20" s="24">
        <f t="shared" si="36"/>
        <v>1</v>
      </c>
      <c r="AA20" s="24">
        <f t="shared" si="37"/>
        <v>1</v>
      </c>
      <c r="AB20" s="24">
        <f t="shared" si="38"/>
        <v>0</v>
      </c>
      <c r="AC20" s="25">
        <f t="shared" si="39"/>
        <v>0</v>
      </c>
      <c r="AD20" s="25">
        <f t="shared" si="40"/>
        <v>0</v>
      </c>
      <c r="AE20" s="25">
        <f t="shared" si="41"/>
        <v>0</v>
      </c>
      <c r="AF20" s="25" t="str">
        <f t="shared" si="42"/>
        <v/>
      </c>
      <c r="AG20" s="25" t="str">
        <f t="shared" si="43"/>
        <v/>
      </c>
      <c r="AH20" s="25" t="str">
        <f t="shared" si="44"/>
        <v/>
      </c>
      <c r="AI20" s="25">
        <f>IF(ISERROR(VLOOKUP(K20,割合DB!$A:$B,2,FALSE))=TRUE,100,VLOOKUP(K20,割合DB!$A:$B,2,FALSE))</f>
        <v>100</v>
      </c>
      <c r="AJ20" s="25">
        <f>IF(ISERROR(VLOOKUP(L20,割合DB!$A:$B,2,FALSE))=TRUE,100,VLOOKUP(L20,割合DB!$A:$B,2,FALSE))</f>
        <v>100</v>
      </c>
      <c r="AK20" s="25">
        <f>IF(ISERROR(VLOOKUP(M20,割合DB!$A:$B,2,FALSE))=TRUE,100,VLOOKUP(M20,割合DB!$A:$B,2,FALSE))</f>
        <v>100</v>
      </c>
      <c r="AL20" s="25">
        <f t="shared" si="45"/>
        <v>0</v>
      </c>
      <c r="AM20" s="18">
        <f t="shared" si="46"/>
        <v>0</v>
      </c>
      <c r="AN20" s="18">
        <f t="shared" si="47"/>
        <v>0</v>
      </c>
      <c r="AO20" s="18">
        <f t="shared" si="16"/>
        <v>0</v>
      </c>
      <c r="AP20" s="18">
        <f>IF($C20="人工面",0,IF($G20="",70,IF($D20="湿性環境",VLOOKUP($G20,環境タイプⅡによる点数DB!$A:$B,2,FALSE),IF($D20="樹林",VLOOKUP($G20,環境タイプⅡによる点数DB!$A:$C,3,FALSE),IF($D20="低木・草地",VLOOKUP($G20,環境タイプⅡによる点数DB!$A:$D,4,FALSE),0)))))</f>
        <v>70</v>
      </c>
      <c r="AQ20" s="24" t="str">
        <f>$H20&amp;"in"&amp;基本情報!$C$13</f>
        <v>in</v>
      </c>
      <c r="AR20" s="24">
        <f t="shared" si="17"/>
        <v>0</v>
      </c>
      <c r="AS20" s="24">
        <f>IF($H20="",0,IF($D20="樹林",IF(ISERROR(VLOOKUP($V20,市町村・植物種ごとの樹林点数DB!$A:$F,6,FALSE))=TRUE,10,VLOOKUP($V20,市町村・植物種ごとの樹林点数DB!$A:$F,6,FALSE)),IF($D20="低木・草地",IF(OR($H20="【ススキ】・【ネザサ】・【チガヤ】",$H20="不明"),45,10),0)))</f>
        <v>0</v>
      </c>
      <c r="AT20" s="24">
        <f t="shared" si="18"/>
        <v>0</v>
      </c>
      <c r="AU20" s="24">
        <f t="shared" si="19"/>
        <v>1</v>
      </c>
      <c r="AV20" s="24">
        <f t="shared" si="20"/>
        <v>0</v>
      </c>
      <c r="AW20" s="24">
        <f t="shared" si="21"/>
        <v>1</v>
      </c>
      <c r="AX20" s="25">
        <f t="shared" si="48"/>
        <v>0</v>
      </c>
      <c r="AY20" s="25">
        <f t="shared" si="49"/>
        <v>0</v>
      </c>
      <c r="AZ20" s="25">
        <f t="shared" si="50"/>
        <v>0</v>
      </c>
      <c r="BA20" s="25" t="str">
        <f t="shared" si="51"/>
        <v/>
      </c>
      <c r="BB20" s="25" t="str">
        <f t="shared" si="52"/>
        <v/>
      </c>
      <c r="BC20" s="25" t="str">
        <f t="shared" si="53"/>
        <v/>
      </c>
      <c r="BD20" s="25">
        <f>IF(ISERROR(VLOOKUP($K20,割合DB!$A:$B,2,FALSE))=TRUE,0,VLOOKUP($K20,割合DB!$A:$B,2,FALSE))</f>
        <v>0</v>
      </c>
      <c r="BE20" s="25">
        <f>IF(ISERROR(VLOOKUP($L20,割合DB!$A:$B,2,FALSE))=TRUE,0,VLOOKUP($L20,割合DB!$A:$B,2,FALSE))</f>
        <v>0</v>
      </c>
      <c r="BF20" s="25">
        <f>IF(ISERROR(VLOOKUP($M20,割合DB!$A:$B,2,FALSE))=TRUE,0,VLOOKUP($M20,割合DB!$A:$B,2,FALSE))</f>
        <v>0</v>
      </c>
      <c r="BG20" s="25">
        <f t="shared" si="54"/>
        <v>100</v>
      </c>
      <c r="BH20" s="18">
        <f t="shared" si="55"/>
        <v>100</v>
      </c>
      <c r="BI20" s="18">
        <f t="shared" si="32"/>
        <v>1</v>
      </c>
      <c r="BJ20" s="176"/>
      <c r="BK20" s="176"/>
      <c r="BL20" s="176"/>
      <c r="BM20" s="176"/>
      <c r="BN20" s="176"/>
      <c r="BO20" s="176"/>
      <c r="BP20" s="176"/>
      <c r="BQ20" s="176"/>
      <c r="BR20" s="176"/>
      <c r="BS20" s="176"/>
      <c r="BT20" s="176"/>
      <c r="BU20" s="176"/>
      <c r="BV20" s="176"/>
      <c r="BW20" s="176"/>
      <c r="BX20" s="176"/>
      <c r="BY20" s="176"/>
      <c r="BZ20" s="176"/>
      <c r="CA20" s="176"/>
    </row>
    <row r="21" spans="1:79" ht="27" customHeight="1" x14ac:dyDescent="0.15">
      <c r="A21" s="30" t="s">
        <v>513</v>
      </c>
      <c r="B21" s="31" t="str">
        <f>IF('環境条件(竣工時)'!B21="","",'環境条件(竣工時)'!B21)</f>
        <v/>
      </c>
      <c r="C21" s="31" t="str">
        <f>IF('環境条件(竣工時)'!C21="","",'環境条件(竣工時)'!C21)</f>
        <v/>
      </c>
      <c r="D21" s="31" t="str">
        <f>IF('環境条件(竣工時)'!D21="","",'環境条件(竣工時)'!D21)</f>
        <v/>
      </c>
      <c r="E21" s="31" t="str">
        <f>IF('環境条件(竣工時)'!E21="","",'環境条件(竣工時)'!E21)</f>
        <v/>
      </c>
      <c r="F21" s="30" t="str">
        <f>IF('環境条件(竣工時)'!F21="","",'環境条件(竣工時)'!F21)</f>
        <v/>
      </c>
      <c r="G21" s="21"/>
      <c r="H21" s="22"/>
      <c r="I21" s="22"/>
      <c r="J21" s="22"/>
      <c r="K21" s="23"/>
      <c r="L21" s="23"/>
      <c r="M21" s="23"/>
      <c r="N21" s="146"/>
      <c r="O21" s="40">
        <f t="shared" si="33"/>
        <v>0</v>
      </c>
      <c r="P21" s="183" t="str">
        <f t="shared" si="34"/>
        <v/>
      </c>
      <c r="S21" s="18">
        <f t="shared" si="31"/>
        <v>0</v>
      </c>
      <c r="T21" s="18">
        <f t="shared" si="1"/>
        <v>0</v>
      </c>
      <c r="U21" s="18">
        <f>IF(C21="人工面",0,IF(G21="",0,IF(D21="湿性環境",VLOOKUP(G21,環境タイプⅡによる点数DB!A:B,2,FALSE),IF(D21="樹林",VLOOKUP(G21,環境タイプⅡによる点数DB!A:C,3,FALSE),IF(D21="低木・草地",VLOOKUP(G21,環境タイプⅡによる点数DB!A:D,4,FALSE),0)))))</f>
        <v>0</v>
      </c>
      <c r="V21" s="24" t="str">
        <f>$H21&amp;"in"&amp;基本情報!$C$13</f>
        <v>in</v>
      </c>
      <c r="W21" s="24">
        <f t="shared" si="2"/>
        <v>0</v>
      </c>
      <c r="X21" s="24">
        <f>IF($H21="",0,IF($D21="樹林",IF(ISERROR(VLOOKUP($V21,市町村・植物種ごとの樹林点数DB!$A:$G,7,FALSE))=TRUE,20,VLOOKUP($V21,市町村・植物種ごとの樹林点数DB!$A:$G,7,FALSE)),IF($D21="低木・草地",IF($H21="【ススキ】・【ネザサ】・【チガヤ】",45,10),0)))</f>
        <v>0</v>
      </c>
      <c r="Y21" s="24">
        <f t="shared" si="35"/>
        <v>0</v>
      </c>
      <c r="Z21" s="24">
        <f t="shared" si="36"/>
        <v>1</v>
      </c>
      <c r="AA21" s="24">
        <f t="shared" si="37"/>
        <v>1</v>
      </c>
      <c r="AB21" s="24">
        <f t="shared" si="38"/>
        <v>0</v>
      </c>
      <c r="AC21" s="25">
        <f t="shared" si="39"/>
        <v>0</v>
      </c>
      <c r="AD21" s="25">
        <f t="shared" si="40"/>
        <v>0</v>
      </c>
      <c r="AE21" s="25">
        <f t="shared" si="41"/>
        <v>0</v>
      </c>
      <c r="AF21" s="25" t="str">
        <f t="shared" si="42"/>
        <v/>
      </c>
      <c r="AG21" s="25" t="str">
        <f t="shared" si="43"/>
        <v/>
      </c>
      <c r="AH21" s="25" t="str">
        <f t="shared" si="44"/>
        <v/>
      </c>
      <c r="AI21" s="25">
        <f>IF(ISERROR(VLOOKUP(K21,割合DB!$A:$B,2,FALSE))=TRUE,100,VLOOKUP(K21,割合DB!$A:$B,2,FALSE))</f>
        <v>100</v>
      </c>
      <c r="AJ21" s="25">
        <f>IF(ISERROR(VLOOKUP(L21,割合DB!$A:$B,2,FALSE))=TRUE,100,VLOOKUP(L21,割合DB!$A:$B,2,FALSE))</f>
        <v>100</v>
      </c>
      <c r="AK21" s="25">
        <f>IF(ISERROR(VLOOKUP(M21,割合DB!$A:$B,2,FALSE))=TRUE,100,VLOOKUP(M21,割合DB!$A:$B,2,FALSE))</f>
        <v>100</v>
      </c>
      <c r="AL21" s="25">
        <f t="shared" si="45"/>
        <v>0</v>
      </c>
      <c r="AM21" s="18">
        <f t="shared" si="46"/>
        <v>0</v>
      </c>
      <c r="AN21" s="18">
        <f t="shared" si="47"/>
        <v>0</v>
      </c>
      <c r="AO21" s="18">
        <f t="shared" si="16"/>
        <v>0</v>
      </c>
      <c r="AP21" s="18">
        <f>IF($C21="人工面",0,IF($G21="",70,IF($D21="湿性環境",VLOOKUP($G21,環境タイプⅡによる点数DB!$A:$B,2,FALSE),IF($D21="樹林",VLOOKUP($G21,環境タイプⅡによる点数DB!$A:$C,3,FALSE),IF($D21="低木・草地",VLOOKUP($G21,環境タイプⅡによる点数DB!$A:$D,4,FALSE),0)))))</f>
        <v>70</v>
      </c>
      <c r="AQ21" s="24" t="str">
        <f>$H21&amp;"in"&amp;基本情報!$C$13</f>
        <v>in</v>
      </c>
      <c r="AR21" s="24">
        <f t="shared" si="17"/>
        <v>0</v>
      </c>
      <c r="AS21" s="24">
        <f>IF($H21="",0,IF($D21="樹林",IF(ISERROR(VLOOKUP($V21,市町村・植物種ごとの樹林点数DB!$A:$F,6,FALSE))=TRUE,10,VLOOKUP($V21,市町村・植物種ごとの樹林点数DB!$A:$F,6,FALSE)),IF($D21="低木・草地",IF(OR($H21="【ススキ】・【ネザサ】・【チガヤ】",$H21="不明"),45,10),0)))</f>
        <v>0</v>
      </c>
      <c r="AT21" s="24">
        <f t="shared" si="18"/>
        <v>0</v>
      </c>
      <c r="AU21" s="24">
        <f t="shared" si="19"/>
        <v>1</v>
      </c>
      <c r="AV21" s="24">
        <f t="shared" si="20"/>
        <v>0</v>
      </c>
      <c r="AW21" s="24">
        <f t="shared" si="21"/>
        <v>1</v>
      </c>
      <c r="AX21" s="25">
        <f t="shared" si="48"/>
        <v>0</v>
      </c>
      <c r="AY21" s="25">
        <f t="shared" si="49"/>
        <v>0</v>
      </c>
      <c r="AZ21" s="25">
        <f t="shared" si="50"/>
        <v>0</v>
      </c>
      <c r="BA21" s="25" t="str">
        <f t="shared" si="51"/>
        <v/>
      </c>
      <c r="BB21" s="25" t="str">
        <f t="shared" si="52"/>
        <v/>
      </c>
      <c r="BC21" s="25" t="str">
        <f t="shared" si="53"/>
        <v/>
      </c>
      <c r="BD21" s="25">
        <f>IF(ISERROR(VLOOKUP($K21,割合DB!$A:$B,2,FALSE))=TRUE,0,VLOOKUP($K21,割合DB!$A:$B,2,FALSE))</f>
        <v>0</v>
      </c>
      <c r="BE21" s="25">
        <f>IF(ISERROR(VLOOKUP($L21,割合DB!$A:$B,2,FALSE))=TRUE,0,VLOOKUP($L21,割合DB!$A:$B,2,FALSE))</f>
        <v>0</v>
      </c>
      <c r="BF21" s="25">
        <f>IF(ISERROR(VLOOKUP($M21,割合DB!$A:$B,2,FALSE))=TRUE,0,VLOOKUP($M21,割合DB!$A:$B,2,FALSE))</f>
        <v>0</v>
      </c>
      <c r="BG21" s="25">
        <f t="shared" si="54"/>
        <v>100</v>
      </c>
      <c r="BH21" s="18">
        <f t="shared" si="55"/>
        <v>100</v>
      </c>
      <c r="BI21" s="18">
        <f t="shared" si="32"/>
        <v>1</v>
      </c>
      <c r="BJ21" s="176"/>
      <c r="BK21" s="176"/>
      <c r="BL21" s="176"/>
      <c r="BM21" s="176"/>
      <c r="BN21" s="176"/>
      <c r="BO21" s="176"/>
      <c r="BP21" s="176"/>
      <c r="BQ21" s="176"/>
      <c r="BR21" s="176"/>
      <c r="BS21" s="176"/>
      <c r="BT21" s="176"/>
      <c r="BU21" s="176"/>
      <c r="BV21" s="176"/>
      <c r="BW21" s="176"/>
      <c r="BX21" s="176"/>
      <c r="BY21" s="176"/>
      <c r="BZ21" s="176"/>
      <c r="CA21" s="176"/>
    </row>
    <row r="22" spans="1:79" ht="27" customHeight="1" x14ac:dyDescent="0.15">
      <c r="A22" s="30" t="s">
        <v>514</v>
      </c>
      <c r="B22" s="31" t="str">
        <f>IF('環境条件(竣工時)'!B22="","",'環境条件(竣工時)'!B22)</f>
        <v/>
      </c>
      <c r="C22" s="31" t="str">
        <f>IF('環境条件(竣工時)'!C22="","",'環境条件(竣工時)'!C22)</f>
        <v/>
      </c>
      <c r="D22" s="31" t="str">
        <f>IF('環境条件(竣工時)'!D22="","",'環境条件(竣工時)'!D22)</f>
        <v/>
      </c>
      <c r="E22" s="31" t="str">
        <f>IF('環境条件(竣工時)'!E22="","",'環境条件(竣工時)'!E22)</f>
        <v/>
      </c>
      <c r="F22" s="30" t="str">
        <f>IF('環境条件(竣工時)'!F22="","",'環境条件(竣工時)'!F22)</f>
        <v/>
      </c>
      <c r="G22" s="21"/>
      <c r="H22" s="22"/>
      <c r="I22" s="22"/>
      <c r="J22" s="22"/>
      <c r="K22" s="23"/>
      <c r="L22" s="23"/>
      <c r="M22" s="23"/>
      <c r="N22" s="146"/>
      <c r="O22" s="40">
        <f t="shared" si="33"/>
        <v>0</v>
      </c>
      <c r="P22" s="183" t="str">
        <f t="shared" si="34"/>
        <v/>
      </c>
      <c r="S22" s="18">
        <f t="shared" si="31"/>
        <v>0</v>
      </c>
      <c r="T22" s="18">
        <f t="shared" si="1"/>
        <v>0</v>
      </c>
      <c r="U22" s="18">
        <f>IF(C22="人工面",0,IF(G22="",0,IF(D22="湿性環境",VLOOKUP(G22,環境タイプⅡによる点数DB!A:B,2,FALSE),IF(D22="樹林",VLOOKUP(G22,環境タイプⅡによる点数DB!A:C,3,FALSE),IF(D22="低木・草地",VLOOKUP(G22,環境タイプⅡによる点数DB!A:D,4,FALSE),0)))))</f>
        <v>0</v>
      </c>
      <c r="V22" s="24" t="str">
        <f>$H22&amp;"in"&amp;基本情報!$C$13</f>
        <v>in</v>
      </c>
      <c r="W22" s="24">
        <f t="shared" si="2"/>
        <v>0</v>
      </c>
      <c r="X22" s="24">
        <f>IF($H22="",0,IF($D22="樹林",IF(ISERROR(VLOOKUP($V22,市町村・植物種ごとの樹林点数DB!$A:$G,7,FALSE))=TRUE,20,VLOOKUP($V22,市町村・植物種ごとの樹林点数DB!$A:$G,7,FALSE)),IF($D22="低木・草地",IF($H22="【ススキ】・【ネザサ】・【チガヤ】",45,10),0)))</f>
        <v>0</v>
      </c>
      <c r="Y22" s="24">
        <f t="shared" si="35"/>
        <v>0</v>
      </c>
      <c r="Z22" s="24">
        <f t="shared" si="36"/>
        <v>1</v>
      </c>
      <c r="AA22" s="24">
        <f t="shared" si="37"/>
        <v>1</v>
      </c>
      <c r="AB22" s="24">
        <f t="shared" si="38"/>
        <v>0</v>
      </c>
      <c r="AC22" s="25">
        <f t="shared" si="39"/>
        <v>0</v>
      </c>
      <c r="AD22" s="25">
        <f t="shared" si="40"/>
        <v>0</v>
      </c>
      <c r="AE22" s="25">
        <f t="shared" si="41"/>
        <v>0</v>
      </c>
      <c r="AF22" s="25" t="str">
        <f t="shared" si="42"/>
        <v/>
      </c>
      <c r="AG22" s="25" t="str">
        <f t="shared" si="43"/>
        <v/>
      </c>
      <c r="AH22" s="25" t="str">
        <f t="shared" si="44"/>
        <v/>
      </c>
      <c r="AI22" s="25">
        <f>IF(ISERROR(VLOOKUP(K22,割合DB!$A:$B,2,FALSE))=TRUE,100,VLOOKUP(K22,割合DB!$A:$B,2,FALSE))</f>
        <v>100</v>
      </c>
      <c r="AJ22" s="25">
        <f>IF(ISERROR(VLOOKUP(L22,割合DB!$A:$B,2,FALSE))=TRUE,100,VLOOKUP(L22,割合DB!$A:$B,2,FALSE))</f>
        <v>100</v>
      </c>
      <c r="AK22" s="25">
        <f>IF(ISERROR(VLOOKUP(M22,割合DB!$A:$B,2,FALSE))=TRUE,100,VLOOKUP(M22,割合DB!$A:$B,2,FALSE))</f>
        <v>100</v>
      </c>
      <c r="AL22" s="25">
        <f t="shared" si="45"/>
        <v>0</v>
      </c>
      <c r="AM22" s="18">
        <f t="shared" si="46"/>
        <v>0</v>
      </c>
      <c r="AN22" s="18">
        <f t="shared" si="47"/>
        <v>0</v>
      </c>
      <c r="AO22" s="18">
        <f t="shared" si="16"/>
        <v>0</v>
      </c>
      <c r="AP22" s="18">
        <f>IF($C22="人工面",0,IF($G22="",70,IF($D22="湿性環境",VLOOKUP($G22,環境タイプⅡによる点数DB!$A:$B,2,FALSE),IF($D22="樹林",VLOOKUP($G22,環境タイプⅡによる点数DB!$A:$C,3,FALSE),IF($D22="低木・草地",VLOOKUP($G22,環境タイプⅡによる点数DB!$A:$D,4,FALSE),0)))))</f>
        <v>70</v>
      </c>
      <c r="AQ22" s="24" t="str">
        <f>$H22&amp;"in"&amp;基本情報!$C$13</f>
        <v>in</v>
      </c>
      <c r="AR22" s="24">
        <f t="shared" si="17"/>
        <v>0</v>
      </c>
      <c r="AS22" s="24">
        <f>IF($H22="",0,IF($D22="樹林",IF(ISERROR(VLOOKUP($V22,市町村・植物種ごとの樹林点数DB!$A:$F,6,FALSE))=TRUE,10,VLOOKUP($V22,市町村・植物種ごとの樹林点数DB!$A:$F,6,FALSE)),IF($D22="低木・草地",IF(OR($H22="【ススキ】・【ネザサ】・【チガヤ】",$H22="不明"),45,10),0)))</f>
        <v>0</v>
      </c>
      <c r="AT22" s="24">
        <f t="shared" si="18"/>
        <v>0</v>
      </c>
      <c r="AU22" s="24">
        <f t="shared" si="19"/>
        <v>1</v>
      </c>
      <c r="AV22" s="24">
        <f t="shared" si="20"/>
        <v>0</v>
      </c>
      <c r="AW22" s="24">
        <f t="shared" si="21"/>
        <v>1</v>
      </c>
      <c r="AX22" s="25">
        <f t="shared" si="48"/>
        <v>0</v>
      </c>
      <c r="AY22" s="25">
        <f t="shared" si="49"/>
        <v>0</v>
      </c>
      <c r="AZ22" s="25">
        <f t="shared" si="50"/>
        <v>0</v>
      </c>
      <c r="BA22" s="25" t="str">
        <f t="shared" si="51"/>
        <v/>
      </c>
      <c r="BB22" s="25" t="str">
        <f t="shared" si="52"/>
        <v/>
      </c>
      <c r="BC22" s="25" t="str">
        <f t="shared" si="53"/>
        <v/>
      </c>
      <c r="BD22" s="25">
        <f>IF(ISERROR(VLOOKUP($K22,割合DB!$A:$B,2,FALSE))=TRUE,0,VLOOKUP($K22,割合DB!$A:$B,2,FALSE))</f>
        <v>0</v>
      </c>
      <c r="BE22" s="25">
        <f>IF(ISERROR(VLOOKUP($L22,割合DB!$A:$B,2,FALSE))=TRUE,0,VLOOKUP($L22,割合DB!$A:$B,2,FALSE))</f>
        <v>0</v>
      </c>
      <c r="BF22" s="25">
        <f>IF(ISERROR(VLOOKUP($M22,割合DB!$A:$B,2,FALSE))=TRUE,0,VLOOKUP($M22,割合DB!$A:$B,2,FALSE))</f>
        <v>0</v>
      </c>
      <c r="BG22" s="25">
        <f t="shared" si="54"/>
        <v>100</v>
      </c>
      <c r="BH22" s="18">
        <f t="shared" si="55"/>
        <v>100</v>
      </c>
      <c r="BI22" s="18">
        <f t="shared" si="32"/>
        <v>1</v>
      </c>
      <c r="BJ22" s="176"/>
      <c r="BK22" s="176"/>
      <c r="BL22" s="176"/>
      <c r="BM22" s="176"/>
      <c r="BN22" s="176"/>
      <c r="BO22" s="176"/>
      <c r="BP22" s="176"/>
      <c r="BQ22" s="176"/>
      <c r="BR22" s="176"/>
      <c r="BS22" s="176"/>
      <c r="BT22" s="176"/>
      <c r="BU22" s="176"/>
      <c r="BV22" s="176"/>
      <c r="BW22" s="176"/>
      <c r="BX22" s="176"/>
      <c r="BY22" s="176"/>
      <c r="BZ22" s="176"/>
      <c r="CA22" s="176"/>
    </row>
    <row r="23" spans="1:79" ht="27" customHeight="1" x14ac:dyDescent="0.15">
      <c r="A23" s="30" t="s">
        <v>515</v>
      </c>
      <c r="B23" s="31" t="str">
        <f>IF('環境条件(竣工時)'!B23="","",'環境条件(竣工時)'!B23)</f>
        <v/>
      </c>
      <c r="C23" s="31" t="str">
        <f>IF('環境条件(竣工時)'!C23="","",'環境条件(竣工時)'!C23)</f>
        <v/>
      </c>
      <c r="D23" s="31" t="str">
        <f>IF('環境条件(竣工時)'!D23="","",'環境条件(竣工時)'!D23)</f>
        <v/>
      </c>
      <c r="E23" s="31" t="str">
        <f>IF('環境条件(竣工時)'!E23="","",'環境条件(竣工時)'!E23)</f>
        <v/>
      </c>
      <c r="F23" s="30" t="str">
        <f>IF('環境条件(竣工時)'!F23="","",'環境条件(竣工時)'!F23)</f>
        <v/>
      </c>
      <c r="G23" s="21"/>
      <c r="H23" s="22"/>
      <c r="I23" s="22"/>
      <c r="J23" s="22"/>
      <c r="K23" s="23"/>
      <c r="L23" s="23"/>
      <c r="M23" s="23"/>
      <c r="N23" s="146"/>
      <c r="O23" s="40">
        <f t="shared" si="33"/>
        <v>0</v>
      </c>
      <c r="P23" s="183" t="str">
        <f t="shared" si="34"/>
        <v/>
      </c>
      <c r="S23" s="18">
        <f t="shared" si="31"/>
        <v>0</v>
      </c>
      <c r="T23" s="18">
        <f t="shared" si="1"/>
        <v>0</v>
      </c>
      <c r="U23" s="18">
        <f>IF(C23="人工面",0,IF(G23="",0,IF(D23="湿性環境",VLOOKUP(G23,環境タイプⅡによる点数DB!A:B,2,FALSE),IF(D23="樹林",VLOOKUP(G23,環境タイプⅡによる点数DB!A:C,3,FALSE),IF(D23="低木・草地",VLOOKUP(G23,環境タイプⅡによる点数DB!A:D,4,FALSE),0)))))</f>
        <v>0</v>
      </c>
      <c r="V23" s="24" t="str">
        <f>$H23&amp;"in"&amp;基本情報!$C$13</f>
        <v>in</v>
      </c>
      <c r="W23" s="24">
        <f t="shared" si="2"/>
        <v>0</v>
      </c>
      <c r="X23" s="24">
        <f>IF($H23="",0,IF($D23="樹林",IF(ISERROR(VLOOKUP($V23,市町村・植物種ごとの樹林点数DB!$A:$G,7,FALSE))=TRUE,20,VLOOKUP($V23,市町村・植物種ごとの樹林点数DB!$A:$G,7,FALSE)),IF($D23="低木・草地",IF($H23="【ススキ】・【ネザサ】・【チガヤ】",45,10),0)))</f>
        <v>0</v>
      </c>
      <c r="Y23" s="24">
        <f t="shared" si="35"/>
        <v>0</v>
      </c>
      <c r="Z23" s="24">
        <f t="shared" si="36"/>
        <v>1</v>
      </c>
      <c r="AA23" s="24">
        <f t="shared" si="37"/>
        <v>1</v>
      </c>
      <c r="AB23" s="24">
        <f t="shared" si="38"/>
        <v>0</v>
      </c>
      <c r="AC23" s="25">
        <f t="shared" si="39"/>
        <v>0</v>
      </c>
      <c r="AD23" s="25">
        <f t="shared" si="40"/>
        <v>0</v>
      </c>
      <c r="AE23" s="25">
        <f t="shared" si="41"/>
        <v>0</v>
      </c>
      <c r="AF23" s="25" t="str">
        <f t="shared" si="42"/>
        <v/>
      </c>
      <c r="AG23" s="25" t="str">
        <f t="shared" si="43"/>
        <v/>
      </c>
      <c r="AH23" s="25" t="str">
        <f t="shared" si="44"/>
        <v/>
      </c>
      <c r="AI23" s="25">
        <f>IF(ISERROR(VLOOKUP(K23,割合DB!$A:$B,2,FALSE))=TRUE,100,VLOOKUP(K23,割合DB!$A:$B,2,FALSE))</f>
        <v>100</v>
      </c>
      <c r="AJ23" s="25">
        <f>IF(ISERROR(VLOOKUP(L23,割合DB!$A:$B,2,FALSE))=TRUE,100,VLOOKUP(L23,割合DB!$A:$B,2,FALSE))</f>
        <v>100</v>
      </c>
      <c r="AK23" s="25">
        <f>IF(ISERROR(VLOOKUP(M23,割合DB!$A:$B,2,FALSE))=TRUE,100,VLOOKUP(M23,割合DB!$A:$B,2,FALSE))</f>
        <v>100</v>
      </c>
      <c r="AL23" s="25">
        <f t="shared" si="45"/>
        <v>0</v>
      </c>
      <c r="AM23" s="18">
        <f t="shared" si="46"/>
        <v>0</v>
      </c>
      <c r="AN23" s="18">
        <f t="shared" si="47"/>
        <v>0</v>
      </c>
      <c r="AO23" s="18">
        <f t="shared" si="16"/>
        <v>0</v>
      </c>
      <c r="AP23" s="18">
        <f>IF($C23="人工面",0,IF($G23="",70,IF($D23="湿性環境",VLOOKUP($G23,環境タイプⅡによる点数DB!$A:$B,2,FALSE),IF($D23="樹林",VLOOKUP($G23,環境タイプⅡによる点数DB!$A:$C,3,FALSE),IF($D23="低木・草地",VLOOKUP($G23,環境タイプⅡによる点数DB!$A:$D,4,FALSE),0)))))</f>
        <v>70</v>
      </c>
      <c r="AQ23" s="24" t="str">
        <f>$H23&amp;"in"&amp;基本情報!$C$13</f>
        <v>in</v>
      </c>
      <c r="AR23" s="24">
        <f t="shared" si="17"/>
        <v>0</v>
      </c>
      <c r="AS23" s="24">
        <f>IF($H23="",0,IF($D23="樹林",IF(ISERROR(VLOOKUP($V23,市町村・植物種ごとの樹林点数DB!$A:$F,6,FALSE))=TRUE,10,VLOOKUP($V23,市町村・植物種ごとの樹林点数DB!$A:$F,6,FALSE)),IF($D23="低木・草地",IF(OR($H23="【ススキ】・【ネザサ】・【チガヤ】",$H23="不明"),45,10),0)))</f>
        <v>0</v>
      </c>
      <c r="AT23" s="24">
        <f t="shared" si="18"/>
        <v>0</v>
      </c>
      <c r="AU23" s="24">
        <f t="shared" si="19"/>
        <v>1</v>
      </c>
      <c r="AV23" s="24">
        <f t="shared" si="20"/>
        <v>0</v>
      </c>
      <c r="AW23" s="24">
        <f t="shared" si="21"/>
        <v>1</v>
      </c>
      <c r="AX23" s="25">
        <f t="shared" si="48"/>
        <v>0</v>
      </c>
      <c r="AY23" s="25">
        <f t="shared" si="49"/>
        <v>0</v>
      </c>
      <c r="AZ23" s="25">
        <f t="shared" si="50"/>
        <v>0</v>
      </c>
      <c r="BA23" s="25" t="str">
        <f t="shared" si="51"/>
        <v/>
      </c>
      <c r="BB23" s="25" t="str">
        <f t="shared" si="52"/>
        <v/>
      </c>
      <c r="BC23" s="25" t="str">
        <f t="shared" si="53"/>
        <v/>
      </c>
      <c r="BD23" s="25">
        <f>IF(ISERROR(VLOOKUP($K23,割合DB!$A:$B,2,FALSE))=TRUE,0,VLOOKUP($K23,割合DB!$A:$B,2,FALSE))</f>
        <v>0</v>
      </c>
      <c r="BE23" s="25">
        <f>IF(ISERROR(VLOOKUP($L23,割合DB!$A:$B,2,FALSE))=TRUE,0,VLOOKUP($L23,割合DB!$A:$B,2,FALSE))</f>
        <v>0</v>
      </c>
      <c r="BF23" s="25">
        <f>IF(ISERROR(VLOOKUP($M23,割合DB!$A:$B,2,FALSE))=TRUE,0,VLOOKUP($M23,割合DB!$A:$B,2,FALSE))</f>
        <v>0</v>
      </c>
      <c r="BG23" s="25">
        <f t="shared" si="54"/>
        <v>100</v>
      </c>
      <c r="BH23" s="18">
        <f t="shared" si="55"/>
        <v>100</v>
      </c>
      <c r="BI23" s="18">
        <f t="shared" si="32"/>
        <v>1</v>
      </c>
      <c r="BJ23" s="176"/>
      <c r="BK23" s="176"/>
      <c r="BL23" s="176"/>
      <c r="BM23" s="176"/>
      <c r="BN23" s="176"/>
      <c r="BO23" s="176"/>
      <c r="BP23" s="176"/>
      <c r="BQ23" s="176"/>
      <c r="BR23" s="176"/>
      <c r="BS23" s="176"/>
      <c r="BT23" s="176"/>
      <c r="BU23" s="176"/>
      <c r="BV23" s="176"/>
      <c r="BW23" s="176"/>
      <c r="BX23" s="176"/>
      <c r="BY23" s="176"/>
      <c r="BZ23" s="176"/>
      <c r="CA23" s="176"/>
    </row>
    <row r="24" spans="1:79" ht="27" customHeight="1" x14ac:dyDescent="0.15">
      <c r="A24" s="30" t="s">
        <v>516</v>
      </c>
      <c r="B24" s="31" t="str">
        <f>IF('環境条件(竣工時)'!B24="","",'環境条件(竣工時)'!B24)</f>
        <v/>
      </c>
      <c r="C24" s="31" t="str">
        <f>IF('環境条件(竣工時)'!C24="","",'環境条件(竣工時)'!C24)</f>
        <v/>
      </c>
      <c r="D24" s="31" t="str">
        <f>IF('環境条件(竣工時)'!D24="","",'環境条件(竣工時)'!D24)</f>
        <v/>
      </c>
      <c r="E24" s="31" t="str">
        <f>IF('環境条件(竣工時)'!E24="","",'環境条件(竣工時)'!E24)</f>
        <v/>
      </c>
      <c r="F24" s="30" t="str">
        <f>IF('環境条件(竣工時)'!F24="","",'環境条件(竣工時)'!F24)</f>
        <v/>
      </c>
      <c r="G24" s="21"/>
      <c r="H24" s="22"/>
      <c r="I24" s="22"/>
      <c r="J24" s="22"/>
      <c r="K24" s="23"/>
      <c r="L24" s="23"/>
      <c r="M24" s="23"/>
      <c r="N24" s="146"/>
      <c r="O24" s="40">
        <f t="shared" si="33"/>
        <v>0</v>
      </c>
      <c r="P24" s="183" t="str">
        <f t="shared" si="34"/>
        <v/>
      </c>
      <c r="S24" s="18">
        <f t="shared" si="31"/>
        <v>0</v>
      </c>
      <c r="T24" s="18">
        <f t="shared" si="1"/>
        <v>0</v>
      </c>
      <c r="U24" s="18">
        <f>IF(C24="人工面",0,IF(G24="",0,IF(D24="湿性環境",VLOOKUP(G24,環境タイプⅡによる点数DB!A:B,2,FALSE),IF(D24="樹林",VLOOKUP(G24,環境タイプⅡによる点数DB!A:C,3,FALSE),IF(D24="低木・草地",VLOOKUP(G24,環境タイプⅡによる点数DB!A:D,4,FALSE),0)))))</f>
        <v>0</v>
      </c>
      <c r="V24" s="24" t="str">
        <f>$H24&amp;"in"&amp;基本情報!$C$13</f>
        <v>in</v>
      </c>
      <c r="W24" s="24">
        <f t="shared" si="2"/>
        <v>0</v>
      </c>
      <c r="X24" s="24">
        <f>IF($H24="",0,IF($D24="樹林",IF(ISERROR(VLOOKUP($V24,市町村・植物種ごとの樹林点数DB!$A:$G,7,FALSE))=TRUE,20,VLOOKUP($V24,市町村・植物種ごとの樹林点数DB!$A:$G,7,FALSE)),IF($D24="低木・草地",IF($H24="【ススキ】・【ネザサ】・【チガヤ】",45,10),0)))</f>
        <v>0</v>
      </c>
      <c r="Y24" s="24">
        <f t="shared" si="35"/>
        <v>0</v>
      </c>
      <c r="Z24" s="24">
        <f t="shared" si="36"/>
        <v>1</v>
      </c>
      <c r="AA24" s="24">
        <f t="shared" si="37"/>
        <v>1</v>
      </c>
      <c r="AB24" s="24">
        <f t="shared" si="38"/>
        <v>0</v>
      </c>
      <c r="AC24" s="25">
        <f t="shared" si="39"/>
        <v>0</v>
      </c>
      <c r="AD24" s="25">
        <f t="shared" si="40"/>
        <v>0</v>
      </c>
      <c r="AE24" s="25">
        <f t="shared" si="41"/>
        <v>0</v>
      </c>
      <c r="AF24" s="25" t="str">
        <f t="shared" si="42"/>
        <v/>
      </c>
      <c r="AG24" s="25" t="str">
        <f t="shared" si="43"/>
        <v/>
      </c>
      <c r="AH24" s="25" t="str">
        <f t="shared" si="44"/>
        <v/>
      </c>
      <c r="AI24" s="25">
        <f>IF(ISERROR(VLOOKUP(K24,割合DB!$A:$B,2,FALSE))=TRUE,100,VLOOKUP(K24,割合DB!$A:$B,2,FALSE))</f>
        <v>100</v>
      </c>
      <c r="AJ24" s="25">
        <f>IF(ISERROR(VLOOKUP(L24,割合DB!$A:$B,2,FALSE))=TRUE,100,VLOOKUP(L24,割合DB!$A:$B,2,FALSE))</f>
        <v>100</v>
      </c>
      <c r="AK24" s="25">
        <f>IF(ISERROR(VLOOKUP(M24,割合DB!$A:$B,2,FALSE))=TRUE,100,VLOOKUP(M24,割合DB!$A:$B,2,FALSE))</f>
        <v>100</v>
      </c>
      <c r="AL24" s="25">
        <f t="shared" si="45"/>
        <v>0</v>
      </c>
      <c r="AM24" s="18">
        <f t="shared" si="46"/>
        <v>0</v>
      </c>
      <c r="AN24" s="18">
        <f t="shared" si="47"/>
        <v>0</v>
      </c>
      <c r="AO24" s="18">
        <f t="shared" si="16"/>
        <v>0</v>
      </c>
      <c r="AP24" s="18">
        <f>IF($C24="人工面",0,IF($G24="",70,IF($D24="湿性環境",VLOOKUP($G24,環境タイプⅡによる点数DB!$A:$B,2,FALSE),IF($D24="樹林",VLOOKUP($G24,環境タイプⅡによる点数DB!$A:$C,3,FALSE),IF($D24="低木・草地",VLOOKUP($G24,環境タイプⅡによる点数DB!$A:$D,4,FALSE),0)))))</f>
        <v>70</v>
      </c>
      <c r="AQ24" s="24" t="str">
        <f>$H24&amp;"in"&amp;基本情報!$C$13</f>
        <v>in</v>
      </c>
      <c r="AR24" s="24">
        <f t="shared" si="17"/>
        <v>0</v>
      </c>
      <c r="AS24" s="24">
        <f>IF($H24="",0,IF($D24="樹林",IF(ISERROR(VLOOKUP($V24,市町村・植物種ごとの樹林点数DB!$A:$F,6,FALSE))=TRUE,10,VLOOKUP($V24,市町村・植物種ごとの樹林点数DB!$A:$F,6,FALSE)),IF($D24="低木・草地",IF(OR($H24="【ススキ】・【ネザサ】・【チガヤ】",$H24="不明"),45,10),0)))</f>
        <v>0</v>
      </c>
      <c r="AT24" s="24">
        <f t="shared" si="18"/>
        <v>0</v>
      </c>
      <c r="AU24" s="24">
        <f t="shared" si="19"/>
        <v>1</v>
      </c>
      <c r="AV24" s="24">
        <f t="shared" si="20"/>
        <v>0</v>
      </c>
      <c r="AW24" s="24">
        <f t="shared" si="21"/>
        <v>1</v>
      </c>
      <c r="AX24" s="25">
        <f t="shared" si="48"/>
        <v>0</v>
      </c>
      <c r="AY24" s="25">
        <f t="shared" si="49"/>
        <v>0</v>
      </c>
      <c r="AZ24" s="25">
        <f t="shared" si="50"/>
        <v>0</v>
      </c>
      <c r="BA24" s="25" t="str">
        <f t="shared" si="51"/>
        <v/>
      </c>
      <c r="BB24" s="25" t="str">
        <f t="shared" si="52"/>
        <v/>
      </c>
      <c r="BC24" s="25" t="str">
        <f t="shared" si="53"/>
        <v/>
      </c>
      <c r="BD24" s="25">
        <f>IF(ISERROR(VLOOKUP($K24,割合DB!$A:$B,2,FALSE))=TRUE,0,VLOOKUP($K24,割合DB!$A:$B,2,FALSE))</f>
        <v>0</v>
      </c>
      <c r="BE24" s="25">
        <f>IF(ISERROR(VLOOKUP($L24,割合DB!$A:$B,2,FALSE))=TRUE,0,VLOOKUP($L24,割合DB!$A:$B,2,FALSE))</f>
        <v>0</v>
      </c>
      <c r="BF24" s="25">
        <f>IF(ISERROR(VLOOKUP($M24,割合DB!$A:$B,2,FALSE))=TRUE,0,VLOOKUP($M24,割合DB!$A:$B,2,FALSE))</f>
        <v>0</v>
      </c>
      <c r="BG24" s="25">
        <f t="shared" si="54"/>
        <v>100</v>
      </c>
      <c r="BH24" s="18">
        <f t="shared" si="55"/>
        <v>100</v>
      </c>
      <c r="BI24" s="18">
        <f t="shared" si="32"/>
        <v>1</v>
      </c>
      <c r="BJ24" s="176"/>
      <c r="BK24" s="176"/>
      <c r="BL24" s="176"/>
      <c r="BM24" s="176"/>
      <c r="BN24" s="176"/>
      <c r="BO24" s="176"/>
      <c r="BP24" s="176"/>
      <c r="BQ24" s="176"/>
      <c r="BR24" s="176"/>
      <c r="BS24" s="176"/>
      <c r="BT24" s="176"/>
      <c r="BU24" s="176"/>
      <c r="BV24" s="176"/>
      <c r="BW24" s="176"/>
      <c r="BX24" s="176"/>
      <c r="BY24" s="176"/>
      <c r="BZ24" s="176"/>
      <c r="CA24" s="176"/>
    </row>
    <row r="25" spans="1:79" ht="27" customHeight="1" x14ac:dyDescent="0.15">
      <c r="A25" s="30" t="s">
        <v>517</v>
      </c>
      <c r="B25" s="31" t="str">
        <f>IF('環境条件(竣工時)'!B25="","",'環境条件(竣工時)'!B25)</f>
        <v/>
      </c>
      <c r="C25" s="31" t="str">
        <f>IF('環境条件(竣工時)'!C25="","",'環境条件(竣工時)'!C25)</f>
        <v/>
      </c>
      <c r="D25" s="31" t="str">
        <f>IF('環境条件(竣工時)'!D25="","",'環境条件(竣工時)'!D25)</f>
        <v/>
      </c>
      <c r="E25" s="31" t="str">
        <f>IF('環境条件(竣工時)'!E25="","",'環境条件(竣工時)'!E25)</f>
        <v/>
      </c>
      <c r="F25" s="30" t="str">
        <f>IF('環境条件(竣工時)'!F25="","",'環境条件(竣工時)'!F25)</f>
        <v/>
      </c>
      <c r="G25" s="21"/>
      <c r="H25" s="22"/>
      <c r="I25" s="22"/>
      <c r="J25" s="22"/>
      <c r="K25" s="23"/>
      <c r="L25" s="23"/>
      <c r="M25" s="23"/>
      <c r="N25" s="146"/>
      <c r="O25" s="40">
        <f t="shared" si="33"/>
        <v>0</v>
      </c>
      <c r="P25" s="183" t="str">
        <f t="shared" si="34"/>
        <v/>
      </c>
      <c r="S25" s="18">
        <f t="shared" si="31"/>
        <v>0</v>
      </c>
      <c r="T25" s="18">
        <f t="shared" si="1"/>
        <v>0</v>
      </c>
      <c r="U25" s="18">
        <f>IF(C25="人工面",0,IF(G25="",0,IF(D25="湿性環境",VLOOKUP(G25,環境タイプⅡによる点数DB!A:B,2,FALSE),IF(D25="樹林",VLOOKUP(G25,環境タイプⅡによる点数DB!A:C,3,FALSE),IF(D25="低木・草地",VLOOKUP(G25,環境タイプⅡによる点数DB!A:D,4,FALSE),0)))))</f>
        <v>0</v>
      </c>
      <c r="V25" s="24" t="str">
        <f>$H25&amp;"in"&amp;基本情報!$C$13</f>
        <v>in</v>
      </c>
      <c r="W25" s="24">
        <f t="shared" si="2"/>
        <v>0</v>
      </c>
      <c r="X25" s="24">
        <f>IF($H25="",0,IF($D25="樹林",IF(ISERROR(VLOOKUP($V25,市町村・植物種ごとの樹林点数DB!$A:$G,7,FALSE))=TRUE,20,VLOOKUP($V25,市町村・植物種ごとの樹林点数DB!$A:$G,7,FALSE)),IF($D25="低木・草地",IF($H25="【ススキ】・【ネザサ】・【チガヤ】",45,10),0)))</f>
        <v>0</v>
      </c>
      <c r="Y25" s="24">
        <f t="shared" si="35"/>
        <v>0</v>
      </c>
      <c r="Z25" s="24">
        <f t="shared" si="36"/>
        <v>1</v>
      </c>
      <c r="AA25" s="24">
        <f t="shared" si="37"/>
        <v>1</v>
      </c>
      <c r="AB25" s="24">
        <f t="shared" si="38"/>
        <v>0</v>
      </c>
      <c r="AC25" s="25">
        <f t="shared" si="39"/>
        <v>0</v>
      </c>
      <c r="AD25" s="25">
        <f t="shared" si="40"/>
        <v>0</v>
      </c>
      <c r="AE25" s="25">
        <f t="shared" si="41"/>
        <v>0</v>
      </c>
      <c r="AF25" s="25" t="str">
        <f t="shared" si="42"/>
        <v/>
      </c>
      <c r="AG25" s="25" t="str">
        <f t="shared" si="43"/>
        <v/>
      </c>
      <c r="AH25" s="25" t="str">
        <f t="shared" si="44"/>
        <v/>
      </c>
      <c r="AI25" s="25">
        <f>IF(ISERROR(VLOOKUP(K25,割合DB!$A:$B,2,FALSE))=TRUE,100,VLOOKUP(K25,割合DB!$A:$B,2,FALSE))</f>
        <v>100</v>
      </c>
      <c r="AJ25" s="25">
        <f>IF(ISERROR(VLOOKUP(L25,割合DB!$A:$B,2,FALSE))=TRUE,100,VLOOKUP(L25,割合DB!$A:$B,2,FALSE))</f>
        <v>100</v>
      </c>
      <c r="AK25" s="25">
        <f>IF(ISERROR(VLOOKUP(M25,割合DB!$A:$B,2,FALSE))=TRUE,100,VLOOKUP(M25,割合DB!$A:$B,2,FALSE))</f>
        <v>100</v>
      </c>
      <c r="AL25" s="25">
        <f t="shared" si="45"/>
        <v>0</v>
      </c>
      <c r="AM25" s="18">
        <f t="shared" si="46"/>
        <v>0</v>
      </c>
      <c r="AN25" s="18">
        <f t="shared" si="47"/>
        <v>0</v>
      </c>
      <c r="AO25" s="18">
        <f t="shared" si="16"/>
        <v>0</v>
      </c>
      <c r="AP25" s="18">
        <f>IF($C25="人工面",0,IF($G25="",70,IF($D25="湿性環境",VLOOKUP($G25,環境タイプⅡによる点数DB!$A:$B,2,FALSE),IF($D25="樹林",VLOOKUP($G25,環境タイプⅡによる点数DB!$A:$C,3,FALSE),IF($D25="低木・草地",VLOOKUP($G25,環境タイプⅡによる点数DB!$A:$D,4,FALSE),0)))))</f>
        <v>70</v>
      </c>
      <c r="AQ25" s="24" t="str">
        <f>$H25&amp;"in"&amp;基本情報!$C$13</f>
        <v>in</v>
      </c>
      <c r="AR25" s="24">
        <f t="shared" si="17"/>
        <v>0</v>
      </c>
      <c r="AS25" s="24">
        <f>IF($H25="",0,IF($D25="樹林",IF(ISERROR(VLOOKUP($V25,市町村・植物種ごとの樹林点数DB!$A:$F,6,FALSE))=TRUE,10,VLOOKUP($V25,市町村・植物種ごとの樹林点数DB!$A:$F,6,FALSE)),IF($D25="低木・草地",IF(OR($H25="【ススキ】・【ネザサ】・【チガヤ】",$H25="不明"),45,10),0)))</f>
        <v>0</v>
      </c>
      <c r="AT25" s="24">
        <f t="shared" si="18"/>
        <v>0</v>
      </c>
      <c r="AU25" s="24">
        <f t="shared" si="19"/>
        <v>1</v>
      </c>
      <c r="AV25" s="24">
        <f t="shared" si="20"/>
        <v>0</v>
      </c>
      <c r="AW25" s="24">
        <f t="shared" si="21"/>
        <v>1</v>
      </c>
      <c r="AX25" s="25">
        <f t="shared" si="48"/>
        <v>0</v>
      </c>
      <c r="AY25" s="25">
        <f t="shared" si="49"/>
        <v>0</v>
      </c>
      <c r="AZ25" s="25">
        <f t="shared" si="50"/>
        <v>0</v>
      </c>
      <c r="BA25" s="25" t="str">
        <f t="shared" si="51"/>
        <v/>
      </c>
      <c r="BB25" s="25" t="str">
        <f t="shared" si="52"/>
        <v/>
      </c>
      <c r="BC25" s="25" t="str">
        <f t="shared" si="53"/>
        <v/>
      </c>
      <c r="BD25" s="25">
        <f>IF(ISERROR(VLOOKUP($K25,割合DB!$A:$B,2,FALSE))=TRUE,0,VLOOKUP($K25,割合DB!$A:$B,2,FALSE))</f>
        <v>0</v>
      </c>
      <c r="BE25" s="25">
        <f>IF(ISERROR(VLOOKUP($L25,割合DB!$A:$B,2,FALSE))=TRUE,0,VLOOKUP($L25,割合DB!$A:$B,2,FALSE))</f>
        <v>0</v>
      </c>
      <c r="BF25" s="25">
        <f>IF(ISERROR(VLOOKUP($M25,割合DB!$A:$B,2,FALSE))=TRUE,0,VLOOKUP($M25,割合DB!$A:$B,2,FALSE))</f>
        <v>0</v>
      </c>
      <c r="BG25" s="25">
        <f t="shared" si="54"/>
        <v>100</v>
      </c>
      <c r="BH25" s="18">
        <f t="shared" si="55"/>
        <v>100</v>
      </c>
      <c r="BI25" s="18">
        <f t="shared" si="32"/>
        <v>1</v>
      </c>
      <c r="BJ25" s="176"/>
      <c r="BK25" s="176"/>
      <c r="BL25" s="176"/>
      <c r="BM25" s="176"/>
      <c r="BN25" s="176"/>
      <c r="BO25" s="176"/>
      <c r="BP25" s="176"/>
      <c r="BQ25" s="176"/>
      <c r="BR25" s="176"/>
      <c r="BS25" s="176"/>
      <c r="BT25" s="176"/>
      <c r="BU25" s="176"/>
      <c r="BV25" s="176"/>
      <c r="BW25" s="176"/>
      <c r="BX25" s="176"/>
      <c r="BY25" s="176"/>
      <c r="BZ25" s="176"/>
      <c r="CA25" s="176"/>
    </row>
    <row r="26" spans="1:79" ht="27" customHeight="1" x14ac:dyDescent="0.15">
      <c r="A26" s="30" t="s">
        <v>518</v>
      </c>
      <c r="B26" s="31" t="str">
        <f>IF('環境条件(竣工時)'!B26="","",'環境条件(竣工時)'!B26)</f>
        <v/>
      </c>
      <c r="C26" s="31" t="str">
        <f>IF('環境条件(竣工時)'!C26="","",'環境条件(竣工時)'!C26)</f>
        <v/>
      </c>
      <c r="D26" s="31" t="str">
        <f>IF('環境条件(竣工時)'!D26="","",'環境条件(竣工時)'!D26)</f>
        <v/>
      </c>
      <c r="E26" s="31" t="str">
        <f>IF('環境条件(竣工時)'!E26="","",'環境条件(竣工時)'!E26)</f>
        <v/>
      </c>
      <c r="F26" s="30" t="str">
        <f>IF('環境条件(竣工時)'!F26="","",'環境条件(竣工時)'!F26)</f>
        <v/>
      </c>
      <c r="G26" s="21"/>
      <c r="H26" s="22"/>
      <c r="I26" s="22"/>
      <c r="J26" s="22"/>
      <c r="K26" s="23"/>
      <c r="L26" s="23"/>
      <c r="M26" s="23"/>
      <c r="N26" s="146"/>
      <c r="O26" s="40">
        <f t="shared" si="33"/>
        <v>0</v>
      </c>
      <c r="P26" s="183" t="str">
        <f t="shared" si="34"/>
        <v/>
      </c>
      <c r="S26" s="18">
        <f t="shared" si="31"/>
        <v>0</v>
      </c>
      <c r="T26" s="18">
        <f t="shared" si="1"/>
        <v>0</v>
      </c>
      <c r="U26" s="18">
        <f>IF(C26="人工面",0,IF(G26="",0,IF(D26="湿性環境",VLOOKUP(G26,環境タイプⅡによる点数DB!A:B,2,FALSE),IF(D26="樹林",VLOOKUP(G26,環境タイプⅡによる点数DB!A:C,3,FALSE),IF(D26="低木・草地",VLOOKUP(G26,環境タイプⅡによる点数DB!A:D,4,FALSE),0)))))</f>
        <v>0</v>
      </c>
      <c r="V26" s="24" t="str">
        <f>$H26&amp;"in"&amp;基本情報!$C$13</f>
        <v>in</v>
      </c>
      <c r="W26" s="24">
        <f t="shared" si="2"/>
        <v>0</v>
      </c>
      <c r="X26" s="24">
        <f>IF($H26="",0,IF($D26="樹林",IF(ISERROR(VLOOKUP($V26,市町村・植物種ごとの樹林点数DB!$A:$G,7,FALSE))=TRUE,20,VLOOKUP($V26,市町村・植物種ごとの樹林点数DB!$A:$G,7,FALSE)),IF($D26="低木・草地",IF($H26="【ススキ】・【ネザサ】・【チガヤ】",45,10),0)))</f>
        <v>0</v>
      </c>
      <c r="Y26" s="24">
        <f t="shared" si="35"/>
        <v>0</v>
      </c>
      <c r="Z26" s="24">
        <f t="shared" si="36"/>
        <v>1</v>
      </c>
      <c r="AA26" s="24">
        <f t="shared" si="37"/>
        <v>1</v>
      </c>
      <c r="AB26" s="24">
        <f t="shared" si="38"/>
        <v>0</v>
      </c>
      <c r="AC26" s="25">
        <f t="shared" si="39"/>
        <v>0</v>
      </c>
      <c r="AD26" s="25">
        <f t="shared" si="40"/>
        <v>0</v>
      </c>
      <c r="AE26" s="25">
        <f t="shared" si="41"/>
        <v>0</v>
      </c>
      <c r="AF26" s="25" t="str">
        <f t="shared" si="42"/>
        <v/>
      </c>
      <c r="AG26" s="25" t="str">
        <f t="shared" si="43"/>
        <v/>
      </c>
      <c r="AH26" s="25" t="str">
        <f t="shared" si="44"/>
        <v/>
      </c>
      <c r="AI26" s="25">
        <f>IF(ISERROR(VLOOKUP(K26,割合DB!$A:$B,2,FALSE))=TRUE,100,VLOOKUP(K26,割合DB!$A:$B,2,FALSE))</f>
        <v>100</v>
      </c>
      <c r="AJ26" s="25">
        <f>IF(ISERROR(VLOOKUP(L26,割合DB!$A:$B,2,FALSE))=TRUE,100,VLOOKUP(L26,割合DB!$A:$B,2,FALSE))</f>
        <v>100</v>
      </c>
      <c r="AK26" s="25">
        <f>IF(ISERROR(VLOOKUP(M26,割合DB!$A:$B,2,FALSE))=TRUE,100,VLOOKUP(M26,割合DB!$A:$B,2,FALSE))</f>
        <v>100</v>
      </c>
      <c r="AL26" s="25">
        <f t="shared" si="45"/>
        <v>0</v>
      </c>
      <c r="AM26" s="18">
        <f t="shared" si="46"/>
        <v>0</v>
      </c>
      <c r="AN26" s="18">
        <f t="shared" si="47"/>
        <v>0</v>
      </c>
      <c r="AO26" s="18">
        <f t="shared" si="16"/>
        <v>0</v>
      </c>
      <c r="AP26" s="18">
        <f>IF($C26="人工面",0,IF($G26="",70,IF($D26="湿性環境",VLOOKUP($G26,環境タイプⅡによる点数DB!$A:$B,2,FALSE),IF($D26="樹林",VLOOKUP($G26,環境タイプⅡによる点数DB!$A:$C,3,FALSE),IF($D26="低木・草地",VLOOKUP($G26,環境タイプⅡによる点数DB!$A:$D,4,FALSE),0)))))</f>
        <v>70</v>
      </c>
      <c r="AQ26" s="24" t="str">
        <f>$H26&amp;"in"&amp;基本情報!$C$13</f>
        <v>in</v>
      </c>
      <c r="AR26" s="24">
        <f t="shared" si="17"/>
        <v>0</v>
      </c>
      <c r="AS26" s="24">
        <f>IF($H26="",0,IF($D26="樹林",IF(ISERROR(VLOOKUP($V26,市町村・植物種ごとの樹林点数DB!$A:$F,6,FALSE))=TRUE,10,VLOOKUP($V26,市町村・植物種ごとの樹林点数DB!$A:$F,6,FALSE)),IF($D26="低木・草地",IF(OR($H26="【ススキ】・【ネザサ】・【チガヤ】",$H26="不明"),45,10),0)))</f>
        <v>0</v>
      </c>
      <c r="AT26" s="24">
        <f t="shared" si="18"/>
        <v>0</v>
      </c>
      <c r="AU26" s="24">
        <f t="shared" si="19"/>
        <v>1</v>
      </c>
      <c r="AV26" s="24">
        <f t="shared" si="20"/>
        <v>0</v>
      </c>
      <c r="AW26" s="24">
        <f t="shared" si="21"/>
        <v>1</v>
      </c>
      <c r="AX26" s="25">
        <f t="shared" si="48"/>
        <v>0</v>
      </c>
      <c r="AY26" s="25">
        <f t="shared" si="49"/>
        <v>0</v>
      </c>
      <c r="AZ26" s="25">
        <f t="shared" si="50"/>
        <v>0</v>
      </c>
      <c r="BA26" s="25" t="str">
        <f t="shared" si="51"/>
        <v/>
      </c>
      <c r="BB26" s="25" t="str">
        <f t="shared" si="52"/>
        <v/>
      </c>
      <c r="BC26" s="25" t="str">
        <f t="shared" si="53"/>
        <v/>
      </c>
      <c r="BD26" s="25">
        <f>IF(ISERROR(VLOOKUP($K26,割合DB!$A:$B,2,FALSE))=TRUE,0,VLOOKUP($K26,割合DB!$A:$B,2,FALSE))</f>
        <v>0</v>
      </c>
      <c r="BE26" s="25">
        <f>IF(ISERROR(VLOOKUP($L26,割合DB!$A:$B,2,FALSE))=TRUE,0,VLOOKUP($L26,割合DB!$A:$B,2,FALSE))</f>
        <v>0</v>
      </c>
      <c r="BF26" s="25">
        <f>IF(ISERROR(VLOOKUP($M26,割合DB!$A:$B,2,FALSE))=TRUE,0,VLOOKUP($M26,割合DB!$A:$B,2,FALSE))</f>
        <v>0</v>
      </c>
      <c r="BG26" s="25">
        <f t="shared" si="54"/>
        <v>100</v>
      </c>
      <c r="BH26" s="18">
        <f t="shared" si="55"/>
        <v>100</v>
      </c>
      <c r="BI26" s="18">
        <f t="shared" si="32"/>
        <v>1</v>
      </c>
      <c r="BJ26" s="176"/>
      <c r="BK26" s="176"/>
      <c r="BL26" s="176"/>
      <c r="BM26" s="176"/>
      <c r="BN26" s="176"/>
      <c r="BO26" s="176"/>
      <c r="BP26" s="176"/>
      <c r="BQ26" s="176"/>
      <c r="BR26" s="176"/>
      <c r="BS26" s="176"/>
      <c r="BT26" s="176"/>
      <c r="BU26" s="176"/>
      <c r="BV26" s="176"/>
      <c r="BW26" s="176"/>
      <c r="BX26" s="176"/>
      <c r="BY26" s="176"/>
      <c r="BZ26" s="176"/>
      <c r="CA26" s="176"/>
    </row>
    <row r="27" spans="1:79" ht="27" customHeight="1" x14ac:dyDescent="0.15">
      <c r="A27" s="30" t="s">
        <v>519</v>
      </c>
      <c r="B27" s="31" t="str">
        <f>IF('環境条件(竣工時)'!B27="","",'環境条件(竣工時)'!B27)</f>
        <v/>
      </c>
      <c r="C27" s="31" t="str">
        <f>IF('環境条件(竣工時)'!C27="","",'環境条件(竣工時)'!C27)</f>
        <v/>
      </c>
      <c r="D27" s="31" t="str">
        <f>IF('環境条件(竣工時)'!D27="","",'環境条件(竣工時)'!D27)</f>
        <v/>
      </c>
      <c r="E27" s="31" t="str">
        <f>IF('環境条件(竣工時)'!E27="","",'環境条件(竣工時)'!E27)</f>
        <v/>
      </c>
      <c r="F27" s="30" t="str">
        <f>IF('環境条件(竣工時)'!F27="","",'環境条件(竣工時)'!F27)</f>
        <v/>
      </c>
      <c r="G27" s="21"/>
      <c r="H27" s="22"/>
      <c r="I27" s="22"/>
      <c r="J27" s="22"/>
      <c r="K27" s="23"/>
      <c r="L27" s="23"/>
      <c r="M27" s="23"/>
      <c r="N27" s="146"/>
      <c r="O27" s="40">
        <f t="shared" si="33"/>
        <v>0</v>
      </c>
      <c r="P27" s="183" t="str">
        <f t="shared" si="34"/>
        <v/>
      </c>
      <c r="S27" s="18">
        <f t="shared" si="31"/>
        <v>0</v>
      </c>
      <c r="T27" s="18">
        <f t="shared" si="1"/>
        <v>0</v>
      </c>
      <c r="U27" s="18">
        <f>IF(C27="人工面",0,IF(G27="",0,IF(D27="湿性環境",VLOOKUP(G27,環境タイプⅡによる点数DB!A:B,2,FALSE),IF(D27="樹林",VLOOKUP(G27,環境タイプⅡによる点数DB!A:C,3,FALSE),IF(D27="低木・草地",VLOOKUP(G27,環境タイプⅡによる点数DB!A:D,4,FALSE),0)))))</f>
        <v>0</v>
      </c>
      <c r="V27" s="24" t="str">
        <f>$H27&amp;"in"&amp;基本情報!$C$13</f>
        <v>in</v>
      </c>
      <c r="W27" s="24">
        <f t="shared" si="2"/>
        <v>0</v>
      </c>
      <c r="X27" s="24">
        <f>IF($H27="",0,IF($D27="樹林",IF(ISERROR(VLOOKUP($V27,市町村・植物種ごとの樹林点数DB!$A:$G,7,FALSE))=TRUE,20,VLOOKUP($V27,市町村・植物種ごとの樹林点数DB!$A:$G,7,FALSE)),IF($D27="低木・草地",IF($H27="【ススキ】・【ネザサ】・【チガヤ】",45,10),0)))</f>
        <v>0</v>
      </c>
      <c r="Y27" s="24">
        <f t="shared" si="35"/>
        <v>0</v>
      </c>
      <c r="Z27" s="24">
        <f t="shared" si="36"/>
        <v>1</v>
      </c>
      <c r="AA27" s="24">
        <f t="shared" si="37"/>
        <v>1</v>
      </c>
      <c r="AB27" s="24">
        <f t="shared" si="38"/>
        <v>0</v>
      </c>
      <c r="AC27" s="25">
        <f t="shared" si="39"/>
        <v>0</v>
      </c>
      <c r="AD27" s="25">
        <f t="shared" si="40"/>
        <v>0</v>
      </c>
      <c r="AE27" s="25">
        <f t="shared" si="41"/>
        <v>0</v>
      </c>
      <c r="AF27" s="25" t="str">
        <f t="shared" si="42"/>
        <v/>
      </c>
      <c r="AG27" s="25" t="str">
        <f t="shared" si="43"/>
        <v/>
      </c>
      <c r="AH27" s="25" t="str">
        <f t="shared" si="44"/>
        <v/>
      </c>
      <c r="AI27" s="25">
        <f>IF(ISERROR(VLOOKUP(K27,割合DB!$A:$B,2,FALSE))=TRUE,100,VLOOKUP(K27,割合DB!$A:$B,2,FALSE))</f>
        <v>100</v>
      </c>
      <c r="AJ27" s="25">
        <f>IF(ISERROR(VLOOKUP(L27,割合DB!$A:$B,2,FALSE))=TRUE,100,VLOOKUP(L27,割合DB!$A:$B,2,FALSE))</f>
        <v>100</v>
      </c>
      <c r="AK27" s="25">
        <f>IF(ISERROR(VLOOKUP(M27,割合DB!$A:$B,2,FALSE))=TRUE,100,VLOOKUP(M27,割合DB!$A:$B,2,FALSE))</f>
        <v>100</v>
      </c>
      <c r="AL27" s="25">
        <f t="shared" si="45"/>
        <v>0</v>
      </c>
      <c r="AM27" s="18">
        <f t="shared" si="46"/>
        <v>0</v>
      </c>
      <c r="AN27" s="18">
        <f t="shared" si="47"/>
        <v>0</v>
      </c>
      <c r="AO27" s="18">
        <f t="shared" si="16"/>
        <v>0</v>
      </c>
      <c r="AP27" s="18">
        <f>IF($C27="人工面",0,IF($G27="",70,IF($D27="湿性環境",VLOOKUP($G27,環境タイプⅡによる点数DB!$A:$B,2,FALSE),IF($D27="樹林",VLOOKUP($G27,環境タイプⅡによる点数DB!$A:$C,3,FALSE),IF($D27="低木・草地",VLOOKUP($G27,環境タイプⅡによる点数DB!$A:$D,4,FALSE),0)))))</f>
        <v>70</v>
      </c>
      <c r="AQ27" s="24" t="str">
        <f>$H27&amp;"in"&amp;基本情報!$C$13</f>
        <v>in</v>
      </c>
      <c r="AR27" s="24">
        <f t="shared" si="17"/>
        <v>0</v>
      </c>
      <c r="AS27" s="24">
        <f>IF($H27="",0,IF($D27="樹林",IF(ISERROR(VLOOKUP($V27,市町村・植物種ごとの樹林点数DB!$A:$F,6,FALSE))=TRUE,10,VLOOKUP($V27,市町村・植物種ごとの樹林点数DB!$A:$F,6,FALSE)),IF($D27="低木・草地",IF(OR($H27="【ススキ】・【ネザサ】・【チガヤ】",$H27="不明"),45,10),0)))</f>
        <v>0</v>
      </c>
      <c r="AT27" s="24">
        <f t="shared" si="18"/>
        <v>0</v>
      </c>
      <c r="AU27" s="24">
        <f t="shared" si="19"/>
        <v>1</v>
      </c>
      <c r="AV27" s="24">
        <f t="shared" si="20"/>
        <v>0</v>
      </c>
      <c r="AW27" s="24">
        <f t="shared" si="21"/>
        <v>1</v>
      </c>
      <c r="AX27" s="25">
        <f t="shared" si="48"/>
        <v>0</v>
      </c>
      <c r="AY27" s="25">
        <f t="shared" si="49"/>
        <v>0</v>
      </c>
      <c r="AZ27" s="25">
        <f t="shared" si="50"/>
        <v>0</v>
      </c>
      <c r="BA27" s="25" t="str">
        <f t="shared" si="51"/>
        <v/>
      </c>
      <c r="BB27" s="25" t="str">
        <f t="shared" si="52"/>
        <v/>
      </c>
      <c r="BC27" s="25" t="str">
        <f t="shared" si="53"/>
        <v/>
      </c>
      <c r="BD27" s="25">
        <f>IF(ISERROR(VLOOKUP($K27,割合DB!$A:$B,2,FALSE))=TRUE,0,VLOOKUP($K27,割合DB!$A:$B,2,FALSE))</f>
        <v>0</v>
      </c>
      <c r="BE27" s="25">
        <f>IF(ISERROR(VLOOKUP($L27,割合DB!$A:$B,2,FALSE))=TRUE,0,VLOOKUP($L27,割合DB!$A:$B,2,FALSE))</f>
        <v>0</v>
      </c>
      <c r="BF27" s="25">
        <f>IF(ISERROR(VLOOKUP($M27,割合DB!$A:$B,2,FALSE))=TRUE,0,VLOOKUP($M27,割合DB!$A:$B,2,FALSE))</f>
        <v>0</v>
      </c>
      <c r="BG27" s="25">
        <f t="shared" si="54"/>
        <v>100</v>
      </c>
      <c r="BH27" s="18">
        <f t="shared" si="55"/>
        <v>100</v>
      </c>
      <c r="BI27" s="18">
        <f t="shared" si="32"/>
        <v>1</v>
      </c>
      <c r="BJ27" s="176"/>
      <c r="BK27" s="176"/>
      <c r="BL27" s="176"/>
      <c r="BM27" s="176"/>
      <c r="BN27" s="176"/>
      <c r="BO27" s="176"/>
      <c r="BP27" s="176"/>
      <c r="BQ27" s="176"/>
      <c r="BR27" s="176"/>
      <c r="BS27" s="176"/>
      <c r="BT27" s="176"/>
      <c r="BU27" s="176"/>
      <c r="BV27" s="176"/>
      <c r="BW27" s="176"/>
      <c r="BX27" s="176"/>
      <c r="BY27" s="176"/>
      <c r="BZ27" s="176"/>
      <c r="CA27" s="176"/>
    </row>
    <row r="28" spans="1:79" ht="27" customHeight="1" x14ac:dyDescent="0.15">
      <c r="A28" s="30" t="s">
        <v>520</v>
      </c>
      <c r="B28" s="31" t="str">
        <f>IF('環境条件(竣工時)'!B28="","",'環境条件(竣工時)'!B28)</f>
        <v/>
      </c>
      <c r="C28" s="31" t="str">
        <f>IF('環境条件(竣工時)'!C28="","",'環境条件(竣工時)'!C28)</f>
        <v/>
      </c>
      <c r="D28" s="31" t="str">
        <f>IF('環境条件(竣工時)'!D28="","",'環境条件(竣工時)'!D28)</f>
        <v/>
      </c>
      <c r="E28" s="31" t="str">
        <f>IF('環境条件(竣工時)'!E28="","",'環境条件(竣工時)'!E28)</f>
        <v/>
      </c>
      <c r="F28" s="30" t="str">
        <f>IF('環境条件(竣工時)'!F28="","",'環境条件(竣工時)'!F28)</f>
        <v/>
      </c>
      <c r="G28" s="21"/>
      <c r="H28" s="22"/>
      <c r="I28" s="22"/>
      <c r="J28" s="22"/>
      <c r="K28" s="23"/>
      <c r="L28" s="23"/>
      <c r="M28" s="23"/>
      <c r="N28" s="146"/>
      <c r="O28" s="40">
        <f t="shared" si="33"/>
        <v>0</v>
      </c>
      <c r="P28" s="183" t="str">
        <f t="shared" si="34"/>
        <v/>
      </c>
      <c r="S28" s="18">
        <f t="shared" si="31"/>
        <v>0</v>
      </c>
      <c r="T28" s="18">
        <f t="shared" si="1"/>
        <v>0</v>
      </c>
      <c r="U28" s="18">
        <f>IF(C28="人工面",0,IF(G28="",0,IF(D28="湿性環境",VLOOKUP(G28,環境タイプⅡによる点数DB!A:B,2,FALSE),IF(D28="樹林",VLOOKUP(G28,環境タイプⅡによる点数DB!A:C,3,FALSE),IF(D28="低木・草地",VLOOKUP(G28,環境タイプⅡによる点数DB!A:D,4,FALSE),0)))))</f>
        <v>0</v>
      </c>
      <c r="V28" s="24" t="str">
        <f>$H28&amp;"in"&amp;基本情報!$C$13</f>
        <v>in</v>
      </c>
      <c r="W28" s="24">
        <f t="shared" si="2"/>
        <v>0</v>
      </c>
      <c r="X28" s="24">
        <f>IF($H28="",0,IF($D28="樹林",IF(ISERROR(VLOOKUP($V28,市町村・植物種ごとの樹林点数DB!$A:$G,7,FALSE))=TRUE,20,VLOOKUP($V28,市町村・植物種ごとの樹林点数DB!$A:$G,7,FALSE)),IF($D28="低木・草地",IF($H28="【ススキ】・【ネザサ】・【チガヤ】",45,10),0)))</f>
        <v>0</v>
      </c>
      <c r="Y28" s="24">
        <f t="shared" si="35"/>
        <v>0</v>
      </c>
      <c r="Z28" s="24">
        <f t="shared" si="36"/>
        <v>1</v>
      </c>
      <c r="AA28" s="24">
        <f t="shared" si="37"/>
        <v>1</v>
      </c>
      <c r="AB28" s="24">
        <f t="shared" si="38"/>
        <v>0</v>
      </c>
      <c r="AC28" s="25">
        <f t="shared" si="39"/>
        <v>0</v>
      </c>
      <c r="AD28" s="25">
        <f t="shared" si="40"/>
        <v>0</v>
      </c>
      <c r="AE28" s="25">
        <f t="shared" si="41"/>
        <v>0</v>
      </c>
      <c r="AF28" s="25" t="str">
        <f t="shared" si="42"/>
        <v/>
      </c>
      <c r="AG28" s="25" t="str">
        <f t="shared" si="43"/>
        <v/>
      </c>
      <c r="AH28" s="25" t="str">
        <f t="shared" si="44"/>
        <v/>
      </c>
      <c r="AI28" s="25">
        <f>IF(ISERROR(VLOOKUP(K28,割合DB!$A:$B,2,FALSE))=TRUE,100,VLOOKUP(K28,割合DB!$A:$B,2,FALSE))</f>
        <v>100</v>
      </c>
      <c r="AJ28" s="25">
        <f>IF(ISERROR(VLOOKUP(L28,割合DB!$A:$B,2,FALSE))=TRUE,100,VLOOKUP(L28,割合DB!$A:$B,2,FALSE))</f>
        <v>100</v>
      </c>
      <c r="AK28" s="25">
        <f>IF(ISERROR(VLOOKUP(M28,割合DB!$A:$B,2,FALSE))=TRUE,100,VLOOKUP(M28,割合DB!$A:$B,2,FALSE))</f>
        <v>100</v>
      </c>
      <c r="AL28" s="25">
        <f t="shared" si="45"/>
        <v>0</v>
      </c>
      <c r="AM28" s="18">
        <f t="shared" si="46"/>
        <v>0</v>
      </c>
      <c r="AN28" s="18">
        <f t="shared" si="47"/>
        <v>0</v>
      </c>
      <c r="AO28" s="18">
        <f t="shared" si="16"/>
        <v>0</v>
      </c>
      <c r="AP28" s="18">
        <f>IF($C28="人工面",0,IF($G28="",70,IF($D28="湿性環境",VLOOKUP($G28,環境タイプⅡによる点数DB!$A:$B,2,FALSE),IF($D28="樹林",VLOOKUP($G28,環境タイプⅡによる点数DB!$A:$C,3,FALSE),IF($D28="低木・草地",VLOOKUP($G28,環境タイプⅡによる点数DB!$A:$D,4,FALSE),0)))))</f>
        <v>70</v>
      </c>
      <c r="AQ28" s="24" t="str">
        <f>$H28&amp;"in"&amp;基本情報!$C$13</f>
        <v>in</v>
      </c>
      <c r="AR28" s="24">
        <f t="shared" si="17"/>
        <v>0</v>
      </c>
      <c r="AS28" s="24">
        <f>IF($H28="",0,IF($D28="樹林",IF(ISERROR(VLOOKUP($V28,市町村・植物種ごとの樹林点数DB!$A:$F,6,FALSE))=TRUE,10,VLOOKUP($V28,市町村・植物種ごとの樹林点数DB!$A:$F,6,FALSE)),IF($D28="低木・草地",IF(OR($H28="【ススキ】・【ネザサ】・【チガヤ】",$H28="不明"),45,10),0)))</f>
        <v>0</v>
      </c>
      <c r="AT28" s="24">
        <f t="shared" si="18"/>
        <v>0</v>
      </c>
      <c r="AU28" s="24">
        <f t="shared" si="19"/>
        <v>1</v>
      </c>
      <c r="AV28" s="24">
        <f t="shared" si="20"/>
        <v>0</v>
      </c>
      <c r="AW28" s="24">
        <f t="shared" si="21"/>
        <v>1</v>
      </c>
      <c r="AX28" s="25">
        <f t="shared" si="48"/>
        <v>0</v>
      </c>
      <c r="AY28" s="25">
        <f t="shared" si="49"/>
        <v>0</v>
      </c>
      <c r="AZ28" s="25">
        <f t="shared" si="50"/>
        <v>0</v>
      </c>
      <c r="BA28" s="25" t="str">
        <f t="shared" si="51"/>
        <v/>
      </c>
      <c r="BB28" s="25" t="str">
        <f t="shared" si="52"/>
        <v/>
      </c>
      <c r="BC28" s="25" t="str">
        <f t="shared" si="53"/>
        <v/>
      </c>
      <c r="BD28" s="25">
        <f>IF(ISERROR(VLOOKUP($K28,割合DB!$A:$B,2,FALSE))=TRUE,0,VLOOKUP($K28,割合DB!$A:$B,2,FALSE))</f>
        <v>0</v>
      </c>
      <c r="BE28" s="25">
        <f>IF(ISERROR(VLOOKUP($L28,割合DB!$A:$B,2,FALSE))=TRUE,0,VLOOKUP($L28,割合DB!$A:$B,2,FALSE))</f>
        <v>0</v>
      </c>
      <c r="BF28" s="25">
        <f>IF(ISERROR(VLOOKUP($M28,割合DB!$A:$B,2,FALSE))=TRUE,0,VLOOKUP($M28,割合DB!$A:$B,2,FALSE))</f>
        <v>0</v>
      </c>
      <c r="BG28" s="25">
        <f t="shared" si="54"/>
        <v>100</v>
      </c>
      <c r="BH28" s="18">
        <f t="shared" si="55"/>
        <v>100</v>
      </c>
      <c r="BI28" s="18">
        <f t="shared" si="32"/>
        <v>1</v>
      </c>
      <c r="BJ28" s="176"/>
      <c r="BK28" s="176"/>
      <c r="BL28" s="176"/>
      <c r="BM28" s="176"/>
      <c r="BN28" s="176"/>
      <c r="BO28" s="176"/>
      <c r="BP28" s="176"/>
      <c r="BQ28" s="176"/>
      <c r="BR28" s="176"/>
      <c r="BS28" s="176"/>
      <c r="BT28" s="176"/>
      <c r="BU28" s="176"/>
      <c r="BV28" s="176"/>
      <c r="BW28" s="176"/>
      <c r="BX28" s="176"/>
      <c r="BY28" s="176"/>
      <c r="BZ28" s="176"/>
      <c r="CA28" s="176"/>
    </row>
    <row r="29" spans="1:79" ht="27" customHeight="1" x14ac:dyDescent="0.15">
      <c r="A29" s="30" t="s">
        <v>521</v>
      </c>
      <c r="B29" s="31" t="str">
        <f>IF('環境条件(竣工時)'!B29="","",'環境条件(竣工時)'!B29)</f>
        <v/>
      </c>
      <c r="C29" s="31" t="str">
        <f>IF('環境条件(竣工時)'!C29="","",'環境条件(竣工時)'!C29)</f>
        <v/>
      </c>
      <c r="D29" s="31" t="str">
        <f>IF('環境条件(竣工時)'!D29="","",'環境条件(竣工時)'!D29)</f>
        <v/>
      </c>
      <c r="E29" s="31" t="str">
        <f>IF('環境条件(竣工時)'!E29="","",'環境条件(竣工時)'!E29)</f>
        <v/>
      </c>
      <c r="F29" s="30" t="str">
        <f>IF('環境条件(竣工時)'!F29="","",'環境条件(竣工時)'!F29)</f>
        <v/>
      </c>
      <c r="G29" s="21"/>
      <c r="H29" s="22"/>
      <c r="I29" s="22"/>
      <c r="J29" s="22"/>
      <c r="K29" s="23"/>
      <c r="L29" s="23"/>
      <c r="M29" s="23"/>
      <c r="N29" s="146"/>
      <c r="O29" s="40">
        <f t="shared" si="33"/>
        <v>0</v>
      </c>
      <c r="P29" s="183" t="str">
        <f t="shared" si="34"/>
        <v/>
      </c>
      <c r="S29" s="18">
        <f t="shared" si="31"/>
        <v>0</v>
      </c>
      <c r="T29" s="18">
        <f t="shared" si="1"/>
        <v>0</v>
      </c>
      <c r="U29" s="18">
        <f>IF(C29="人工面",0,IF(G29="",0,IF(D29="湿性環境",VLOOKUP(G29,環境タイプⅡによる点数DB!A:B,2,FALSE),IF(D29="樹林",VLOOKUP(G29,環境タイプⅡによる点数DB!A:C,3,FALSE),IF(D29="低木・草地",VLOOKUP(G29,環境タイプⅡによる点数DB!A:D,4,FALSE),0)))))</f>
        <v>0</v>
      </c>
      <c r="V29" s="24" t="str">
        <f>$H29&amp;"in"&amp;基本情報!$C$13</f>
        <v>in</v>
      </c>
      <c r="W29" s="24">
        <f t="shared" si="2"/>
        <v>0</v>
      </c>
      <c r="X29" s="24">
        <f>IF($H29="",0,IF($D29="樹林",IF(ISERROR(VLOOKUP($V29,市町村・植物種ごとの樹林点数DB!$A:$G,7,FALSE))=TRUE,20,VLOOKUP($V29,市町村・植物種ごとの樹林点数DB!$A:$G,7,FALSE)),IF($D29="低木・草地",IF($H29="【ススキ】・【ネザサ】・【チガヤ】",45,10),0)))</f>
        <v>0</v>
      </c>
      <c r="Y29" s="24">
        <f t="shared" si="35"/>
        <v>0</v>
      </c>
      <c r="Z29" s="24">
        <f t="shared" si="36"/>
        <v>1</v>
      </c>
      <c r="AA29" s="24">
        <f t="shared" si="37"/>
        <v>1</v>
      </c>
      <c r="AB29" s="24">
        <f t="shared" si="38"/>
        <v>0</v>
      </c>
      <c r="AC29" s="25">
        <f t="shared" si="39"/>
        <v>0</v>
      </c>
      <c r="AD29" s="25">
        <f t="shared" si="40"/>
        <v>0</v>
      </c>
      <c r="AE29" s="25">
        <f t="shared" si="41"/>
        <v>0</v>
      </c>
      <c r="AF29" s="25" t="str">
        <f t="shared" si="42"/>
        <v/>
      </c>
      <c r="AG29" s="25" t="str">
        <f t="shared" si="43"/>
        <v/>
      </c>
      <c r="AH29" s="25" t="str">
        <f t="shared" si="44"/>
        <v/>
      </c>
      <c r="AI29" s="25">
        <f>IF(ISERROR(VLOOKUP(K29,割合DB!$A:$B,2,FALSE))=TRUE,100,VLOOKUP(K29,割合DB!$A:$B,2,FALSE))</f>
        <v>100</v>
      </c>
      <c r="AJ29" s="25">
        <f>IF(ISERROR(VLOOKUP(L29,割合DB!$A:$B,2,FALSE))=TRUE,100,VLOOKUP(L29,割合DB!$A:$B,2,FALSE))</f>
        <v>100</v>
      </c>
      <c r="AK29" s="25">
        <f>IF(ISERROR(VLOOKUP(M29,割合DB!$A:$B,2,FALSE))=TRUE,100,VLOOKUP(M29,割合DB!$A:$B,2,FALSE))</f>
        <v>100</v>
      </c>
      <c r="AL29" s="25">
        <f t="shared" si="45"/>
        <v>0</v>
      </c>
      <c r="AM29" s="18">
        <f t="shared" si="46"/>
        <v>0</v>
      </c>
      <c r="AN29" s="18">
        <f t="shared" si="47"/>
        <v>0</v>
      </c>
      <c r="AO29" s="18">
        <f t="shared" si="16"/>
        <v>0</v>
      </c>
      <c r="AP29" s="18">
        <f>IF($C29="人工面",0,IF($G29="",70,IF($D29="湿性環境",VLOOKUP($G29,環境タイプⅡによる点数DB!$A:$B,2,FALSE),IF($D29="樹林",VLOOKUP($G29,環境タイプⅡによる点数DB!$A:$C,3,FALSE),IF($D29="低木・草地",VLOOKUP($G29,環境タイプⅡによる点数DB!$A:$D,4,FALSE),0)))))</f>
        <v>70</v>
      </c>
      <c r="AQ29" s="24" t="str">
        <f>$H29&amp;"in"&amp;基本情報!$C$13</f>
        <v>in</v>
      </c>
      <c r="AR29" s="24">
        <f t="shared" si="17"/>
        <v>0</v>
      </c>
      <c r="AS29" s="24">
        <f>IF($H29="",0,IF($D29="樹林",IF(ISERROR(VLOOKUP($V29,市町村・植物種ごとの樹林点数DB!$A:$F,6,FALSE))=TRUE,10,VLOOKUP($V29,市町村・植物種ごとの樹林点数DB!$A:$F,6,FALSE)),IF($D29="低木・草地",IF(OR($H29="【ススキ】・【ネザサ】・【チガヤ】",$H29="不明"),45,10),0)))</f>
        <v>0</v>
      </c>
      <c r="AT29" s="24">
        <f t="shared" si="18"/>
        <v>0</v>
      </c>
      <c r="AU29" s="24">
        <f t="shared" si="19"/>
        <v>1</v>
      </c>
      <c r="AV29" s="24">
        <f t="shared" si="20"/>
        <v>0</v>
      </c>
      <c r="AW29" s="24">
        <f t="shared" si="21"/>
        <v>1</v>
      </c>
      <c r="AX29" s="25">
        <f t="shared" si="48"/>
        <v>0</v>
      </c>
      <c r="AY29" s="25">
        <f t="shared" si="49"/>
        <v>0</v>
      </c>
      <c r="AZ29" s="25">
        <f t="shared" si="50"/>
        <v>0</v>
      </c>
      <c r="BA29" s="25" t="str">
        <f t="shared" si="51"/>
        <v/>
      </c>
      <c r="BB29" s="25" t="str">
        <f t="shared" si="52"/>
        <v/>
      </c>
      <c r="BC29" s="25" t="str">
        <f t="shared" si="53"/>
        <v/>
      </c>
      <c r="BD29" s="25">
        <f>IF(ISERROR(VLOOKUP($K29,割合DB!$A:$B,2,FALSE))=TRUE,0,VLOOKUP($K29,割合DB!$A:$B,2,FALSE))</f>
        <v>0</v>
      </c>
      <c r="BE29" s="25">
        <f>IF(ISERROR(VLOOKUP($L29,割合DB!$A:$B,2,FALSE))=TRUE,0,VLOOKUP($L29,割合DB!$A:$B,2,FALSE))</f>
        <v>0</v>
      </c>
      <c r="BF29" s="25">
        <f>IF(ISERROR(VLOOKUP($M29,割合DB!$A:$B,2,FALSE))=TRUE,0,VLOOKUP($M29,割合DB!$A:$B,2,FALSE))</f>
        <v>0</v>
      </c>
      <c r="BG29" s="25">
        <f t="shared" si="54"/>
        <v>100</v>
      </c>
      <c r="BH29" s="18">
        <f t="shared" si="55"/>
        <v>100</v>
      </c>
      <c r="BI29" s="18">
        <f t="shared" si="32"/>
        <v>1</v>
      </c>
      <c r="BJ29" s="176"/>
      <c r="BK29" s="176"/>
      <c r="BL29" s="176"/>
      <c r="BM29" s="176"/>
      <c r="BN29" s="176"/>
      <c r="BO29" s="176"/>
      <c r="BP29" s="176"/>
      <c r="BQ29" s="176"/>
      <c r="BR29" s="176"/>
      <c r="BS29" s="176"/>
      <c r="BT29" s="176"/>
      <c r="BU29" s="176"/>
      <c r="BV29" s="176"/>
      <c r="BW29" s="176"/>
      <c r="BX29" s="176"/>
      <c r="BY29" s="176"/>
      <c r="BZ29" s="176"/>
      <c r="CA29" s="176"/>
    </row>
    <row r="30" spans="1:79" ht="27" customHeight="1" x14ac:dyDescent="0.15">
      <c r="A30" s="30" t="s">
        <v>522</v>
      </c>
      <c r="B30" s="31" t="str">
        <f>IF('環境条件(竣工時)'!B30="","",'環境条件(竣工時)'!B30)</f>
        <v/>
      </c>
      <c r="C30" s="31" t="str">
        <f>IF('環境条件(竣工時)'!C30="","",'環境条件(竣工時)'!C30)</f>
        <v/>
      </c>
      <c r="D30" s="31" t="str">
        <f>IF('環境条件(竣工時)'!D30="","",'環境条件(竣工時)'!D30)</f>
        <v/>
      </c>
      <c r="E30" s="31" t="str">
        <f>IF('環境条件(竣工時)'!E30="","",'環境条件(竣工時)'!E30)</f>
        <v/>
      </c>
      <c r="F30" s="30" t="str">
        <f>IF('環境条件(竣工時)'!F30="","",'環境条件(竣工時)'!F30)</f>
        <v/>
      </c>
      <c r="G30" s="21"/>
      <c r="H30" s="22"/>
      <c r="I30" s="22"/>
      <c r="J30" s="22"/>
      <c r="K30" s="23"/>
      <c r="L30" s="23"/>
      <c r="M30" s="23"/>
      <c r="N30" s="146"/>
      <c r="O30" s="40">
        <f t="shared" si="33"/>
        <v>0</v>
      </c>
      <c r="P30" s="183" t="str">
        <f t="shared" si="34"/>
        <v/>
      </c>
      <c r="S30" s="18">
        <f t="shared" si="31"/>
        <v>0</v>
      </c>
      <c r="T30" s="18">
        <f t="shared" si="1"/>
        <v>0</v>
      </c>
      <c r="U30" s="18">
        <f>IF(C30="人工面",0,IF(G30="",0,IF(D30="湿性環境",VLOOKUP(G30,環境タイプⅡによる点数DB!A:B,2,FALSE),IF(D30="樹林",VLOOKUP(G30,環境タイプⅡによる点数DB!A:C,3,FALSE),IF(D30="低木・草地",VLOOKUP(G30,環境タイプⅡによる点数DB!A:D,4,FALSE),0)))))</f>
        <v>0</v>
      </c>
      <c r="V30" s="24" t="str">
        <f>$H30&amp;"in"&amp;基本情報!$C$13</f>
        <v>in</v>
      </c>
      <c r="W30" s="24">
        <f t="shared" si="2"/>
        <v>0</v>
      </c>
      <c r="X30" s="24">
        <f>IF($H30="",0,IF($D30="樹林",IF(ISERROR(VLOOKUP($V30,市町村・植物種ごとの樹林点数DB!$A:$G,7,FALSE))=TRUE,20,VLOOKUP($V30,市町村・植物種ごとの樹林点数DB!$A:$G,7,FALSE)),IF($D30="低木・草地",IF($H30="【ススキ】・【ネザサ】・【チガヤ】",45,10),0)))</f>
        <v>0</v>
      </c>
      <c r="Y30" s="24">
        <f t="shared" si="35"/>
        <v>0</v>
      </c>
      <c r="Z30" s="24">
        <f t="shared" si="36"/>
        <v>1</v>
      </c>
      <c r="AA30" s="24">
        <f t="shared" si="37"/>
        <v>1</v>
      </c>
      <c r="AB30" s="24">
        <f t="shared" si="38"/>
        <v>0</v>
      </c>
      <c r="AC30" s="25">
        <f t="shared" si="39"/>
        <v>0</v>
      </c>
      <c r="AD30" s="25">
        <f t="shared" si="40"/>
        <v>0</v>
      </c>
      <c r="AE30" s="25">
        <f t="shared" si="41"/>
        <v>0</v>
      </c>
      <c r="AF30" s="25" t="str">
        <f t="shared" si="42"/>
        <v/>
      </c>
      <c r="AG30" s="25" t="str">
        <f t="shared" si="43"/>
        <v/>
      </c>
      <c r="AH30" s="25" t="str">
        <f t="shared" si="44"/>
        <v/>
      </c>
      <c r="AI30" s="25">
        <f>IF(ISERROR(VLOOKUP(K30,割合DB!$A:$B,2,FALSE))=TRUE,100,VLOOKUP(K30,割合DB!$A:$B,2,FALSE))</f>
        <v>100</v>
      </c>
      <c r="AJ30" s="25">
        <f>IF(ISERROR(VLOOKUP(L30,割合DB!$A:$B,2,FALSE))=TRUE,100,VLOOKUP(L30,割合DB!$A:$B,2,FALSE))</f>
        <v>100</v>
      </c>
      <c r="AK30" s="25">
        <f>IF(ISERROR(VLOOKUP(M30,割合DB!$A:$B,2,FALSE))=TRUE,100,VLOOKUP(M30,割合DB!$A:$B,2,FALSE))</f>
        <v>100</v>
      </c>
      <c r="AL30" s="25">
        <f t="shared" si="45"/>
        <v>0</v>
      </c>
      <c r="AM30" s="18">
        <f t="shared" si="46"/>
        <v>0</v>
      </c>
      <c r="AN30" s="18">
        <f t="shared" si="47"/>
        <v>0</v>
      </c>
      <c r="AO30" s="18">
        <f t="shared" si="16"/>
        <v>0</v>
      </c>
      <c r="AP30" s="18">
        <f>IF($C30="人工面",0,IF($G30="",70,IF($D30="湿性環境",VLOOKUP($G30,環境タイプⅡによる点数DB!$A:$B,2,FALSE),IF($D30="樹林",VLOOKUP($G30,環境タイプⅡによる点数DB!$A:$C,3,FALSE),IF($D30="低木・草地",VLOOKUP($G30,環境タイプⅡによる点数DB!$A:$D,4,FALSE),0)))))</f>
        <v>70</v>
      </c>
      <c r="AQ30" s="24" t="str">
        <f>$H30&amp;"in"&amp;基本情報!$C$13</f>
        <v>in</v>
      </c>
      <c r="AR30" s="24">
        <f t="shared" si="17"/>
        <v>0</v>
      </c>
      <c r="AS30" s="24">
        <f>IF($H30="",0,IF($D30="樹林",IF(ISERROR(VLOOKUP($V30,市町村・植物種ごとの樹林点数DB!$A:$F,6,FALSE))=TRUE,10,VLOOKUP($V30,市町村・植物種ごとの樹林点数DB!$A:$F,6,FALSE)),IF($D30="低木・草地",IF(OR($H30="【ススキ】・【ネザサ】・【チガヤ】",$H30="不明"),45,10),0)))</f>
        <v>0</v>
      </c>
      <c r="AT30" s="24">
        <f t="shared" si="18"/>
        <v>0</v>
      </c>
      <c r="AU30" s="24">
        <f t="shared" si="19"/>
        <v>1</v>
      </c>
      <c r="AV30" s="24">
        <f t="shared" si="20"/>
        <v>0</v>
      </c>
      <c r="AW30" s="24">
        <f t="shared" si="21"/>
        <v>1</v>
      </c>
      <c r="AX30" s="25">
        <f t="shared" si="48"/>
        <v>0</v>
      </c>
      <c r="AY30" s="25">
        <f t="shared" si="49"/>
        <v>0</v>
      </c>
      <c r="AZ30" s="25">
        <f t="shared" si="50"/>
        <v>0</v>
      </c>
      <c r="BA30" s="25" t="str">
        <f t="shared" si="51"/>
        <v/>
      </c>
      <c r="BB30" s="25" t="str">
        <f t="shared" si="52"/>
        <v/>
      </c>
      <c r="BC30" s="25" t="str">
        <f t="shared" si="53"/>
        <v/>
      </c>
      <c r="BD30" s="25">
        <f>IF(ISERROR(VLOOKUP($K30,割合DB!$A:$B,2,FALSE))=TRUE,0,VLOOKUP($K30,割合DB!$A:$B,2,FALSE))</f>
        <v>0</v>
      </c>
      <c r="BE30" s="25">
        <f>IF(ISERROR(VLOOKUP($L30,割合DB!$A:$B,2,FALSE))=TRUE,0,VLOOKUP($L30,割合DB!$A:$B,2,FALSE))</f>
        <v>0</v>
      </c>
      <c r="BF30" s="25">
        <f>IF(ISERROR(VLOOKUP($M30,割合DB!$A:$B,2,FALSE))=TRUE,0,VLOOKUP($M30,割合DB!$A:$B,2,FALSE))</f>
        <v>0</v>
      </c>
      <c r="BG30" s="25">
        <f t="shared" si="54"/>
        <v>100</v>
      </c>
      <c r="BH30" s="18">
        <f t="shared" si="55"/>
        <v>100</v>
      </c>
      <c r="BI30" s="18">
        <f t="shared" si="32"/>
        <v>1</v>
      </c>
      <c r="BJ30" s="176"/>
      <c r="BK30" s="176"/>
      <c r="BL30" s="176"/>
      <c r="BM30" s="176"/>
      <c r="BN30" s="176"/>
      <c r="BO30" s="176"/>
      <c r="BP30" s="176"/>
      <c r="BQ30" s="176"/>
      <c r="BR30" s="176"/>
      <c r="BS30" s="176"/>
      <c r="BT30" s="176"/>
      <c r="BU30" s="176"/>
      <c r="BV30" s="176"/>
      <c r="BW30" s="176"/>
      <c r="BX30" s="176"/>
      <c r="BY30" s="176"/>
      <c r="BZ30" s="176"/>
      <c r="CA30" s="176"/>
    </row>
    <row r="31" spans="1:79" ht="27" customHeight="1" x14ac:dyDescent="0.15">
      <c r="A31" s="30" t="s">
        <v>523</v>
      </c>
      <c r="B31" s="31" t="str">
        <f>IF('環境条件(竣工時)'!B31="","",'環境条件(竣工時)'!B31)</f>
        <v/>
      </c>
      <c r="C31" s="31" t="str">
        <f>IF('環境条件(竣工時)'!C31="","",'環境条件(竣工時)'!C31)</f>
        <v/>
      </c>
      <c r="D31" s="31" t="str">
        <f>IF('環境条件(竣工時)'!D31="","",'環境条件(竣工時)'!D31)</f>
        <v/>
      </c>
      <c r="E31" s="31" t="str">
        <f>IF('環境条件(竣工時)'!E31="","",'環境条件(竣工時)'!E31)</f>
        <v/>
      </c>
      <c r="F31" s="30" t="str">
        <f>IF('環境条件(竣工時)'!F31="","",'環境条件(竣工時)'!F31)</f>
        <v/>
      </c>
      <c r="G31" s="21"/>
      <c r="H31" s="22"/>
      <c r="I31" s="22"/>
      <c r="J31" s="22"/>
      <c r="K31" s="23"/>
      <c r="L31" s="23"/>
      <c r="M31" s="23"/>
      <c r="N31" s="146"/>
      <c r="O31" s="40">
        <f t="shared" si="33"/>
        <v>0</v>
      </c>
      <c r="P31" s="183" t="str">
        <f t="shared" si="34"/>
        <v/>
      </c>
      <c r="S31" s="18">
        <f t="shared" si="31"/>
        <v>0</v>
      </c>
      <c r="T31" s="18">
        <f t="shared" si="1"/>
        <v>0</v>
      </c>
      <c r="U31" s="18">
        <f>IF(C31="人工面",0,IF(G31="",0,IF(D31="湿性環境",VLOOKUP(G31,環境タイプⅡによる点数DB!A:B,2,FALSE),IF(D31="樹林",VLOOKUP(G31,環境タイプⅡによる点数DB!A:C,3,FALSE),IF(D31="低木・草地",VLOOKUP(G31,環境タイプⅡによる点数DB!A:D,4,FALSE),0)))))</f>
        <v>0</v>
      </c>
      <c r="V31" s="24" t="str">
        <f>$H31&amp;"in"&amp;基本情報!$C$13</f>
        <v>in</v>
      </c>
      <c r="W31" s="24">
        <f t="shared" si="2"/>
        <v>0</v>
      </c>
      <c r="X31" s="24">
        <f>IF($H31="",0,IF($D31="樹林",IF(ISERROR(VLOOKUP($V31,市町村・植物種ごとの樹林点数DB!$A:$G,7,FALSE))=TRUE,20,VLOOKUP($V31,市町村・植物種ごとの樹林点数DB!$A:$G,7,FALSE)),IF($D31="低木・草地",IF($H31="【ススキ】・【ネザサ】・【チガヤ】",45,10),0)))</f>
        <v>0</v>
      </c>
      <c r="Y31" s="24">
        <f t="shared" si="35"/>
        <v>0</v>
      </c>
      <c r="Z31" s="24">
        <f t="shared" si="36"/>
        <v>1</v>
      </c>
      <c r="AA31" s="24">
        <f t="shared" si="37"/>
        <v>1</v>
      </c>
      <c r="AB31" s="24">
        <f t="shared" si="38"/>
        <v>0</v>
      </c>
      <c r="AC31" s="25">
        <f t="shared" si="39"/>
        <v>0</v>
      </c>
      <c r="AD31" s="25">
        <f t="shared" si="40"/>
        <v>0</v>
      </c>
      <c r="AE31" s="25">
        <f t="shared" si="41"/>
        <v>0</v>
      </c>
      <c r="AF31" s="25" t="str">
        <f t="shared" si="42"/>
        <v/>
      </c>
      <c r="AG31" s="25" t="str">
        <f t="shared" si="43"/>
        <v/>
      </c>
      <c r="AH31" s="25" t="str">
        <f t="shared" si="44"/>
        <v/>
      </c>
      <c r="AI31" s="25">
        <f>IF(ISERROR(VLOOKUP(K31,割合DB!$A:$B,2,FALSE))=TRUE,100,VLOOKUP(K31,割合DB!$A:$B,2,FALSE))</f>
        <v>100</v>
      </c>
      <c r="AJ31" s="25">
        <f>IF(ISERROR(VLOOKUP(L31,割合DB!$A:$B,2,FALSE))=TRUE,100,VLOOKUP(L31,割合DB!$A:$B,2,FALSE))</f>
        <v>100</v>
      </c>
      <c r="AK31" s="25">
        <f>IF(ISERROR(VLOOKUP(M31,割合DB!$A:$B,2,FALSE))=TRUE,100,VLOOKUP(M31,割合DB!$A:$B,2,FALSE))</f>
        <v>100</v>
      </c>
      <c r="AL31" s="25">
        <f t="shared" si="45"/>
        <v>0</v>
      </c>
      <c r="AM31" s="18">
        <f t="shared" si="46"/>
        <v>0</v>
      </c>
      <c r="AN31" s="18">
        <f t="shared" si="47"/>
        <v>0</v>
      </c>
      <c r="AO31" s="18">
        <f t="shared" si="16"/>
        <v>0</v>
      </c>
      <c r="AP31" s="18">
        <f>IF($C31="人工面",0,IF($G31="",70,IF($D31="湿性環境",VLOOKUP($G31,環境タイプⅡによる点数DB!$A:$B,2,FALSE),IF($D31="樹林",VLOOKUP($G31,環境タイプⅡによる点数DB!$A:$C,3,FALSE),IF($D31="低木・草地",VLOOKUP($G31,環境タイプⅡによる点数DB!$A:$D,4,FALSE),0)))))</f>
        <v>70</v>
      </c>
      <c r="AQ31" s="24" t="str">
        <f>$H31&amp;"in"&amp;基本情報!$C$13</f>
        <v>in</v>
      </c>
      <c r="AR31" s="24">
        <f t="shared" si="17"/>
        <v>0</v>
      </c>
      <c r="AS31" s="24">
        <f>IF($H31="",0,IF($D31="樹林",IF(ISERROR(VLOOKUP($V31,市町村・植物種ごとの樹林点数DB!$A:$F,6,FALSE))=TRUE,10,VLOOKUP($V31,市町村・植物種ごとの樹林点数DB!$A:$F,6,FALSE)),IF($D31="低木・草地",IF(OR($H31="【ススキ】・【ネザサ】・【チガヤ】",$H31="不明"),45,10),0)))</f>
        <v>0</v>
      </c>
      <c r="AT31" s="24">
        <f t="shared" si="18"/>
        <v>0</v>
      </c>
      <c r="AU31" s="24">
        <f t="shared" si="19"/>
        <v>1</v>
      </c>
      <c r="AV31" s="24">
        <f t="shared" si="20"/>
        <v>0</v>
      </c>
      <c r="AW31" s="24">
        <f t="shared" si="21"/>
        <v>1</v>
      </c>
      <c r="AX31" s="25">
        <f t="shared" si="48"/>
        <v>0</v>
      </c>
      <c r="AY31" s="25">
        <f t="shared" si="49"/>
        <v>0</v>
      </c>
      <c r="AZ31" s="25">
        <f t="shared" si="50"/>
        <v>0</v>
      </c>
      <c r="BA31" s="25" t="str">
        <f t="shared" si="51"/>
        <v/>
      </c>
      <c r="BB31" s="25" t="str">
        <f t="shared" si="52"/>
        <v/>
      </c>
      <c r="BC31" s="25" t="str">
        <f t="shared" si="53"/>
        <v/>
      </c>
      <c r="BD31" s="25">
        <f>IF(ISERROR(VLOOKUP($K31,割合DB!$A:$B,2,FALSE))=TRUE,0,VLOOKUP($K31,割合DB!$A:$B,2,FALSE))</f>
        <v>0</v>
      </c>
      <c r="BE31" s="25">
        <f>IF(ISERROR(VLOOKUP($L31,割合DB!$A:$B,2,FALSE))=TRUE,0,VLOOKUP($L31,割合DB!$A:$B,2,FALSE))</f>
        <v>0</v>
      </c>
      <c r="BF31" s="25">
        <f>IF(ISERROR(VLOOKUP($M31,割合DB!$A:$B,2,FALSE))=TRUE,0,VLOOKUP($M31,割合DB!$A:$B,2,FALSE))</f>
        <v>0</v>
      </c>
      <c r="BG31" s="25">
        <f t="shared" si="54"/>
        <v>100</v>
      </c>
      <c r="BH31" s="18">
        <f t="shared" si="55"/>
        <v>100</v>
      </c>
      <c r="BI31" s="18">
        <f t="shared" si="32"/>
        <v>1</v>
      </c>
      <c r="BJ31" s="176"/>
      <c r="BK31" s="176"/>
      <c r="BL31" s="176"/>
      <c r="BM31" s="176"/>
      <c r="BN31" s="176"/>
      <c r="BO31" s="176"/>
      <c r="BP31" s="176"/>
      <c r="BQ31" s="176"/>
      <c r="BR31" s="176"/>
      <c r="BS31" s="176"/>
      <c r="BT31" s="176"/>
      <c r="BU31" s="176"/>
      <c r="BV31" s="176"/>
      <c r="BW31" s="176"/>
      <c r="BX31" s="176"/>
      <c r="BY31" s="176"/>
      <c r="BZ31" s="176"/>
      <c r="CA31" s="176"/>
    </row>
    <row r="32" spans="1:79" ht="27" customHeight="1" x14ac:dyDescent="0.15">
      <c r="A32" s="30" t="s">
        <v>524</v>
      </c>
      <c r="B32" s="31" t="str">
        <f>IF('環境条件(竣工時)'!B32="","",'環境条件(竣工時)'!B32)</f>
        <v/>
      </c>
      <c r="C32" s="31" t="str">
        <f>IF('環境条件(竣工時)'!C32="","",'環境条件(竣工時)'!C32)</f>
        <v/>
      </c>
      <c r="D32" s="31" t="str">
        <f>IF('環境条件(竣工時)'!D32="","",'環境条件(竣工時)'!D32)</f>
        <v/>
      </c>
      <c r="E32" s="31" t="str">
        <f>IF('環境条件(竣工時)'!E32="","",'環境条件(竣工時)'!E32)</f>
        <v/>
      </c>
      <c r="F32" s="30" t="str">
        <f>IF('環境条件(竣工時)'!F32="","",'環境条件(竣工時)'!F32)</f>
        <v/>
      </c>
      <c r="G32" s="21"/>
      <c r="H32" s="22"/>
      <c r="I32" s="22"/>
      <c r="J32" s="22"/>
      <c r="K32" s="23"/>
      <c r="L32" s="23"/>
      <c r="M32" s="23"/>
      <c r="N32" s="146"/>
      <c r="O32" s="40">
        <f t="shared" si="33"/>
        <v>0</v>
      </c>
      <c r="P32" s="183" t="str">
        <f t="shared" si="34"/>
        <v/>
      </c>
      <c r="S32" s="18">
        <f t="shared" si="31"/>
        <v>0</v>
      </c>
      <c r="T32" s="18">
        <f t="shared" si="1"/>
        <v>0</v>
      </c>
      <c r="U32" s="18">
        <f>IF(C32="人工面",0,IF(G32="",0,IF(D32="湿性環境",VLOOKUP(G32,環境タイプⅡによる点数DB!A:B,2,FALSE),IF(D32="樹林",VLOOKUP(G32,環境タイプⅡによる点数DB!A:C,3,FALSE),IF(D32="低木・草地",VLOOKUP(G32,環境タイプⅡによる点数DB!A:D,4,FALSE),0)))))</f>
        <v>0</v>
      </c>
      <c r="V32" s="24" t="str">
        <f>$H32&amp;"in"&amp;基本情報!$C$13</f>
        <v>in</v>
      </c>
      <c r="W32" s="24">
        <f t="shared" si="2"/>
        <v>0</v>
      </c>
      <c r="X32" s="24">
        <f>IF($H32="",0,IF($D32="樹林",IF(ISERROR(VLOOKUP($V32,市町村・植物種ごとの樹林点数DB!$A:$G,7,FALSE))=TRUE,20,VLOOKUP($V32,市町村・植物種ごとの樹林点数DB!$A:$G,7,FALSE)),IF($D32="低木・草地",IF($H32="【ススキ】・【ネザサ】・【チガヤ】",45,10),0)))</f>
        <v>0</v>
      </c>
      <c r="Y32" s="24">
        <f t="shared" si="35"/>
        <v>0</v>
      </c>
      <c r="Z32" s="24">
        <f t="shared" si="36"/>
        <v>1</v>
      </c>
      <c r="AA32" s="24">
        <f t="shared" si="37"/>
        <v>1</v>
      </c>
      <c r="AB32" s="24">
        <f t="shared" si="38"/>
        <v>0</v>
      </c>
      <c r="AC32" s="25">
        <f t="shared" si="39"/>
        <v>0</v>
      </c>
      <c r="AD32" s="25">
        <f t="shared" si="40"/>
        <v>0</v>
      </c>
      <c r="AE32" s="25">
        <f t="shared" si="41"/>
        <v>0</v>
      </c>
      <c r="AF32" s="25" t="str">
        <f t="shared" si="42"/>
        <v/>
      </c>
      <c r="AG32" s="25" t="str">
        <f t="shared" si="43"/>
        <v/>
      </c>
      <c r="AH32" s="25" t="str">
        <f t="shared" si="44"/>
        <v/>
      </c>
      <c r="AI32" s="25">
        <f>IF(ISERROR(VLOOKUP(K32,割合DB!$A:$B,2,FALSE))=TRUE,100,VLOOKUP(K32,割合DB!$A:$B,2,FALSE))</f>
        <v>100</v>
      </c>
      <c r="AJ32" s="25">
        <f>IF(ISERROR(VLOOKUP(L32,割合DB!$A:$B,2,FALSE))=TRUE,100,VLOOKUP(L32,割合DB!$A:$B,2,FALSE))</f>
        <v>100</v>
      </c>
      <c r="AK32" s="25">
        <f>IF(ISERROR(VLOOKUP(M32,割合DB!$A:$B,2,FALSE))=TRUE,100,VLOOKUP(M32,割合DB!$A:$B,2,FALSE))</f>
        <v>100</v>
      </c>
      <c r="AL32" s="25">
        <f t="shared" si="45"/>
        <v>0</v>
      </c>
      <c r="AM32" s="18">
        <f t="shared" si="46"/>
        <v>0</v>
      </c>
      <c r="AN32" s="18">
        <f t="shared" si="47"/>
        <v>0</v>
      </c>
      <c r="AO32" s="18">
        <f t="shared" si="16"/>
        <v>0</v>
      </c>
      <c r="AP32" s="18">
        <f>IF($C32="人工面",0,IF($G32="",70,IF($D32="湿性環境",VLOOKUP($G32,環境タイプⅡによる点数DB!$A:$B,2,FALSE),IF($D32="樹林",VLOOKUP($G32,環境タイプⅡによる点数DB!$A:$C,3,FALSE),IF($D32="低木・草地",VLOOKUP($G32,環境タイプⅡによる点数DB!$A:$D,4,FALSE),0)))))</f>
        <v>70</v>
      </c>
      <c r="AQ32" s="24" t="str">
        <f>$H32&amp;"in"&amp;基本情報!$C$13</f>
        <v>in</v>
      </c>
      <c r="AR32" s="24">
        <f t="shared" si="17"/>
        <v>0</v>
      </c>
      <c r="AS32" s="24">
        <f>IF($H32="",0,IF($D32="樹林",IF(ISERROR(VLOOKUP($V32,市町村・植物種ごとの樹林点数DB!$A:$F,6,FALSE))=TRUE,10,VLOOKUP($V32,市町村・植物種ごとの樹林点数DB!$A:$F,6,FALSE)),IF($D32="低木・草地",IF(OR($H32="【ススキ】・【ネザサ】・【チガヤ】",$H32="不明"),45,10),0)))</f>
        <v>0</v>
      </c>
      <c r="AT32" s="24">
        <f t="shared" si="18"/>
        <v>0</v>
      </c>
      <c r="AU32" s="24">
        <f t="shared" si="19"/>
        <v>1</v>
      </c>
      <c r="AV32" s="24">
        <f t="shared" si="20"/>
        <v>0</v>
      </c>
      <c r="AW32" s="24">
        <f t="shared" si="21"/>
        <v>1</v>
      </c>
      <c r="AX32" s="25">
        <f t="shared" si="48"/>
        <v>0</v>
      </c>
      <c r="AY32" s="25">
        <f t="shared" si="49"/>
        <v>0</v>
      </c>
      <c r="AZ32" s="25">
        <f t="shared" si="50"/>
        <v>0</v>
      </c>
      <c r="BA32" s="25" t="str">
        <f t="shared" si="51"/>
        <v/>
      </c>
      <c r="BB32" s="25" t="str">
        <f t="shared" si="52"/>
        <v/>
      </c>
      <c r="BC32" s="25" t="str">
        <f t="shared" si="53"/>
        <v/>
      </c>
      <c r="BD32" s="25">
        <f>IF(ISERROR(VLOOKUP($K32,割合DB!$A:$B,2,FALSE))=TRUE,0,VLOOKUP($K32,割合DB!$A:$B,2,FALSE))</f>
        <v>0</v>
      </c>
      <c r="BE32" s="25">
        <f>IF(ISERROR(VLOOKUP($L32,割合DB!$A:$B,2,FALSE))=TRUE,0,VLOOKUP($L32,割合DB!$A:$B,2,FALSE))</f>
        <v>0</v>
      </c>
      <c r="BF32" s="25">
        <f>IF(ISERROR(VLOOKUP($M32,割合DB!$A:$B,2,FALSE))=TRUE,0,VLOOKUP($M32,割合DB!$A:$B,2,FALSE))</f>
        <v>0</v>
      </c>
      <c r="BG32" s="25">
        <f t="shared" si="54"/>
        <v>100</v>
      </c>
      <c r="BH32" s="18">
        <f t="shared" si="55"/>
        <v>100</v>
      </c>
      <c r="BI32" s="18">
        <f t="shared" si="32"/>
        <v>1</v>
      </c>
      <c r="BJ32" s="176"/>
      <c r="BK32" s="176"/>
      <c r="BL32" s="176"/>
      <c r="BM32" s="176"/>
      <c r="BN32" s="176"/>
      <c r="BO32" s="176"/>
      <c r="BP32" s="176"/>
      <c r="BQ32" s="176"/>
      <c r="BR32" s="176"/>
      <c r="BS32" s="176"/>
      <c r="BT32" s="176"/>
      <c r="BU32" s="176"/>
      <c r="BV32" s="176"/>
      <c r="BW32" s="176"/>
      <c r="BX32" s="176"/>
      <c r="BY32" s="176"/>
      <c r="BZ32" s="176"/>
      <c r="CA32" s="176"/>
    </row>
    <row r="33" spans="1:79" ht="27" customHeight="1" x14ac:dyDescent="0.15">
      <c r="A33" s="30" t="s">
        <v>525</v>
      </c>
      <c r="B33" s="31" t="str">
        <f>IF('環境条件(竣工時)'!B33="","",'環境条件(竣工時)'!B33)</f>
        <v/>
      </c>
      <c r="C33" s="31" t="str">
        <f>IF('環境条件(竣工時)'!C33="","",'環境条件(竣工時)'!C33)</f>
        <v/>
      </c>
      <c r="D33" s="31" t="str">
        <f>IF('環境条件(竣工時)'!D33="","",'環境条件(竣工時)'!D33)</f>
        <v/>
      </c>
      <c r="E33" s="31" t="str">
        <f>IF('環境条件(竣工時)'!E33="","",'環境条件(竣工時)'!E33)</f>
        <v/>
      </c>
      <c r="F33" s="30" t="str">
        <f>IF('環境条件(竣工時)'!F33="","",'環境条件(竣工時)'!F33)</f>
        <v/>
      </c>
      <c r="G33" s="21"/>
      <c r="H33" s="22"/>
      <c r="I33" s="22"/>
      <c r="J33" s="22"/>
      <c r="K33" s="23"/>
      <c r="L33" s="23"/>
      <c r="M33" s="23"/>
      <c r="N33" s="146"/>
      <c r="O33" s="40">
        <f t="shared" si="33"/>
        <v>0</v>
      </c>
      <c r="P33" s="183" t="str">
        <f t="shared" si="34"/>
        <v/>
      </c>
      <c r="S33" s="18">
        <f t="shared" si="31"/>
        <v>0</v>
      </c>
      <c r="T33" s="18">
        <f t="shared" si="1"/>
        <v>0</v>
      </c>
      <c r="U33" s="18">
        <f>IF(C33="人工面",0,IF(G33="",0,IF(D33="湿性環境",VLOOKUP(G33,環境タイプⅡによる点数DB!A:B,2,FALSE),IF(D33="樹林",VLOOKUP(G33,環境タイプⅡによる点数DB!A:C,3,FALSE),IF(D33="低木・草地",VLOOKUP(G33,環境タイプⅡによる点数DB!A:D,4,FALSE),0)))))</f>
        <v>0</v>
      </c>
      <c r="V33" s="24" t="str">
        <f>$H33&amp;"in"&amp;基本情報!$C$13</f>
        <v>in</v>
      </c>
      <c r="W33" s="24">
        <f t="shared" si="2"/>
        <v>0</v>
      </c>
      <c r="X33" s="24">
        <f>IF($H33="",0,IF($D33="樹林",IF(ISERROR(VLOOKUP($V33,市町村・植物種ごとの樹林点数DB!$A:$G,7,FALSE))=TRUE,20,VLOOKUP($V33,市町村・植物種ごとの樹林点数DB!$A:$G,7,FALSE)),IF($D33="低木・草地",IF($H33="【ススキ】・【ネザサ】・【チガヤ】",45,10),0)))</f>
        <v>0</v>
      </c>
      <c r="Y33" s="24">
        <f t="shared" si="35"/>
        <v>0</v>
      </c>
      <c r="Z33" s="24">
        <f t="shared" si="36"/>
        <v>1</v>
      </c>
      <c r="AA33" s="24">
        <f t="shared" si="37"/>
        <v>1</v>
      </c>
      <c r="AB33" s="24">
        <f t="shared" si="38"/>
        <v>0</v>
      </c>
      <c r="AC33" s="25">
        <f t="shared" si="39"/>
        <v>0</v>
      </c>
      <c r="AD33" s="25">
        <f t="shared" si="40"/>
        <v>0</v>
      </c>
      <c r="AE33" s="25">
        <f t="shared" si="41"/>
        <v>0</v>
      </c>
      <c r="AF33" s="25" t="str">
        <f t="shared" si="42"/>
        <v/>
      </c>
      <c r="AG33" s="25" t="str">
        <f t="shared" si="43"/>
        <v/>
      </c>
      <c r="AH33" s="25" t="str">
        <f t="shared" si="44"/>
        <v/>
      </c>
      <c r="AI33" s="25">
        <f>IF(ISERROR(VLOOKUP(K33,割合DB!$A:$B,2,FALSE))=TRUE,100,VLOOKUP(K33,割合DB!$A:$B,2,FALSE))</f>
        <v>100</v>
      </c>
      <c r="AJ33" s="25">
        <f>IF(ISERROR(VLOOKUP(L33,割合DB!$A:$B,2,FALSE))=TRUE,100,VLOOKUP(L33,割合DB!$A:$B,2,FALSE))</f>
        <v>100</v>
      </c>
      <c r="AK33" s="25">
        <f>IF(ISERROR(VLOOKUP(M33,割合DB!$A:$B,2,FALSE))=TRUE,100,VLOOKUP(M33,割合DB!$A:$B,2,FALSE))</f>
        <v>100</v>
      </c>
      <c r="AL33" s="25">
        <f t="shared" si="45"/>
        <v>0</v>
      </c>
      <c r="AM33" s="18">
        <f t="shared" si="46"/>
        <v>0</v>
      </c>
      <c r="AN33" s="18">
        <f t="shared" si="47"/>
        <v>0</v>
      </c>
      <c r="AO33" s="18">
        <f t="shared" si="16"/>
        <v>0</v>
      </c>
      <c r="AP33" s="18">
        <f>IF($C33="人工面",0,IF($G33="",70,IF($D33="湿性環境",VLOOKUP($G33,環境タイプⅡによる点数DB!$A:$B,2,FALSE),IF($D33="樹林",VLOOKUP($G33,環境タイプⅡによる点数DB!$A:$C,3,FALSE),IF($D33="低木・草地",VLOOKUP($G33,環境タイプⅡによる点数DB!$A:$D,4,FALSE),0)))))</f>
        <v>70</v>
      </c>
      <c r="AQ33" s="24" t="str">
        <f>$H33&amp;"in"&amp;基本情報!$C$13</f>
        <v>in</v>
      </c>
      <c r="AR33" s="24">
        <f t="shared" si="17"/>
        <v>0</v>
      </c>
      <c r="AS33" s="24">
        <f>IF($H33="",0,IF($D33="樹林",IF(ISERROR(VLOOKUP($V33,市町村・植物種ごとの樹林点数DB!$A:$F,6,FALSE))=TRUE,10,VLOOKUP($V33,市町村・植物種ごとの樹林点数DB!$A:$F,6,FALSE)),IF($D33="低木・草地",IF(OR($H33="【ススキ】・【ネザサ】・【チガヤ】",$H33="不明"),45,10),0)))</f>
        <v>0</v>
      </c>
      <c r="AT33" s="24">
        <f t="shared" si="18"/>
        <v>0</v>
      </c>
      <c r="AU33" s="24">
        <f t="shared" si="19"/>
        <v>1</v>
      </c>
      <c r="AV33" s="24">
        <f t="shared" si="20"/>
        <v>0</v>
      </c>
      <c r="AW33" s="24">
        <f t="shared" si="21"/>
        <v>1</v>
      </c>
      <c r="AX33" s="25">
        <f t="shared" si="48"/>
        <v>0</v>
      </c>
      <c r="AY33" s="25">
        <f t="shared" si="49"/>
        <v>0</v>
      </c>
      <c r="AZ33" s="25">
        <f t="shared" si="50"/>
        <v>0</v>
      </c>
      <c r="BA33" s="25" t="str">
        <f t="shared" si="51"/>
        <v/>
      </c>
      <c r="BB33" s="25" t="str">
        <f t="shared" si="52"/>
        <v/>
      </c>
      <c r="BC33" s="25" t="str">
        <f t="shared" si="53"/>
        <v/>
      </c>
      <c r="BD33" s="25">
        <f>IF(ISERROR(VLOOKUP($K33,割合DB!$A:$B,2,FALSE))=TRUE,0,VLOOKUP($K33,割合DB!$A:$B,2,FALSE))</f>
        <v>0</v>
      </c>
      <c r="BE33" s="25">
        <f>IF(ISERROR(VLOOKUP($L33,割合DB!$A:$B,2,FALSE))=TRUE,0,VLOOKUP($L33,割合DB!$A:$B,2,FALSE))</f>
        <v>0</v>
      </c>
      <c r="BF33" s="25">
        <f>IF(ISERROR(VLOOKUP($M33,割合DB!$A:$B,2,FALSE))=TRUE,0,VLOOKUP($M33,割合DB!$A:$B,2,FALSE))</f>
        <v>0</v>
      </c>
      <c r="BG33" s="25">
        <f t="shared" si="54"/>
        <v>100</v>
      </c>
      <c r="BH33" s="18">
        <f t="shared" si="55"/>
        <v>100</v>
      </c>
      <c r="BI33" s="18">
        <f t="shared" si="32"/>
        <v>1</v>
      </c>
      <c r="BJ33" s="176"/>
      <c r="BK33" s="176"/>
      <c r="BL33" s="176"/>
      <c r="BM33" s="176"/>
      <c r="BN33" s="176"/>
      <c r="BO33" s="176"/>
      <c r="BP33" s="176"/>
      <c r="BQ33" s="176"/>
      <c r="BR33" s="176"/>
      <c r="BS33" s="176"/>
      <c r="BT33" s="176"/>
      <c r="BU33" s="176"/>
      <c r="BV33" s="176"/>
      <c r="BW33" s="176"/>
      <c r="BX33" s="176"/>
      <c r="BY33" s="176"/>
      <c r="BZ33" s="176"/>
      <c r="CA33" s="176"/>
    </row>
    <row r="34" spans="1:79" ht="27" customHeight="1" x14ac:dyDescent="0.15">
      <c r="A34" s="30" t="s">
        <v>526</v>
      </c>
      <c r="B34" s="31" t="str">
        <f>IF('環境条件(竣工時)'!B34="","",'環境条件(竣工時)'!B34)</f>
        <v/>
      </c>
      <c r="C34" s="31" t="str">
        <f>IF('環境条件(竣工時)'!C34="","",'環境条件(竣工時)'!C34)</f>
        <v/>
      </c>
      <c r="D34" s="31" t="str">
        <f>IF('環境条件(竣工時)'!D34="","",'環境条件(竣工時)'!D34)</f>
        <v/>
      </c>
      <c r="E34" s="31" t="str">
        <f>IF('環境条件(竣工時)'!E34="","",'環境条件(竣工時)'!E34)</f>
        <v/>
      </c>
      <c r="F34" s="30" t="str">
        <f>IF('環境条件(竣工時)'!F34="","",'環境条件(竣工時)'!F34)</f>
        <v/>
      </c>
      <c r="G34" s="21"/>
      <c r="H34" s="22"/>
      <c r="I34" s="22"/>
      <c r="J34" s="22"/>
      <c r="K34" s="23"/>
      <c r="L34" s="23"/>
      <c r="M34" s="23"/>
      <c r="N34" s="146"/>
      <c r="O34" s="40">
        <f t="shared" si="33"/>
        <v>0</v>
      </c>
      <c r="P34" s="183" t="str">
        <f t="shared" si="34"/>
        <v/>
      </c>
      <c r="S34" s="18">
        <f t="shared" si="31"/>
        <v>0</v>
      </c>
      <c r="T34" s="18">
        <f t="shared" si="1"/>
        <v>0</v>
      </c>
      <c r="U34" s="18">
        <f>IF(C34="人工面",0,IF(G34="",0,IF(D34="湿性環境",VLOOKUP(G34,環境タイプⅡによる点数DB!A:B,2,FALSE),IF(D34="樹林",VLOOKUP(G34,環境タイプⅡによる点数DB!A:C,3,FALSE),IF(D34="低木・草地",VLOOKUP(G34,環境タイプⅡによる点数DB!A:D,4,FALSE),0)))))</f>
        <v>0</v>
      </c>
      <c r="V34" s="24" t="str">
        <f>$H34&amp;"in"&amp;基本情報!$C$13</f>
        <v>in</v>
      </c>
      <c r="W34" s="24">
        <f t="shared" si="2"/>
        <v>0</v>
      </c>
      <c r="X34" s="24">
        <f>IF($H34="",0,IF($D34="樹林",IF(ISERROR(VLOOKUP($V34,市町村・植物種ごとの樹林点数DB!$A:$G,7,FALSE))=TRUE,20,VLOOKUP($V34,市町村・植物種ごとの樹林点数DB!$A:$G,7,FALSE)),IF($D34="低木・草地",IF($H34="【ススキ】・【ネザサ】・【チガヤ】",45,10),0)))</f>
        <v>0</v>
      </c>
      <c r="Y34" s="24">
        <f t="shared" si="35"/>
        <v>0</v>
      </c>
      <c r="Z34" s="24">
        <f t="shared" si="36"/>
        <v>1</v>
      </c>
      <c r="AA34" s="24">
        <f t="shared" si="37"/>
        <v>1</v>
      </c>
      <c r="AB34" s="24">
        <f t="shared" si="38"/>
        <v>0</v>
      </c>
      <c r="AC34" s="25">
        <f t="shared" si="39"/>
        <v>0</v>
      </c>
      <c r="AD34" s="25">
        <f t="shared" si="40"/>
        <v>0</v>
      </c>
      <c r="AE34" s="25">
        <f t="shared" si="41"/>
        <v>0</v>
      </c>
      <c r="AF34" s="25" t="str">
        <f t="shared" si="42"/>
        <v/>
      </c>
      <c r="AG34" s="25" t="str">
        <f t="shared" si="43"/>
        <v/>
      </c>
      <c r="AH34" s="25" t="str">
        <f t="shared" si="44"/>
        <v/>
      </c>
      <c r="AI34" s="25">
        <f>IF(ISERROR(VLOOKUP(K34,割合DB!$A:$B,2,FALSE))=TRUE,100,VLOOKUP(K34,割合DB!$A:$B,2,FALSE))</f>
        <v>100</v>
      </c>
      <c r="AJ34" s="25">
        <f>IF(ISERROR(VLOOKUP(L34,割合DB!$A:$B,2,FALSE))=TRUE,100,VLOOKUP(L34,割合DB!$A:$B,2,FALSE))</f>
        <v>100</v>
      </c>
      <c r="AK34" s="25">
        <f>IF(ISERROR(VLOOKUP(M34,割合DB!$A:$B,2,FALSE))=TRUE,100,VLOOKUP(M34,割合DB!$A:$B,2,FALSE))</f>
        <v>100</v>
      </c>
      <c r="AL34" s="25">
        <f t="shared" si="45"/>
        <v>0</v>
      </c>
      <c r="AM34" s="18">
        <f t="shared" si="46"/>
        <v>0</v>
      </c>
      <c r="AN34" s="18">
        <f t="shared" si="47"/>
        <v>0</v>
      </c>
      <c r="AO34" s="18">
        <f t="shared" si="16"/>
        <v>0</v>
      </c>
      <c r="AP34" s="18">
        <f>IF($C34="人工面",0,IF($G34="",70,IF($D34="湿性環境",VLOOKUP($G34,環境タイプⅡによる点数DB!$A:$B,2,FALSE),IF($D34="樹林",VLOOKUP($G34,環境タイプⅡによる点数DB!$A:$C,3,FALSE),IF($D34="低木・草地",VLOOKUP($G34,環境タイプⅡによる点数DB!$A:$D,4,FALSE),0)))))</f>
        <v>70</v>
      </c>
      <c r="AQ34" s="24" t="str">
        <f>$H34&amp;"in"&amp;基本情報!$C$13</f>
        <v>in</v>
      </c>
      <c r="AR34" s="24">
        <f t="shared" si="17"/>
        <v>0</v>
      </c>
      <c r="AS34" s="24">
        <f>IF($H34="",0,IF($D34="樹林",IF(ISERROR(VLOOKUP($V34,市町村・植物種ごとの樹林点数DB!$A:$F,6,FALSE))=TRUE,10,VLOOKUP($V34,市町村・植物種ごとの樹林点数DB!$A:$F,6,FALSE)),IF($D34="低木・草地",IF(OR($H34="【ススキ】・【ネザサ】・【チガヤ】",$H34="不明"),45,10),0)))</f>
        <v>0</v>
      </c>
      <c r="AT34" s="24">
        <f t="shared" si="18"/>
        <v>0</v>
      </c>
      <c r="AU34" s="24">
        <f t="shared" si="19"/>
        <v>1</v>
      </c>
      <c r="AV34" s="24">
        <f t="shared" si="20"/>
        <v>0</v>
      </c>
      <c r="AW34" s="24">
        <f t="shared" si="21"/>
        <v>1</v>
      </c>
      <c r="AX34" s="25">
        <f t="shared" si="48"/>
        <v>0</v>
      </c>
      <c r="AY34" s="25">
        <f t="shared" si="49"/>
        <v>0</v>
      </c>
      <c r="AZ34" s="25">
        <f t="shared" si="50"/>
        <v>0</v>
      </c>
      <c r="BA34" s="25" t="str">
        <f t="shared" si="51"/>
        <v/>
      </c>
      <c r="BB34" s="25" t="str">
        <f t="shared" si="52"/>
        <v/>
      </c>
      <c r="BC34" s="25" t="str">
        <f t="shared" si="53"/>
        <v/>
      </c>
      <c r="BD34" s="25">
        <f>IF(ISERROR(VLOOKUP($K34,割合DB!$A:$B,2,FALSE))=TRUE,0,VLOOKUP($K34,割合DB!$A:$B,2,FALSE))</f>
        <v>0</v>
      </c>
      <c r="BE34" s="25">
        <f>IF(ISERROR(VLOOKUP($L34,割合DB!$A:$B,2,FALSE))=TRUE,0,VLOOKUP($L34,割合DB!$A:$B,2,FALSE))</f>
        <v>0</v>
      </c>
      <c r="BF34" s="25">
        <f>IF(ISERROR(VLOOKUP($M34,割合DB!$A:$B,2,FALSE))=TRUE,0,VLOOKUP($M34,割合DB!$A:$B,2,FALSE))</f>
        <v>0</v>
      </c>
      <c r="BG34" s="25">
        <f t="shared" si="54"/>
        <v>100</v>
      </c>
      <c r="BH34" s="18">
        <f t="shared" si="55"/>
        <v>100</v>
      </c>
      <c r="BI34" s="18">
        <f t="shared" si="32"/>
        <v>1</v>
      </c>
      <c r="BJ34" s="176"/>
      <c r="BK34" s="176"/>
      <c r="BL34" s="176"/>
      <c r="BM34" s="176"/>
      <c r="BN34" s="176"/>
      <c r="BO34" s="176"/>
      <c r="BP34" s="176"/>
      <c r="BQ34" s="176"/>
      <c r="BR34" s="176"/>
      <c r="BS34" s="176"/>
      <c r="BT34" s="176"/>
      <c r="BU34" s="176"/>
      <c r="BV34" s="176"/>
      <c r="BW34" s="176"/>
      <c r="BX34" s="176"/>
      <c r="BY34" s="176"/>
      <c r="BZ34" s="176"/>
      <c r="CA34" s="176"/>
    </row>
    <row r="35" spans="1:79" ht="27" customHeight="1" x14ac:dyDescent="0.15">
      <c r="A35" s="30" t="s">
        <v>527</v>
      </c>
      <c r="B35" s="31" t="str">
        <f>IF('環境条件(竣工時)'!B35="","",'環境条件(竣工時)'!B35)</f>
        <v/>
      </c>
      <c r="C35" s="31" t="str">
        <f>IF('環境条件(竣工時)'!C35="","",'環境条件(竣工時)'!C35)</f>
        <v/>
      </c>
      <c r="D35" s="31" t="str">
        <f>IF('環境条件(竣工時)'!D35="","",'環境条件(竣工時)'!D35)</f>
        <v/>
      </c>
      <c r="E35" s="31" t="str">
        <f>IF('環境条件(竣工時)'!E35="","",'環境条件(竣工時)'!E35)</f>
        <v/>
      </c>
      <c r="F35" s="30" t="str">
        <f>IF('環境条件(竣工時)'!F35="","",'環境条件(竣工時)'!F35)</f>
        <v/>
      </c>
      <c r="G35" s="21"/>
      <c r="H35" s="22"/>
      <c r="I35" s="22"/>
      <c r="J35" s="22"/>
      <c r="K35" s="23"/>
      <c r="L35" s="23"/>
      <c r="M35" s="23"/>
      <c r="N35" s="146"/>
      <c r="O35" s="40">
        <f t="shared" si="33"/>
        <v>0</v>
      </c>
      <c r="P35" s="183" t="str">
        <f t="shared" si="34"/>
        <v/>
      </c>
      <c r="S35" s="18">
        <f t="shared" si="31"/>
        <v>0</v>
      </c>
      <c r="T35" s="18">
        <f t="shared" si="1"/>
        <v>0</v>
      </c>
      <c r="U35" s="18">
        <f>IF(C35="人工面",0,IF(G35="",0,IF(D35="湿性環境",VLOOKUP(G35,環境タイプⅡによる点数DB!A:B,2,FALSE),IF(D35="樹林",VLOOKUP(G35,環境タイプⅡによる点数DB!A:C,3,FALSE),IF(D35="低木・草地",VLOOKUP(G35,環境タイプⅡによる点数DB!A:D,4,FALSE),0)))))</f>
        <v>0</v>
      </c>
      <c r="V35" s="24" t="str">
        <f>$H35&amp;"in"&amp;基本情報!$C$13</f>
        <v>in</v>
      </c>
      <c r="W35" s="24">
        <f t="shared" si="2"/>
        <v>0</v>
      </c>
      <c r="X35" s="24">
        <f>IF($H35="",0,IF($D35="樹林",IF(ISERROR(VLOOKUP($V35,市町村・植物種ごとの樹林点数DB!$A:$G,7,FALSE))=TRUE,20,VLOOKUP($V35,市町村・植物種ごとの樹林点数DB!$A:$G,7,FALSE)),IF($D35="低木・草地",IF($H35="【ススキ】・【ネザサ】・【チガヤ】",45,10),0)))</f>
        <v>0</v>
      </c>
      <c r="Y35" s="24">
        <f t="shared" si="35"/>
        <v>0</v>
      </c>
      <c r="Z35" s="24">
        <f t="shared" si="36"/>
        <v>1</v>
      </c>
      <c r="AA35" s="24">
        <f t="shared" si="37"/>
        <v>1</v>
      </c>
      <c r="AB35" s="24">
        <f t="shared" si="38"/>
        <v>0</v>
      </c>
      <c r="AC35" s="25">
        <f t="shared" si="39"/>
        <v>0</v>
      </c>
      <c r="AD35" s="25">
        <f t="shared" si="40"/>
        <v>0</v>
      </c>
      <c r="AE35" s="25">
        <f t="shared" si="41"/>
        <v>0</v>
      </c>
      <c r="AF35" s="25" t="str">
        <f t="shared" si="42"/>
        <v/>
      </c>
      <c r="AG35" s="25" t="str">
        <f t="shared" si="43"/>
        <v/>
      </c>
      <c r="AH35" s="25" t="str">
        <f t="shared" si="44"/>
        <v/>
      </c>
      <c r="AI35" s="25">
        <f>IF(ISERROR(VLOOKUP(K35,割合DB!$A:$B,2,FALSE))=TRUE,100,VLOOKUP(K35,割合DB!$A:$B,2,FALSE))</f>
        <v>100</v>
      </c>
      <c r="AJ35" s="25">
        <f>IF(ISERROR(VLOOKUP(L35,割合DB!$A:$B,2,FALSE))=TRUE,100,VLOOKUP(L35,割合DB!$A:$B,2,FALSE))</f>
        <v>100</v>
      </c>
      <c r="AK35" s="25">
        <f>IF(ISERROR(VLOOKUP(M35,割合DB!$A:$B,2,FALSE))=TRUE,100,VLOOKUP(M35,割合DB!$A:$B,2,FALSE))</f>
        <v>100</v>
      </c>
      <c r="AL35" s="25">
        <f t="shared" si="45"/>
        <v>0</v>
      </c>
      <c r="AM35" s="18">
        <f t="shared" si="46"/>
        <v>0</v>
      </c>
      <c r="AN35" s="18">
        <f t="shared" si="47"/>
        <v>0</v>
      </c>
      <c r="AO35" s="18">
        <f t="shared" si="16"/>
        <v>0</v>
      </c>
      <c r="AP35" s="18">
        <f>IF($C35="人工面",0,IF($G35="",70,IF($D35="湿性環境",VLOOKUP($G35,環境タイプⅡによる点数DB!$A:$B,2,FALSE),IF($D35="樹林",VLOOKUP($G35,環境タイプⅡによる点数DB!$A:$C,3,FALSE),IF($D35="低木・草地",VLOOKUP($G35,環境タイプⅡによる点数DB!$A:$D,4,FALSE),0)))))</f>
        <v>70</v>
      </c>
      <c r="AQ35" s="24" t="str">
        <f>$H35&amp;"in"&amp;基本情報!$C$13</f>
        <v>in</v>
      </c>
      <c r="AR35" s="24">
        <f t="shared" si="17"/>
        <v>0</v>
      </c>
      <c r="AS35" s="24">
        <f>IF($H35="",0,IF($D35="樹林",IF(ISERROR(VLOOKUP($V35,市町村・植物種ごとの樹林点数DB!$A:$F,6,FALSE))=TRUE,10,VLOOKUP($V35,市町村・植物種ごとの樹林点数DB!$A:$F,6,FALSE)),IF($D35="低木・草地",IF(OR($H35="【ススキ】・【ネザサ】・【チガヤ】",$H35="不明"),45,10),0)))</f>
        <v>0</v>
      </c>
      <c r="AT35" s="24">
        <f t="shared" si="18"/>
        <v>0</v>
      </c>
      <c r="AU35" s="24">
        <f t="shared" si="19"/>
        <v>1</v>
      </c>
      <c r="AV35" s="24">
        <f t="shared" si="20"/>
        <v>0</v>
      </c>
      <c r="AW35" s="24">
        <f t="shared" si="21"/>
        <v>1</v>
      </c>
      <c r="AX35" s="25">
        <f t="shared" si="48"/>
        <v>0</v>
      </c>
      <c r="AY35" s="25">
        <f t="shared" si="49"/>
        <v>0</v>
      </c>
      <c r="AZ35" s="25">
        <f t="shared" si="50"/>
        <v>0</v>
      </c>
      <c r="BA35" s="25" t="str">
        <f t="shared" si="51"/>
        <v/>
      </c>
      <c r="BB35" s="25" t="str">
        <f t="shared" si="52"/>
        <v/>
      </c>
      <c r="BC35" s="25" t="str">
        <f t="shared" si="53"/>
        <v/>
      </c>
      <c r="BD35" s="25">
        <f>IF(ISERROR(VLOOKUP($K35,割合DB!$A:$B,2,FALSE))=TRUE,0,VLOOKUP($K35,割合DB!$A:$B,2,FALSE))</f>
        <v>0</v>
      </c>
      <c r="BE35" s="25">
        <f>IF(ISERROR(VLOOKUP($L35,割合DB!$A:$B,2,FALSE))=TRUE,0,VLOOKUP($L35,割合DB!$A:$B,2,FALSE))</f>
        <v>0</v>
      </c>
      <c r="BF35" s="25">
        <f>IF(ISERROR(VLOOKUP($M35,割合DB!$A:$B,2,FALSE))=TRUE,0,VLOOKUP($M35,割合DB!$A:$B,2,FALSE))</f>
        <v>0</v>
      </c>
      <c r="BG35" s="25">
        <f t="shared" si="54"/>
        <v>100</v>
      </c>
      <c r="BH35" s="18">
        <f t="shared" si="55"/>
        <v>100</v>
      </c>
      <c r="BI35" s="18">
        <f t="shared" si="32"/>
        <v>1</v>
      </c>
      <c r="BJ35" s="176"/>
      <c r="BK35" s="176"/>
      <c r="BL35" s="176"/>
      <c r="BM35" s="176"/>
      <c r="BN35" s="176"/>
      <c r="BO35" s="176"/>
      <c r="BP35" s="176"/>
      <c r="BQ35" s="176"/>
      <c r="BR35" s="176"/>
      <c r="BS35" s="176"/>
      <c r="BT35" s="176"/>
      <c r="BU35" s="176"/>
      <c r="BV35" s="176"/>
      <c r="BW35" s="176"/>
      <c r="BX35" s="176"/>
      <c r="BY35" s="176"/>
      <c r="BZ35" s="176"/>
      <c r="CA35" s="176"/>
    </row>
    <row r="36" spans="1:79" ht="27" customHeight="1" x14ac:dyDescent="0.15">
      <c r="A36" s="30" t="s">
        <v>528</v>
      </c>
      <c r="B36" s="31" t="str">
        <f>IF('環境条件(竣工時)'!B36="","",'環境条件(竣工時)'!B36)</f>
        <v/>
      </c>
      <c r="C36" s="31" t="str">
        <f>IF('環境条件(竣工時)'!C36="","",'環境条件(竣工時)'!C36)</f>
        <v/>
      </c>
      <c r="D36" s="31" t="str">
        <f>IF('環境条件(竣工時)'!D36="","",'環境条件(竣工時)'!D36)</f>
        <v/>
      </c>
      <c r="E36" s="31" t="str">
        <f>IF('環境条件(竣工時)'!E36="","",'環境条件(竣工時)'!E36)</f>
        <v/>
      </c>
      <c r="F36" s="30" t="str">
        <f>IF('環境条件(竣工時)'!F36="","",'環境条件(竣工時)'!F36)</f>
        <v/>
      </c>
      <c r="G36" s="21"/>
      <c r="H36" s="22"/>
      <c r="I36" s="22"/>
      <c r="J36" s="22"/>
      <c r="K36" s="23"/>
      <c r="L36" s="23"/>
      <c r="M36" s="23"/>
      <c r="N36" s="146"/>
      <c r="O36" s="40">
        <f t="shared" si="33"/>
        <v>0</v>
      </c>
      <c r="P36" s="183" t="str">
        <f t="shared" si="34"/>
        <v/>
      </c>
      <c r="S36" s="18">
        <f t="shared" si="31"/>
        <v>0</v>
      </c>
      <c r="T36" s="18">
        <f t="shared" si="1"/>
        <v>0</v>
      </c>
      <c r="U36" s="18">
        <f>IF(C36="人工面",0,IF(G36="",0,IF(D36="湿性環境",VLOOKUP(G36,環境タイプⅡによる点数DB!A:B,2,FALSE),IF(D36="樹林",VLOOKUP(G36,環境タイプⅡによる点数DB!A:C,3,FALSE),IF(D36="低木・草地",VLOOKUP(G36,環境タイプⅡによる点数DB!A:D,4,FALSE),0)))))</f>
        <v>0</v>
      </c>
      <c r="V36" s="24" t="str">
        <f>$H36&amp;"in"&amp;基本情報!$C$13</f>
        <v>in</v>
      </c>
      <c r="W36" s="24">
        <f t="shared" si="2"/>
        <v>0</v>
      </c>
      <c r="X36" s="24">
        <f>IF($H36="",0,IF($D36="樹林",IF(ISERROR(VLOOKUP($V36,市町村・植物種ごとの樹林点数DB!$A:$G,7,FALSE))=TRUE,20,VLOOKUP($V36,市町村・植物種ごとの樹林点数DB!$A:$G,7,FALSE)),IF($D36="低木・草地",IF($H36="【ススキ】・【ネザサ】・【チガヤ】",45,10),0)))</f>
        <v>0</v>
      </c>
      <c r="Y36" s="24">
        <f t="shared" si="35"/>
        <v>0</v>
      </c>
      <c r="Z36" s="24">
        <f t="shared" si="36"/>
        <v>1</v>
      </c>
      <c r="AA36" s="24">
        <f t="shared" si="37"/>
        <v>1</v>
      </c>
      <c r="AB36" s="24">
        <f t="shared" si="38"/>
        <v>0</v>
      </c>
      <c r="AC36" s="25">
        <f t="shared" si="39"/>
        <v>0</v>
      </c>
      <c r="AD36" s="25">
        <f t="shared" si="40"/>
        <v>0</v>
      </c>
      <c r="AE36" s="25">
        <f t="shared" si="41"/>
        <v>0</v>
      </c>
      <c r="AF36" s="25" t="str">
        <f t="shared" si="42"/>
        <v/>
      </c>
      <c r="AG36" s="25" t="str">
        <f t="shared" si="43"/>
        <v/>
      </c>
      <c r="AH36" s="25" t="str">
        <f t="shared" si="44"/>
        <v/>
      </c>
      <c r="AI36" s="25">
        <f>IF(ISERROR(VLOOKUP(K36,割合DB!$A:$B,2,FALSE))=TRUE,100,VLOOKUP(K36,割合DB!$A:$B,2,FALSE))</f>
        <v>100</v>
      </c>
      <c r="AJ36" s="25">
        <f>IF(ISERROR(VLOOKUP(L36,割合DB!$A:$B,2,FALSE))=TRUE,100,VLOOKUP(L36,割合DB!$A:$B,2,FALSE))</f>
        <v>100</v>
      </c>
      <c r="AK36" s="25">
        <f>IF(ISERROR(VLOOKUP(M36,割合DB!$A:$B,2,FALSE))=TRUE,100,VLOOKUP(M36,割合DB!$A:$B,2,FALSE))</f>
        <v>100</v>
      </c>
      <c r="AL36" s="25">
        <f t="shared" si="45"/>
        <v>0</v>
      </c>
      <c r="AM36" s="18">
        <f t="shared" si="46"/>
        <v>0</v>
      </c>
      <c r="AN36" s="18">
        <f t="shared" si="47"/>
        <v>0</v>
      </c>
      <c r="AO36" s="18">
        <f t="shared" si="16"/>
        <v>0</v>
      </c>
      <c r="AP36" s="18">
        <f>IF($C36="人工面",0,IF($G36="",70,IF($D36="湿性環境",VLOOKUP($G36,環境タイプⅡによる点数DB!$A:$B,2,FALSE),IF($D36="樹林",VLOOKUP($G36,環境タイプⅡによる点数DB!$A:$C,3,FALSE),IF($D36="低木・草地",VLOOKUP($G36,環境タイプⅡによる点数DB!$A:$D,4,FALSE),0)))))</f>
        <v>70</v>
      </c>
      <c r="AQ36" s="24" t="str">
        <f>$H36&amp;"in"&amp;基本情報!$C$13</f>
        <v>in</v>
      </c>
      <c r="AR36" s="24">
        <f t="shared" si="17"/>
        <v>0</v>
      </c>
      <c r="AS36" s="24">
        <f>IF($H36="",0,IF($D36="樹林",IF(ISERROR(VLOOKUP($V36,市町村・植物種ごとの樹林点数DB!$A:$F,6,FALSE))=TRUE,10,VLOOKUP($V36,市町村・植物種ごとの樹林点数DB!$A:$F,6,FALSE)),IF($D36="低木・草地",IF(OR($H36="【ススキ】・【ネザサ】・【チガヤ】",$H36="不明"),45,10),0)))</f>
        <v>0</v>
      </c>
      <c r="AT36" s="24">
        <f t="shared" si="18"/>
        <v>0</v>
      </c>
      <c r="AU36" s="24">
        <f t="shared" si="19"/>
        <v>1</v>
      </c>
      <c r="AV36" s="24">
        <f t="shared" si="20"/>
        <v>0</v>
      </c>
      <c r="AW36" s="24">
        <f t="shared" si="21"/>
        <v>1</v>
      </c>
      <c r="AX36" s="25">
        <f t="shared" si="48"/>
        <v>0</v>
      </c>
      <c r="AY36" s="25">
        <f t="shared" si="49"/>
        <v>0</v>
      </c>
      <c r="AZ36" s="25">
        <f t="shared" si="50"/>
        <v>0</v>
      </c>
      <c r="BA36" s="25" t="str">
        <f t="shared" si="51"/>
        <v/>
      </c>
      <c r="BB36" s="25" t="str">
        <f t="shared" si="52"/>
        <v/>
      </c>
      <c r="BC36" s="25" t="str">
        <f t="shared" si="53"/>
        <v/>
      </c>
      <c r="BD36" s="25">
        <f>IF(ISERROR(VLOOKUP($K36,割合DB!$A:$B,2,FALSE))=TRUE,0,VLOOKUP($K36,割合DB!$A:$B,2,FALSE))</f>
        <v>0</v>
      </c>
      <c r="BE36" s="25">
        <f>IF(ISERROR(VLOOKUP($L36,割合DB!$A:$B,2,FALSE))=TRUE,0,VLOOKUP($L36,割合DB!$A:$B,2,FALSE))</f>
        <v>0</v>
      </c>
      <c r="BF36" s="25">
        <f>IF(ISERROR(VLOOKUP($M36,割合DB!$A:$B,2,FALSE))=TRUE,0,VLOOKUP($M36,割合DB!$A:$B,2,FALSE))</f>
        <v>0</v>
      </c>
      <c r="BG36" s="25">
        <f t="shared" si="54"/>
        <v>100</v>
      </c>
      <c r="BH36" s="18">
        <f t="shared" si="55"/>
        <v>100</v>
      </c>
      <c r="BI36" s="18">
        <f t="shared" si="32"/>
        <v>1</v>
      </c>
      <c r="BJ36" s="176"/>
      <c r="BK36" s="176"/>
      <c r="BL36" s="176"/>
      <c r="BM36" s="176"/>
      <c r="BN36" s="176"/>
      <c r="BO36" s="176"/>
      <c r="BP36" s="176"/>
      <c r="BQ36" s="176"/>
      <c r="BR36" s="176"/>
      <c r="BS36" s="176"/>
      <c r="BT36" s="176"/>
      <c r="BU36" s="176"/>
      <c r="BV36" s="176"/>
      <c r="BW36" s="176"/>
      <c r="BX36" s="176"/>
      <c r="BY36" s="176"/>
      <c r="BZ36" s="176"/>
      <c r="CA36" s="176"/>
    </row>
    <row r="37" spans="1:79" ht="27" customHeight="1" x14ac:dyDescent="0.15">
      <c r="A37" s="30" t="s">
        <v>529</v>
      </c>
      <c r="B37" s="31" t="str">
        <f>IF('環境条件(竣工時)'!B37="","",'環境条件(竣工時)'!B37)</f>
        <v/>
      </c>
      <c r="C37" s="31" t="str">
        <f>IF('環境条件(竣工時)'!C37="","",'環境条件(竣工時)'!C37)</f>
        <v/>
      </c>
      <c r="D37" s="31" t="str">
        <f>IF('環境条件(竣工時)'!D37="","",'環境条件(竣工時)'!D37)</f>
        <v/>
      </c>
      <c r="E37" s="31" t="str">
        <f>IF('環境条件(竣工時)'!E37="","",'環境条件(竣工時)'!E37)</f>
        <v/>
      </c>
      <c r="F37" s="30" t="str">
        <f>IF('環境条件(竣工時)'!F37="","",'環境条件(竣工時)'!F37)</f>
        <v/>
      </c>
      <c r="G37" s="21"/>
      <c r="H37" s="22"/>
      <c r="I37" s="22"/>
      <c r="J37" s="22"/>
      <c r="K37" s="23"/>
      <c r="L37" s="23"/>
      <c r="M37" s="23"/>
      <c r="N37" s="146"/>
      <c r="O37" s="40">
        <f t="shared" si="33"/>
        <v>0</v>
      </c>
      <c r="P37" s="183" t="str">
        <f t="shared" si="34"/>
        <v/>
      </c>
      <c r="S37" s="18">
        <f t="shared" si="31"/>
        <v>0</v>
      </c>
      <c r="T37" s="18">
        <f t="shared" si="1"/>
        <v>0</v>
      </c>
      <c r="U37" s="18">
        <f>IF(C37="人工面",0,IF(G37="",0,IF(D37="湿性環境",VLOOKUP(G37,環境タイプⅡによる点数DB!A:B,2,FALSE),IF(D37="樹林",VLOOKUP(G37,環境タイプⅡによる点数DB!A:C,3,FALSE),IF(D37="低木・草地",VLOOKUP(G37,環境タイプⅡによる点数DB!A:D,4,FALSE),0)))))</f>
        <v>0</v>
      </c>
      <c r="V37" s="24" t="str">
        <f>$H37&amp;"in"&amp;基本情報!$C$13</f>
        <v>in</v>
      </c>
      <c r="W37" s="24">
        <f t="shared" si="2"/>
        <v>0</v>
      </c>
      <c r="X37" s="24">
        <f>IF($H37="",0,IF($D37="樹林",IF(ISERROR(VLOOKUP($V37,市町村・植物種ごとの樹林点数DB!$A:$G,7,FALSE))=TRUE,20,VLOOKUP($V37,市町村・植物種ごとの樹林点数DB!$A:$G,7,FALSE)),IF($D37="低木・草地",IF($H37="【ススキ】・【ネザサ】・【チガヤ】",45,10),0)))</f>
        <v>0</v>
      </c>
      <c r="Y37" s="24">
        <f t="shared" si="35"/>
        <v>0</v>
      </c>
      <c r="Z37" s="24">
        <f t="shared" si="36"/>
        <v>1</v>
      </c>
      <c r="AA37" s="24">
        <f t="shared" si="37"/>
        <v>1</v>
      </c>
      <c r="AB37" s="24">
        <f t="shared" si="38"/>
        <v>0</v>
      </c>
      <c r="AC37" s="25">
        <f t="shared" si="39"/>
        <v>0</v>
      </c>
      <c r="AD37" s="25">
        <f t="shared" si="40"/>
        <v>0</v>
      </c>
      <c r="AE37" s="25">
        <f t="shared" si="41"/>
        <v>0</v>
      </c>
      <c r="AF37" s="25" t="str">
        <f t="shared" si="42"/>
        <v/>
      </c>
      <c r="AG37" s="25" t="str">
        <f t="shared" si="43"/>
        <v/>
      </c>
      <c r="AH37" s="25" t="str">
        <f t="shared" si="44"/>
        <v/>
      </c>
      <c r="AI37" s="25">
        <f>IF(ISERROR(VLOOKUP(K37,割合DB!$A:$B,2,FALSE))=TRUE,100,VLOOKUP(K37,割合DB!$A:$B,2,FALSE))</f>
        <v>100</v>
      </c>
      <c r="AJ37" s="25">
        <f>IF(ISERROR(VLOOKUP(L37,割合DB!$A:$B,2,FALSE))=TRUE,100,VLOOKUP(L37,割合DB!$A:$B,2,FALSE))</f>
        <v>100</v>
      </c>
      <c r="AK37" s="25">
        <f>IF(ISERROR(VLOOKUP(M37,割合DB!$A:$B,2,FALSE))=TRUE,100,VLOOKUP(M37,割合DB!$A:$B,2,FALSE))</f>
        <v>100</v>
      </c>
      <c r="AL37" s="25">
        <f t="shared" si="45"/>
        <v>0</v>
      </c>
      <c r="AM37" s="18">
        <f t="shared" si="46"/>
        <v>0</v>
      </c>
      <c r="AN37" s="18">
        <f t="shared" si="47"/>
        <v>0</v>
      </c>
      <c r="AO37" s="18">
        <f t="shared" si="16"/>
        <v>0</v>
      </c>
      <c r="AP37" s="18">
        <f>IF($C37="人工面",0,IF($G37="",70,IF($D37="湿性環境",VLOOKUP($G37,環境タイプⅡによる点数DB!$A:$B,2,FALSE),IF($D37="樹林",VLOOKUP($G37,環境タイプⅡによる点数DB!$A:$C,3,FALSE),IF($D37="低木・草地",VLOOKUP($G37,環境タイプⅡによる点数DB!$A:$D,4,FALSE),0)))))</f>
        <v>70</v>
      </c>
      <c r="AQ37" s="24" t="str">
        <f>$H37&amp;"in"&amp;基本情報!$C$13</f>
        <v>in</v>
      </c>
      <c r="AR37" s="24">
        <f t="shared" si="17"/>
        <v>0</v>
      </c>
      <c r="AS37" s="24">
        <f>IF($H37="",0,IF($D37="樹林",IF(ISERROR(VLOOKUP($V37,市町村・植物種ごとの樹林点数DB!$A:$F,6,FALSE))=TRUE,10,VLOOKUP($V37,市町村・植物種ごとの樹林点数DB!$A:$F,6,FALSE)),IF($D37="低木・草地",IF(OR($H37="【ススキ】・【ネザサ】・【チガヤ】",$H37="不明"),45,10),0)))</f>
        <v>0</v>
      </c>
      <c r="AT37" s="24">
        <f t="shared" si="18"/>
        <v>0</v>
      </c>
      <c r="AU37" s="24">
        <f t="shared" si="19"/>
        <v>1</v>
      </c>
      <c r="AV37" s="24">
        <f t="shared" si="20"/>
        <v>0</v>
      </c>
      <c r="AW37" s="24">
        <f t="shared" si="21"/>
        <v>1</v>
      </c>
      <c r="AX37" s="25">
        <f t="shared" si="48"/>
        <v>0</v>
      </c>
      <c r="AY37" s="25">
        <f t="shared" si="49"/>
        <v>0</v>
      </c>
      <c r="AZ37" s="25">
        <f t="shared" si="50"/>
        <v>0</v>
      </c>
      <c r="BA37" s="25" t="str">
        <f t="shared" si="51"/>
        <v/>
      </c>
      <c r="BB37" s="25" t="str">
        <f t="shared" si="52"/>
        <v/>
      </c>
      <c r="BC37" s="25" t="str">
        <f t="shared" si="53"/>
        <v/>
      </c>
      <c r="BD37" s="25">
        <f>IF(ISERROR(VLOOKUP($K37,割合DB!$A:$B,2,FALSE))=TRUE,0,VLOOKUP($K37,割合DB!$A:$B,2,FALSE))</f>
        <v>0</v>
      </c>
      <c r="BE37" s="25">
        <f>IF(ISERROR(VLOOKUP($L37,割合DB!$A:$B,2,FALSE))=TRUE,0,VLOOKUP($L37,割合DB!$A:$B,2,FALSE))</f>
        <v>0</v>
      </c>
      <c r="BF37" s="25">
        <f>IF(ISERROR(VLOOKUP($M37,割合DB!$A:$B,2,FALSE))=TRUE,0,VLOOKUP($M37,割合DB!$A:$B,2,FALSE))</f>
        <v>0</v>
      </c>
      <c r="BG37" s="25">
        <f t="shared" si="54"/>
        <v>100</v>
      </c>
      <c r="BH37" s="18">
        <f t="shared" si="55"/>
        <v>100</v>
      </c>
      <c r="BI37" s="18">
        <f t="shared" si="32"/>
        <v>1</v>
      </c>
      <c r="BJ37" s="176"/>
      <c r="BK37" s="176"/>
      <c r="BL37" s="176"/>
      <c r="BM37" s="176"/>
      <c r="BN37" s="176"/>
      <c r="BO37" s="176"/>
      <c r="BP37" s="176"/>
      <c r="BQ37" s="176"/>
      <c r="BR37" s="176"/>
      <c r="BS37" s="176"/>
      <c r="BT37" s="176"/>
      <c r="BU37" s="176"/>
      <c r="BV37" s="176"/>
      <c r="BW37" s="176"/>
      <c r="BX37" s="176"/>
      <c r="BY37" s="176"/>
      <c r="BZ37" s="176"/>
      <c r="CA37" s="176"/>
    </row>
    <row r="38" spans="1:79" ht="27" customHeight="1" x14ac:dyDescent="0.15">
      <c r="A38" s="30" t="s">
        <v>530</v>
      </c>
      <c r="B38" s="31" t="str">
        <f>IF('環境条件(竣工時)'!B38="","",'環境条件(竣工時)'!B38)</f>
        <v/>
      </c>
      <c r="C38" s="31" t="str">
        <f>IF('環境条件(竣工時)'!C38="","",'環境条件(竣工時)'!C38)</f>
        <v/>
      </c>
      <c r="D38" s="31" t="str">
        <f>IF('環境条件(竣工時)'!D38="","",'環境条件(竣工時)'!D38)</f>
        <v/>
      </c>
      <c r="E38" s="31" t="str">
        <f>IF('環境条件(竣工時)'!E38="","",'環境条件(竣工時)'!E38)</f>
        <v/>
      </c>
      <c r="F38" s="30" t="str">
        <f>IF('環境条件(竣工時)'!F38="","",'環境条件(竣工時)'!F38)</f>
        <v/>
      </c>
      <c r="G38" s="21"/>
      <c r="H38" s="22"/>
      <c r="I38" s="22"/>
      <c r="J38" s="22"/>
      <c r="K38" s="23"/>
      <c r="L38" s="23"/>
      <c r="M38" s="23"/>
      <c r="N38" s="146"/>
      <c r="O38" s="40">
        <f t="shared" si="33"/>
        <v>0</v>
      </c>
      <c r="P38" s="183" t="str">
        <f t="shared" si="34"/>
        <v/>
      </c>
      <c r="S38" s="18">
        <f t="shared" si="31"/>
        <v>0</v>
      </c>
      <c r="T38" s="18">
        <f t="shared" si="1"/>
        <v>0</v>
      </c>
      <c r="U38" s="18">
        <f>IF(C38="人工面",0,IF(G38="",0,IF(D38="湿性環境",VLOOKUP(G38,環境タイプⅡによる点数DB!A:B,2,FALSE),IF(D38="樹林",VLOOKUP(G38,環境タイプⅡによる点数DB!A:C,3,FALSE),IF(D38="低木・草地",VLOOKUP(G38,環境タイプⅡによる点数DB!A:D,4,FALSE),0)))))</f>
        <v>0</v>
      </c>
      <c r="V38" s="24" t="str">
        <f>$H38&amp;"in"&amp;基本情報!$C$13</f>
        <v>in</v>
      </c>
      <c r="W38" s="24">
        <f t="shared" si="2"/>
        <v>0</v>
      </c>
      <c r="X38" s="24">
        <f>IF($H38="",0,IF($D38="樹林",IF(ISERROR(VLOOKUP($V38,市町村・植物種ごとの樹林点数DB!$A:$G,7,FALSE))=TRUE,20,VLOOKUP($V38,市町村・植物種ごとの樹林点数DB!$A:$G,7,FALSE)),IF($D38="低木・草地",IF($H38="【ススキ】・【ネザサ】・【チガヤ】",45,10),0)))</f>
        <v>0</v>
      </c>
      <c r="Y38" s="24">
        <f t="shared" si="35"/>
        <v>0</v>
      </c>
      <c r="Z38" s="24">
        <f t="shared" si="36"/>
        <v>1</v>
      </c>
      <c r="AA38" s="24">
        <f t="shared" si="37"/>
        <v>1</v>
      </c>
      <c r="AB38" s="24">
        <f t="shared" si="38"/>
        <v>0</v>
      </c>
      <c r="AC38" s="25">
        <f t="shared" si="39"/>
        <v>0</v>
      </c>
      <c r="AD38" s="25">
        <f t="shared" si="40"/>
        <v>0</v>
      </c>
      <c r="AE38" s="25">
        <f t="shared" si="41"/>
        <v>0</v>
      </c>
      <c r="AF38" s="25" t="str">
        <f t="shared" si="42"/>
        <v/>
      </c>
      <c r="AG38" s="25" t="str">
        <f t="shared" si="43"/>
        <v/>
      </c>
      <c r="AH38" s="25" t="str">
        <f t="shared" si="44"/>
        <v/>
      </c>
      <c r="AI38" s="25">
        <f>IF(ISERROR(VLOOKUP(K38,割合DB!$A:$B,2,FALSE))=TRUE,100,VLOOKUP(K38,割合DB!$A:$B,2,FALSE))</f>
        <v>100</v>
      </c>
      <c r="AJ38" s="25">
        <f>IF(ISERROR(VLOOKUP(L38,割合DB!$A:$B,2,FALSE))=TRUE,100,VLOOKUP(L38,割合DB!$A:$B,2,FALSE))</f>
        <v>100</v>
      </c>
      <c r="AK38" s="25">
        <f>IF(ISERROR(VLOOKUP(M38,割合DB!$A:$B,2,FALSE))=TRUE,100,VLOOKUP(M38,割合DB!$A:$B,2,FALSE))</f>
        <v>100</v>
      </c>
      <c r="AL38" s="25">
        <f t="shared" si="45"/>
        <v>0</v>
      </c>
      <c r="AM38" s="18">
        <f t="shared" si="46"/>
        <v>0</v>
      </c>
      <c r="AN38" s="18">
        <f t="shared" si="47"/>
        <v>0</v>
      </c>
      <c r="AO38" s="18">
        <f t="shared" si="16"/>
        <v>0</v>
      </c>
      <c r="AP38" s="18">
        <f>IF($C38="人工面",0,IF($G38="",70,IF($D38="湿性環境",VLOOKUP($G38,環境タイプⅡによる点数DB!$A:$B,2,FALSE),IF($D38="樹林",VLOOKUP($G38,環境タイプⅡによる点数DB!$A:$C,3,FALSE),IF($D38="低木・草地",VLOOKUP($G38,環境タイプⅡによる点数DB!$A:$D,4,FALSE),0)))))</f>
        <v>70</v>
      </c>
      <c r="AQ38" s="24" t="str">
        <f>$H38&amp;"in"&amp;基本情報!$C$13</f>
        <v>in</v>
      </c>
      <c r="AR38" s="24">
        <f t="shared" si="17"/>
        <v>0</v>
      </c>
      <c r="AS38" s="24">
        <f>IF($H38="",0,IF($D38="樹林",IF(ISERROR(VLOOKUP($V38,市町村・植物種ごとの樹林点数DB!$A:$F,6,FALSE))=TRUE,10,VLOOKUP($V38,市町村・植物種ごとの樹林点数DB!$A:$F,6,FALSE)),IF($D38="低木・草地",IF(OR($H38="【ススキ】・【ネザサ】・【チガヤ】",$H38="不明"),45,10),0)))</f>
        <v>0</v>
      </c>
      <c r="AT38" s="24">
        <f t="shared" si="18"/>
        <v>0</v>
      </c>
      <c r="AU38" s="24">
        <f t="shared" si="19"/>
        <v>1</v>
      </c>
      <c r="AV38" s="24">
        <f t="shared" si="20"/>
        <v>0</v>
      </c>
      <c r="AW38" s="24">
        <f t="shared" si="21"/>
        <v>1</v>
      </c>
      <c r="AX38" s="25">
        <f t="shared" si="48"/>
        <v>0</v>
      </c>
      <c r="AY38" s="25">
        <f t="shared" si="49"/>
        <v>0</v>
      </c>
      <c r="AZ38" s="25">
        <f t="shared" si="50"/>
        <v>0</v>
      </c>
      <c r="BA38" s="25" t="str">
        <f t="shared" si="51"/>
        <v/>
      </c>
      <c r="BB38" s="25" t="str">
        <f t="shared" si="52"/>
        <v/>
      </c>
      <c r="BC38" s="25" t="str">
        <f t="shared" si="53"/>
        <v/>
      </c>
      <c r="BD38" s="25">
        <f>IF(ISERROR(VLOOKUP($K38,割合DB!$A:$B,2,FALSE))=TRUE,0,VLOOKUP($K38,割合DB!$A:$B,2,FALSE))</f>
        <v>0</v>
      </c>
      <c r="BE38" s="25">
        <f>IF(ISERROR(VLOOKUP($L38,割合DB!$A:$B,2,FALSE))=TRUE,0,VLOOKUP($L38,割合DB!$A:$B,2,FALSE))</f>
        <v>0</v>
      </c>
      <c r="BF38" s="25">
        <f>IF(ISERROR(VLOOKUP($M38,割合DB!$A:$B,2,FALSE))=TRUE,0,VLOOKUP($M38,割合DB!$A:$B,2,FALSE))</f>
        <v>0</v>
      </c>
      <c r="BG38" s="25">
        <f t="shared" si="54"/>
        <v>100</v>
      </c>
      <c r="BH38" s="18">
        <f t="shared" si="55"/>
        <v>100</v>
      </c>
      <c r="BI38" s="18">
        <f t="shared" si="32"/>
        <v>1</v>
      </c>
      <c r="BJ38" s="176"/>
      <c r="BK38" s="176"/>
      <c r="BL38" s="176"/>
      <c r="BM38" s="176"/>
      <c r="BN38" s="176"/>
      <c r="BO38" s="176"/>
      <c r="BP38" s="176"/>
      <c r="BQ38" s="176"/>
      <c r="BR38" s="176"/>
      <c r="BS38" s="176"/>
      <c r="BT38" s="176"/>
      <c r="BU38" s="176"/>
      <c r="BV38" s="176"/>
      <c r="BW38" s="176"/>
      <c r="BX38" s="176"/>
      <c r="BY38" s="176"/>
      <c r="BZ38" s="176"/>
      <c r="CA38" s="176"/>
    </row>
    <row r="39" spans="1:79" ht="27" customHeight="1" x14ac:dyDescent="0.15">
      <c r="A39" s="30" t="s">
        <v>531</v>
      </c>
      <c r="B39" s="31" t="str">
        <f>IF('環境条件(竣工時)'!B39="","",'環境条件(竣工時)'!B39)</f>
        <v/>
      </c>
      <c r="C39" s="31" t="str">
        <f>IF('環境条件(竣工時)'!C39="","",'環境条件(竣工時)'!C39)</f>
        <v/>
      </c>
      <c r="D39" s="31" t="str">
        <f>IF('環境条件(竣工時)'!D39="","",'環境条件(竣工時)'!D39)</f>
        <v/>
      </c>
      <c r="E39" s="31" t="str">
        <f>IF('環境条件(竣工時)'!E39="","",'環境条件(竣工時)'!E39)</f>
        <v/>
      </c>
      <c r="F39" s="30" t="str">
        <f>IF('環境条件(竣工時)'!F39="","",'環境条件(竣工時)'!F39)</f>
        <v/>
      </c>
      <c r="G39" s="21"/>
      <c r="H39" s="22"/>
      <c r="I39" s="22"/>
      <c r="J39" s="22"/>
      <c r="K39" s="23"/>
      <c r="L39" s="23"/>
      <c r="M39" s="23"/>
      <c r="N39" s="146"/>
      <c r="O39" s="40">
        <f t="shared" si="33"/>
        <v>0</v>
      </c>
      <c r="P39" s="183" t="str">
        <f t="shared" si="34"/>
        <v/>
      </c>
      <c r="S39" s="18">
        <f t="shared" si="31"/>
        <v>0</v>
      </c>
      <c r="T39" s="18">
        <f t="shared" si="1"/>
        <v>0</v>
      </c>
      <c r="U39" s="18">
        <f>IF(C39="人工面",0,IF(G39="",0,IF(D39="湿性環境",VLOOKUP(G39,環境タイプⅡによる点数DB!A:B,2,FALSE),IF(D39="樹林",VLOOKUP(G39,環境タイプⅡによる点数DB!A:C,3,FALSE),IF(D39="低木・草地",VLOOKUP(G39,環境タイプⅡによる点数DB!A:D,4,FALSE),0)))))</f>
        <v>0</v>
      </c>
      <c r="V39" s="24" t="str">
        <f>$H39&amp;"in"&amp;基本情報!$C$13</f>
        <v>in</v>
      </c>
      <c r="W39" s="24">
        <f t="shared" si="2"/>
        <v>0</v>
      </c>
      <c r="X39" s="24">
        <f>IF($H39="",0,IF($D39="樹林",IF(ISERROR(VLOOKUP($V39,市町村・植物種ごとの樹林点数DB!$A:$G,7,FALSE))=TRUE,20,VLOOKUP($V39,市町村・植物種ごとの樹林点数DB!$A:$G,7,FALSE)),IF($D39="低木・草地",IF($H39="【ススキ】・【ネザサ】・【チガヤ】",45,10),0)))</f>
        <v>0</v>
      </c>
      <c r="Y39" s="24">
        <f t="shared" si="35"/>
        <v>0</v>
      </c>
      <c r="Z39" s="24">
        <f t="shared" si="36"/>
        <v>1</v>
      </c>
      <c r="AA39" s="24">
        <f t="shared" si="37"/>
        <v>1</v>
      </c>
      <c r="AB39" s="24">
        <f t="shared" si="38"/>
        <v>0</v>
      </c>
      <c r="AC39" s="25">
        <f t="shared" si="39"/>
        <v>0</v>
      </c>
      <c r="AD39" s="25">
        <f t="shared" si="40"/>
        <v>0</v>
      </c>
      <c r="AE39" s="25">
        <f t="shared" si="41"/>
        <v>0</v>
      </c>
      <c r="AF39" s="25" t="str">
        <f t="shared" si="42"/>
        <v/>
      </c>
      <c r="AG39" s="25" t="str">
        <f t="shared" si="43"/>
        <v/>
      </c>
      <c r="AH39" s="25" t="str">
        <f t="shared" si="44"/>
        <v/>
      </c>
      <c r="AI39" s="25">
        <f>IF(ISERROR(VLOOKUP(K39,割合DB!$A:$B,2,FALSE))=TRUE,100,VLOOKUP(K39,割合DB!$A:$B,2,FALSE))</f>
        <v>100</v>
      </c>
      <c r="AJ39" s="25">
        <f>IF(ISERROR(VLOOKUP(L39,割合DB!$A:$B,2,FALSE))=TRUE,100,VLOOKUP(L39,割合DB!$A:$B,2,FALSE))</f>
        <v>100</v>
      </c>
      <c r="AK39" s="25">
        <f>IF(ISERROR(VLOOKUP(M39,割合DB!$A:$B,2,FALSE))=TRUE,100,VLOOKUP(M39,割合DB!$A:$B,2,FALSE))</f>
        <v>100</v>
      </c>
      <c r="AL39" s="25">
        <f t="shared" si="45"/>
        <v>0</v>
      </c>
      <c r="AM39" s="18">
        <f t="shared" si="46"/>
        <v>0</v>
      </c>
      <c r="AN39" s="18">
        <f t="shared" si="47"/>
        <v>0</v>
      </c>
      <c r="AO39" s="18">
        <f t="shared" si="16"/>
        <v>0</v>
      </c>
      <c r="AP39" s="18">
        <f>IF($C39="人工面",0,IF($G39="",70,IF($D39="湿性環境",VLOOKUP($G39,環境タイプⅡによる点数DB!$A:$B,2,FALSE),IF($D39="樹林",VLOOKUP($G39,環境タイプⅡによる点数DB!$A:$C,3,FALSE),IF($D39="低木・草地",VLOOKUP($G39,環境タイプⅡによる点数DB!$A:$D,4,FALSE),0)))))</f>
        <v>70</v>
      </c>
      <c r="AQ39" s="24" t="str">
        <f>$H39&amp;"in"&amp;基本情報!$C$13</f>
        <v>in</v>
      </c>
      <c r="AR39" s="24">
        <f t="shared" si="17"/>
        <v>0</v>
      </c>
      <c r="AS39" s="24">
        <f>IF($H39="",0,IF($D39="樹林",IF(ISERROR(VLOOKUP($V39,市町村・植物種ごとの樹林点数DB!$A:$F,6,FALSE))=TRUE,10,VLOOKUP($V39,市町村・植物種ごとの樹林点数DB!$A:$F,6,FALSE)),IF($D39="低木・草地",IF(OR($H39="【ススキ】・【ネザサ】・【チガヤ】",$H39="不明"),45,10),0)))</f>
        <v>0</v>
      </c>
      <c r="AT39" s="24">
        <f t="shared" si="18"/>
        <v>0</v>
      </c>
      <c r="AU39" s="24">
        <f t="shared" si="19"/>
        <v>1</v>
      </c>
      <c r="AV39" s="24">
        <f t="shared" si="20"/>
        <v>0</v>
      </c>
      <c r="AW39" s="24">
        <f t="shared" si="21"/>
        <v>1</v>
      </c>
      <c r="AX39" s="25">
        <f t="shared" si="48"/>
        <v>0</v>
      </c>
      <c r="AY39" s="25">
        <f t="shared" si="49"/>
        <v>0</v>
      </c>
      <c r="AZ39" s="25">
        <f t="shared" si="50"/>
        <v>0</v>
      </c>
      <c r="BA39" s="25" t="str">
        <f t="shared" si="51"/>
        <v/>
      </c>
      <c r="BB39" s="25" t="str">
        <f t="shared" si="52"/>
        <v/>
      </c>
      <c r="BC39" s="25" t="str">
        <f t="shared" si="53"/>
        <v/>
      </c>
      <c r="BD39" s="25">
        <f>IF(ISERROR(VLOOKUP($K39,割合DB!$A:$B,2,FALSE))=TRUE,0,VLOOKUP($K39,割合DB!$A:$B,2,FALSE))</f>
        <v>0</v>
      </c>
      <c r="BE39" s="25">
        <f>IF(ISERROR(VLOOKUP($L39,割合DB!$A:$B,2,FALSE))=TRUE,0,VLOOKUP($L39,割合DB!$A:$B,2,FALSE))</f>
        <v>0</v>
      </c>
      <c r="BF39" s="25">
        <f>IF(ISERROR(VLOOKUP($M39,割合DB!$A:$B,2,FALSE))=TRUE,0,VLOOKUP($M39,割合DB!$A:$B,2,FALSE))</f>
        <v>0</v>
      </c>
      <c r="BG39" s="25">
        <f t="shared" si="54"/>
        <v>100</v>
      </c>
      <c r="BH39" s="18">
        <f t="shared" si="55"/>
        <v>100</v>
      </c>
      <c r="BI39" s="18">
        <f t="shared" si="32"/>
        <v>1</v>
      </c>
      <c r="BJ39" s="176"/>
      <c r="BK39" s="176"/>
      <c r="BL39" s="176"/>
      <c r="BM39" s="176"/>
      <c r="BN39" s="176"/>
      <c r="BO39" s="176"/>
      <c r="BP39" s="176"/>
      <c r="BQ39" s="176"/>
      <c r="BR39" s="176"/>
      <c r="BS39" s="176"/>
      <c r="BT39" s="176"/>
      <c r="BU39" s="176"/>
      <c r="BV39" s="176"/>
      <c r="BW39" s="176"/>
      <c r="BX39" s="176"/>
      <c r="BY39" s="176"/>
      <c r="BZ39" s="176"/>
      <c r="CA39" s="176"/>
    </row>
    <row r="40" spans="1:79" ht="27" customHeight="1" x14ac:dyDescent="0.15">
      <c r="A40" s="30" t="s">
        <v>532</v>
      </c>
      <c r="B40" s="31" t="str">
        <f>IF('環境条件(竣工時)'!B40="","",'環境条件(竣工時)'!B40)</f>
        <v/>
      </c>
      <c r="C40" s="31" t="str">
        <f>IF('環境条件(竣工時)'!C40="","",'環境条件(竣工時)'!C40)</f>
        <v/>
      </c>
      <c r="D40" s="31" t="str">
        <f>IF('環境条件(竣工時)'!D40="","",'環境条件(竣工時)'!D40)</f>
        <v/>
      </c>
      <c r="E40" s="31" t="str">
        <f>IF('環境条件(竣工時)'!E40="","",'環境条件(竣工時)'!E40)</f>
        <v/>
      </c>
      <c r="F40" s="30" t="str">
        <f>IF('環境条件(竣工時)'!F40="","",'環境条件(竣工時)'!F40)</f>
        <v/>
      </c>
      <c r="G40" s="21"/>
      <c r="H40" s="22"/>
      <c r="I40" s="22"/>
      <c r="J40" s="22"/>
      <c r="K40" s="23"/>
      <c r="L40" s="23"/>
      <c r="M40" s="23"/>
      <c r="N40" s="146"/>
      <c r="O40" s="40">
        <f t="shared" si="33"/>
        <v>0</v>
      </c>
      <c r="P40" s="183" t="str">
        <f t="shared" si="34"/>
        <v/>
      </c>
      <c r="S40" s="18">
        <f t="shared" si="31"/>
        <v>0</v>
      </c>
      <c r="T40" s="18">
        <f t="shared" si="1"/>
        <v>0</v>
      </c>
      <c r="U40" s="18">
        <f>IF(C40="人工面",0,IF(G40="",0,IF(D40="湿性環境",VLOOKUP(G40,環境タイプⅡによる点数DB!A:B,2,FALSE),IF(D40="樹林",VLOOKUP(G40,環境タイプⅡによる点数DB!A:C,3,FALSE),IF(D40="低木・草地",VLOOKUP(G40,環境タイプⅡによる点数DB!A:D,4,FALSE),0)))))</f>
        <v>0</v>
      </c>
      <c r="V40" s="24" t="str">
        <f>$H40&amp;"in"&amp;基本情報!$C$13</f>
        <v>in</v>
      </c>
      <c r="W40" s="24">
        <f t="shared" si="2"/>
        <v>0</v>
      </c>
      <c r="X40" s="24">
        <f>IF($H40="",0,IF($D40="樹林",IF(ISERROR(VLOOKUP($V40,市町村・植物種ごとの樹林点数DB!$A:$G,7,FALSE))=TRUE,20,VLOOKUP($V40,市町村・植物種ごとの樹林点数DB!$A:$G,7,FALSE)),IF($D40="低木・草地",IF($H40="【ススキ】・【ネザサ】・【チガヤ】",45,10),0)))</f>
        <v>0</v>
      </c>
      <c r="Y40" s="24">
        <f t="shared" si="35"/>
        <v>0</v>
      </c>
      <c r="Z40" s="24">
        <f t="shared" si="36"/>
        <v>1</v>
      </c>
      <c r="AA40" s="24">
        <f t="shared" si="37"/>
        <v>1</v>
      </c>
      <c r="AB40" s="24">
        <f t="shared" si="38"/>
        <v>0</v>
      </c>
      <c r="AC40" s="25">
        <f t="shared" si="39"/>
        <v>0</v>
      </c>
      <c r="AD40" s="25">
        <f t="shared" si="40"/>
        <v>0</v>
      </c>
      <c r="AE40" s="25">
        <f t="shared" si="41"/>
        <v>0</v>
      </c>
      <c r="AF40" s="25" t="str">
        <f t="shared" si="42"/>
        <v/>
      </c>
      <c r="AG40" s="25" t="str">
        <f t="shared" si="43"/>
        <v/>
      </c>
      <c r="AH40" s="25" t="str">
        <f t="shared" si="44"/>
        <v/>
      </c>
      <c r="AI40" s="25">
        <f>IF(ISERROR(VLOOKUP(K40,割合DB!$A:$B,2,FALSE))=TRUE,100,VLOOKUP(K40,割合DB!$A:$B,2,FALSE))</f>
        <v>100</v>
      </c>
      <c r="AJ40" s="25">
        <f>IF(ISERROR(VLOOKUP(L40,割合DB!$A:$B,2,FALSE))=TRUE,100,VLOOKUP(L40,割合DB!$A:$B,2,FALSE))</f>
        <v>100</v>
      </c>
      <c r="AK40" s="25">
        <f>IF(ISERROR(VLOOKUP(M40,割合DB!$A:$B,2,FALSE))=TRUE,100,VLOOKUP(M40,割合DB!$A:$B,2,FALSE))</f>
        <v>100</v>
      </c>
      <c r="AL40" s="25">
        <f t="shared" si="45"/>
        <v>0</v>
      </c>
      <c r="AM40" s="18">
        <f t="shared" si="46"/>
        <v>0</v>
      </c>
      <c r="AN40" s="18">
        <f t="shared" si="47"/>
        <v>0</v>
      </c>
      <c r="AO40" s="18">
        <f t="shared" si="16"/>
        <v>0</v>
      </c>
      <c r="AP40" s="18">
        <f>IF($C40="人工面",0,IF($G40="",70,IF($D40="湿性環境",VLOOKUP($G40,環境タイプⅡによる点数DB!$A:$B,2,FALSE),IF($D40="樹林",VLOOKUP($G40,環境タイプⅡによる点数DB!$A:$C,3,FALSE),IF($D40="低木・草地",VLOOKUP($G40,環境タイプⅡによる点数DB!$A:$D,4,FALSE),0)))))</f>
        <v>70</v>
      </c>
      <c r="AQ40" s="24" t="str">
        <f>$H40&amp;"in"&amp;基本情報!$C$13</f>
        <v>in</v>
      </c>
      <c r="AR40" s="24">
        <f t="shared" si="17"/>
        <v>0</v>
      </c>
      <c r="AS40" s="24">
        <f>IF($H40="",0,IF($D40="樹林",IF(ISERROR(VLOOKUP($V40,市町村・植物種ごとの樹林点数DB!$A:$F,6,FALSE))=TRUE,10,VLOOKUP($V40,市町村・植物種ごとの樹林点数DB!$A:$F,6,FALSE)),IF($D40="低木・草地",IF(OR($H40="【ススキ】・【ネザサ】・【チガヤ】",$H40="不明"),45,10),0)))</f>
        <v>0</v>
      </c>
      <c r="AT40" s="24">
        <f t="shared" si="18"/>
        <v>0</v>
      </c>
      <c r="AU40" s="24">
        <f t="shared" si="19"/>
        <v>1</v>
      </c>
      <c r="AV40" s="24">
        <f t="shared" si="20"/>
        <v>0</v>
      </c>
      <c r="AW40" s="24">
        <f t="shared" si="21"/>
        <v>1</v>
      </c>
      <c r="AX40" s="25">
        <f t="shared" si="48"/>
        <v>0</v>
      </c>
      <c r="AY40" s="25">
        <f t="shared" si="49"/>
        <v>0</v>
      </c>
      <c r="AZ40" s="25">
        <f t="shared" si="50"/>
        <v>0</v>
      </c>
      <c r="BA40" s="25" t="str">
        <f t="shared" si="51"/>
        <v/>
      </c>
      <c r="BB40" s="25" t="str">
        <f t="shared" si="52"/>
        <v/>
      </c>
      <c r="BC40" s="25" t="str">
        <f t="shared" si="53"/>
        <v/>
      </c>
      <c r="BD40" s="25">
        <f>IF(ISERROR(VLOOKUP($K40,割合DB!$A:$B,2,FALSE))=TRUE,0,VLOOKUP($K40,割合DB!$A:$B,2,FALSE))</f>
        <v>0</v>
      </c>
      <c r="BE40" s="25">
        <f>IF(ISERROR(VLOOKUP($L40,割合DB!$A:$B,2,FALSE))=TRUE,0,VLOOKUP($L40,割合DB!$A:$B,2,FALSE))</f>
        <v>0</v>
      </c>
      <c r="BF40" s="25">
        <f>IF(ISERROR(VLOOKUP($M40,割合DB!$A:$B,2,FALSE))=TRUE,0,VLOOKUP($M40,割合DB!$A:$B,2,FALSE))</f>
        <v>0</v>
      </c>
      <c r="BG40" s="25">
        <f t="shared" si="54"/>
        <v>100</v>
      </c>
      <c r="BH40" s="18">
        <f t="shared" si="55"/>
        <v>100</v>
      </c>
      <c r="BI40" s="18">
        <f t="shared" si="32"/>
        <v>1</v>
      </c>
      <c r="BJ40" s="176"/>
      <c r="BK40" s="176"/>
      <c r="BL40" s="176"/>
      <c r="BM40" s="176"/>
      <c r="BN40" s="176"/>
      <c r="BO40" s="176"/>
      <c r="BP40" s="176"/>
      <c r="BQ40" s="176"/>
      <c r="BR40" s="176"/>
      <c r="BS40" s="176"/>
      <c r="BT40" s="176"/>
      <c r="BU40" s="176"/>
      <c r="BV40" s="176"/>
      <c r="BW40" s="176"/>
      <c r="BX40" s="176"/>
      <c r="BY40" s="176"/>
      <c r="BZ40" s="176"/>
      <c r="CA40" s="176"/>
    </row>
    <row r="41" spans="1:79" ht="27" customHeight="1" x14ac:dyDescent="0.15">
      <c r="A41" s="30" t="s">
        <v>533</v>
      </c>
      <c r="B41" s="31" t="str">
        <f>IF('環境条件(竣工時)'!B41="","",'環境条件(竣工時)'!B41)</f>
        <v/>
      </c>
      <c r="C41" s="31" t="str">
        <f>IF('環境条件(竣工時)'!C41="","",'環境条件(竣工時)'!C41)</f>
        <v/>
      </c>
      <c r="D41" s="31" t="str">
        <f>IF('環境条件(竣工時)'!D41="","",'環境条件(竣工時)'!D41)</f>
        <v/>
      </c>
      <c r="E41" s="31" t="str">
        <f>IF('環境条件(竣工時)'!E41="","",'環境条件(竣工時)'!E41)</f>
        <v/>
      </c>
      <c r="F41" s="30" t="str">
        <f>IF('環境条件(竣工時)'!F41="","",'環境条件(竣工時)'!F41)</f>
        <v/>
      </c>
      <c r="G41" s="21"/>
      <c r="H41" s="22"/>
      <c r="I41" s="22"/>
      <c r="J41" s="22"/>
      <c r="K41" s="23"/>
      <c r="L41" s="23"/>
      <c r="M41" s="23"/>
      <c r="N41" s="146"/>
      <c r="O41" s="40">
        <f t="shared" si="33"/>
        <v>0</v>
      </c>
      <c r="P41" s="183" t="str">
        <f t="shared" si="34"/>
        <v/>
      </c>
      <c r="S41" s="18">
        <f t="shared" si="31"/>
        <v>0</v>
      </c>
      <c r="T41" s="18">
        <f t="shared" si="1"/>
        <v>0</v>
      </c>
      <c r="U41" s="18">
        <f>IF(C41="人工面",0,IF(G41="",0,IF(D41="湿性環境",VLOOKUP(G41,環境タイプⅡによる点数DB!A:B,2,FALSE),IF(D41="樹林",VLOOKUP(G41,環境タイプⅡによる点数DB!A:C,3,FALSE),IF(D41="低木・草地",VLOOKUP(G41,環境タイプⅡによる点数DB!A:D,4,FALSE),0)))))</f>
        <v>0</v>
      </c>
      <c r="V41" s="24" t="str">
        <f>$H41&amp;"in"&amp;基本情報!$C$13</f>
        <v>in</v>
      </c>
      <c r="W41" s="24">
        <f t="shared" si="2"/>
        <v>0</v>
      </c>
      <c r="X41" s="24">
        <f>IF($H41="",0,IF($D41="樹林",IF(ISERROR(VLOOKUP($V41,市町村・植物種ごとの樹林点数DB!$A:$G,7,FALSE))=TRUE,20,VLOOKUP($V41,市町村・植物種ごとの樹林点数DB!$A:$G,7,FALSE)),IF($D41="低木・草地",IF($H41="【ススキ】・【ネザサ】・【チガヤ】",45,10),0)))</f>
        <v>0</v>
      </c>
      <c r="Y41" s="24">
        <f t="shared" si="35"/>
        <v>0</v>
      </c>
      <c r="Z41" s="24">
        <f t="shared" si="36"/>
        <v>1</v>
      </c>
      <c r="AA41" s="24">
        <f t="shared" si="37"/>
        <v>1</v>
      </c>
      <c r="AB41" s="24">
        <f t="shared" si="38"/>
        <v>0</v>
      </c>
      <c r="AC41" s="25">
        <f t="shared" si="39"/>
        <v>0</v>
      </c>
      <c r="AD41" s="25">
        <f t="shared" si="40"/>
        <v>0</v>
      </c>
      <c r="AE41" s="25">
        <f t="shared" si="41"/>
        <v>0</v>
      </c>
      <c r="AF41" s="25" t="str">
        <f t="shared" si="42"/>
        <v/>
      </c>
      <c r="AG41" s="25" t="str">
        <f t="shared" si="43"/>
        <v/>
      </c>
      <c r="AH41" s="25" t="str">
        <f t="shared" si="44"/>
        <v/>
      </c>
      <c r="AI41" s="25">
        <f>IF(ISERROR(VLOOKUP(K41,割合DB!$A:$B,2,FALSE))=TRUE,100,VLOOKUP(K41,割合DB!$A:$B,2,FALSE))</f>
        <v>100</v>
      </c>
      <c r="AJ41" s="25">
        <f>IF(ISERROR(VLOOKUP(L41,割合DB!$A:$B,2,FALSE))=TRUE,100,VLOOKUP(L41,割合DB!$A:$B,2,FALSE))</f>
        <v>100</v>
      </c>
      <c r="AK41" s="25">
        <f>IF(ISERROR(VLOOKUP(M41,割合DB!$A:$B,2,FALSE))=TRUE,100,VLOOKUP(M41,割合DB!$A:$B,2,FALSE))</f>
        <v>100</v>
      </c>
      <c r="AL41" s="25">
        <f t="shared" si="45"/>
        <v>0</v>
      </c>
      <c r="AM41" s="18">
        <f t="shared" si="46"/>
        <v>0</v>
      </c>
      <c r="AN41" s="18">
        <f t="shared" si="47"/>
        <v>0</v>
      </c>
      <c r="AO41" s="18">
        <f t="shared" si="16"/>
        <v>0</v>
      </c>
      <c r="AP41" s="18">
        <f>IF($C41="人工面",0,IF($G41="",70,IF($D41="湿性環境",VLOOKUP($G41,環境タイプⅡによる点数DB!$A:$B,2,FALSE),IF($D41="樹林",VLOOKUP($G41,環境タイプⅡによる点数DB!$A:$C,3,FALSE),IF($D41="低木・草地",VLOOKUP($G41,環境タイプⅡによる点数DB!$A:$D,4,FALSE),0)))))</f>
        <v>70</v>
      </c>
      <c r="AQ41" s="24" t="str">
        <f>$H41&amp;"in"&amp;基本情報!$C$13</f>
        <v>in</v>
      </c>
      <c r="AR41" s="24">
        <f t="shared" si="17"/>
        <v>0</v>
      </c>
      <c r="AS41" s="24">
        <f>IF($H41="",0,IF($D41="樹林",IF(ISERROR(VLOOKUP($V41,市町村・植物種ごとの樹林点数DB!$A:$F,6,FALSE))=TRUE,10,VLOOKUP($V41,市町村・植物種ごとの樹林点数DB!$A:$F,6,FALSE)),IF($D41="低木・草地",IF(OR($H41="【ススキ】・【ネザサ】・【チガヤ】",$H41="不明"),45,10),0)))</f>
        <v>0</v>
      </c>
      <c r="AT41" s="24">
        <f t="shared" si="18"/>
        <v>0</v>
      </c>
      <c r="AU41" s="24">
        <f t="shared" si="19"/>
        <v>1</v>
      </c>
      <c r="AV41" s="24">
        <f t="shared" si="20"/>
        <v>0</v>
      </c>
      <c r="AW41" s="24">
        <f t="shared" si="21"/>
        <v>1</v>
      </c>
      <c r="AX41" s="25">
        <f t="shared" si="48"/>
        <v>0</v>
      </c>
      <c r="AY41" s="25">
        <f t="shared" si="49"/>
        <v>0</v>
      </c>
      <c r="AZ41" s="25">
        <f t="shared" si="50"/>
        <v>0</v>
      </c>
      <c r="BA41" s="25" t="str">
        <f t="shared" si="51"/>
        <v/>
      </c>
      <c r="BB41" s="25" t="str">
        <f t="shared" si="52"/>
        <v/>
      </c>
      <c r="BC41" s="25" t="str">
        <f t="shared" si="53"/>
        <v/>
      </c>
      <c r="BD41" s="25">
        <f>IF(ISERROR(VLOOKUP($K41,割合DB!$A:$B,2,FALSE))=TRUE,0,VLOOKUP($K41,割合DB!$A:$B,2,FALSE))</f>
        <v>0</v>
      </c>
      <c r="BE41" s="25">
        <f>IF(ISERROR(VLOOKUP($L41,割合DB!$A:$B,2,FALSE))=TRUE,0,VLOOKUP($L41,割合DB!$A:$B,2,FALSE))</f>
        <v>0</v>
      </c>
      <c r="BF41" s="25">
        <f>IF(ISERROR(VLOOKUP($M41,割合DB!$A:$B,2,FALSE))=TRUE,0,VLOOKUP($M41,割合DB!$A:$B,2,FALSE))</f>
        <v>0</v>
      </c>
      <c r="BG41" s="25">
        <f t="shared" si="54"/>
        <v>100</v>
      </c>
      <c r="BH41" s="18">
        <f t="shared" si="55"/>
        <v>100</v>
      </c>
      <c r="BI41" s="18">
        <f t="shared" si="32"/>
        <v>1</v>
      </c>
      <c r="BJ41" s="176"/>
      <c r="BK41" s="176"/>
      <c r="BL41" s="176"/>
      <c r="BM41" s="176"/>
      <c r="BN41" s="176"/>
      <c r="BO41" s="176"/>
      <c r="BP41" s="176"/>
      <c r="BQ41" s="176"/>
      <c r="BR41" s="176"/>
      <c r="BS41" s="176"/>
      <c r="BT41" s="176"/>
      <c r="BU41" s="176"/>
      <c r="BV41" s="176"/>
      <c r="BW41" s="176"/>
      <c r="BX41" s="176"/>
      <c r="BY41" s="176"/>
      <c r="BZ41" s="176"/>
      <c r="CA41" s="176"/>
    </row>
    <row r="42" spans="1:79" ht="27" customHeight="1" x14ac:dyDescent="0.15">
      <c r="A42" s="30" t="s">
        <v>534</v>
      </c>
      <c r="B42" s="31" t="str">
        <f>IF('環境条件(竣工時)'!B42="","",'環境条件(竣工時)'!B42)</f>
        <v/>
      </c>
      <c r="C42" s="31" t="str">
        <f>IF('環境条件(竣工時)'!C42="","",'環境条件(竣工時)'!C42)</f>
        <v/>
      </c>
      <c r="D42" s="31" t="str">
        <f>IF('環境条件(竣工時)'!D42="","",'環境条件(竣工時)'!D42)</f>
        <v/>
      </c>
      <c r="E42" s="31" t="str">
        <f>IF('環境条件(竣工時)'!E42="","",'環境条件(竣工時)'!E42)</f>
        <v/>
      </c>
      <c r="F42" s="30" t="str">
        <f>IF('環境条件(竣工時)'!F42="","",'環境条件(竣工時)'!F42)</f>
        <v/>
      </c>
      <c r="G42" s="21"/>
      <c r="H42" s="22"/>
      <c r="I42" s="22"/>
      <c r="J42" s="22"/>
      <c r="K42" s="23"/>
      <c r="L42" s="23"/>
      <c r="M42" s="23"/>
      <c r="N42" s="146"/>
      <c r="O42" s="40">
        <f t="shared" si="33"/>
        <v>0</v>
      </c>
      <c r="P42" s="183" t="str">
        <f t="shared" si="34"/>
        <v/>
      </c>
      <c r="S42" s="18">
        <f t="shared" si="31"/>
        <v>0</v>
      </c>
      <c r="T42" s="18">
        <f t="shared" si="1"/>
        <v>0</v>
      </c>
      <c r="U42" s="18">
        <f>IF(C42="人工面",0,IF(G42="",0,IF(D42="湿性環境",VLOOKUP(G42,環境タイプⅡによる点数DB!A:B,2,FALSE),IF(D42="樹林",VLOOKUP(G42,環境タイプⅡによる点数DB!A:C,3,FALSE),IF(D42="低木・草地",VLOOKUP(G42,環境タイプⅡによる点数DB!A:D,4,FALSE),0)))))</f>
        <v>0</v>
      </c>
      <c r="V42" s="24" t="str">
        <f>$H42&amp;"in"&amp;基本情報!$C$13</f>
        <v>in</v>
      </c>
      <c r="W42" s="24">
        <f t="shared" si="2"/>
        <v>0</v>
      </c>
      <c r="X42" s="24">
        <f>IF($H42="",0,IF($D42="樹林",IF(ISERROR(VLOOKUP($V42,市町村・植物種ごとの樹林点数DB!$A:$G,7,FALSE))=TRUE,20,VLOOKUP($V42,市町村・植物種ごとの樹林点数DB!$A:$G,7,FALSE)),IF($D42="低木・草地",IF($H42="【ススキ】・【ネザサ】・【チガヤ】",45,10),0)))</f>
        <v>0</v>
      </c>
      <c r="Y42" s="24">
        <f t="shared" si="35"/>
        <v>0</v>
      </c>
      <c r="Z42" s="24">
        <f t="shared" si="36"/>
        <v>1</v>
      </c>
      <c r="AA42" s="24">
        <f t="shared" si="37"/>
        <v>1</v>
      </c>
      <c r="AB42" s="24">
        <f t="shared" si="38"/>
        <v>0</v>
      </c>
      <c r="AC42" s="25">
        <f t="shared" si="39"/>
        <v>0</v>
      </c>
      <c r="AD42" s="25">
        <f t="shared" si="40"/>
        <v>0</v>
      </c>
      <c r="AE42" s="25">
        <f t="shared" si="41"/>
        <v>0</v>
      </c>
      <c r="AF42" s="25" t="str">
        <f t="shared" si="42"/>
        <v/>
      </c>
      <c r="AG42" s="25" t="str">
        <f t="shared" si="43"/>
        <v/>
      </c>
      <c r="AH42" s="25" t="str">
        <f t="shared" si="44"/>
        <v/>
      </c>
      <c r="AI42" s="25">
        <f>IF(ISERROR(VLOOKUP(K42,割合DB!$A:$B,2,FALSE))=TRUE,100,VLOOKUP(K42,割合DB!$A:$B,2,FALSE))</f>
        <v>100</v>
      </c>
      <c r="AJ42" s="25">
        <f>IF(ISERROR(VLOOKUP(L42,割合DB!$A:$B,2,FALSE))=TRUE,100,VLOOKUP(L42,割合DB!$A:$B,2,FALSE))</f>
        <v>100</v>
      </c>
      <c r="AK42" s="25">
        <f>IF(ISERROR(VLOOKUP(M42,割合DB!$A:$B,2,FALSE))=TRUE,100,VLOOKUP(M42,割合DB!$A:$B,2,FALSE))</f>
        <v>100</v>
      </c>
      <c r="AL42" s="25">
        <f t="shared" si="45"/>
        <v>0</v>
      </c>
      <c r="AM42" s="18">
        <f t="shared" si="46"/>
        <v>0</v>
      </c>
      <c r="AN42" s="18">
        <f t="shared" si="47"/>
        <v>0</v>
      </c>
      <c r="AO42" s="18">
        <f t="shared" si="16"/>
        <v>0</v>
      </c>
      <c r="AP42" s="18">
        <f>IF($C42="人工面",0,IF($G42="",70,IF($D42="湿性環境",VLOOKUP($G42,環境タイプⅡによる点数DB!$A:$B,2,FALSE),IF($D42="樹林",VLOOKUP($G42,環境タイプⅡによる点数DB!$A:$C,3,FALSE),IF($D42="低木・草地",VLOOKUP($G42,環境タイプⅡによる点数DB!$A:$D,4,FALSE),0)))))</f>
        <v>70</v>
      </c>
      <c r="AQ42" s="24" t="str">
        <f>$H42&amp;"in"&amp;基本情報!$C$13</f>
        <v>in</v>
      </c>
      <c r="AR42" s="24">
        <f t="shared" si="17"/>
        <v>0</v>
      </c>
      <c r="AS42" s="24">
        <f>IF($H42="",0,IF($D42="樹林",IF(ISERROR(VLOOKUP($V42,市町村・植物種ごとの樹林点数DB!$A:$F,6,FALSE))=TRUE,10,VLOOKUP($V42,市町村・植物種ごとの樹林点数DB!$A:$F,6,FALSE)),IF($D42="低木・草地",IF(OR($H42="【ススキ】・【ネザサ】・【チガヤ】",$H42="不明"),45,10),0)))</f>
        <v>0</v>
      </c>
      <c r="AT42" s="24">
        <f t="shared" si="18"/>
        <v>0</v>
      </c>
      <c r="AU42" s="24">
        <f t="shared" si="19"/>
        <v>1</v>
      </c>
      <c r="AV42" s="24">
        <f t="shared" si="20"/>
        <v>0</v>
      </c>
      <c r="AW42" s="24">
        <f t="shared" si="21"/>
        <v>1</v>
      </c>
      <c r="AX42" s="25">
        <f t="shared" si="48"/>
        <v>0</v>
      </c>
      <c r="AY42" s="25">
        <f t="shared" si="49"/>
        <v>0</v>
      </c>
      <c r="AZ42" s="25">
        <f t="shared" si="50"/>
        <v>0</v>
      </c>
      <c r="BA42" s="25" t="str">
        <f t="shared" si="51"/>
        <v/>
      </c>
      <c r="BB42" s="25" t="str">
        <f t="shared" si="52"/>
        <v/>
      </c>
      <c r="BC42" s="25" t="str">
        <f t="shared" si="53"/>
        <v/>
      </c>
      <c r="BD42" s="25">
        <f>IF(ISERROR(VLOOKUP($K42,割合DB!$A:$B,2,FALSE))=TRUE,0,VLOOKUP($K42,割合DB!$A:$B,2,FALSE))</f>
        <v>0</v>
      </c>
      <c r="BE42" s="25">
        <f>IF(ISERROR(VLOOKUP($L42,割合DB!$A:$B,2,FALSE))=TRUE,0,VLOOKUP($L42,割合DB!$A:$B,2,FALSE))</f>
        <v>0</v>
      </c>
      <c r="BF42" s="25">
        <f>IF(ISERROR(VLOOKUP($M42,割合DB!$A:$B,2,FALSE))=TRUE,0,VLOOKUP($M42,割合DB!$A:$B,2,FALSE))</f>
        <v>0</v>
      </c>
      <c r="BG42" s="25">
        <f t="shared" si="54"/>
        <v>100</v>
      </c>
      <c r="BH42" s="18">
        <f t="shared" si="55"/>
        <v>100</v>
      </c>
      <c r="BI42" s="18">
        <f t="shared" si="32"/>
        <v>1</v>
      </c>
      <c r="BJ42" s="176"/>
      <c r="BK42" s="176"/>
      <c r="BL42" s="176"/>
      <c r="BM42" s="176"/>
      <c r="BN42" s="176"/>
      <c r="BO42" s="176"/>
      <c r="BP42" s="176"/>
      <c r="BQ42" s="176"/>
      <c r="BR42" s="176"/>
      <c r="BS42" s="176"/>
      <c r="BT42" s="176"/>
      <c r="BU42" s="176"/>
      <c r="BV42" s="176"/>
      <c r="BW42" s="176"/>
      <c r="BX42" s="176"/>
      <c r="BY42" s="176"/>
      <c r="BZ42" s="176"/>
      <c r="CA42" s="176"/>
    </row>
    <row r="43" spans="1:79" ht="27" customHeight="1" x14ac:dyDescent="0.15">
      <c r="A43" s="30" t="s">
        <v>535</v>
      </c>
      <c r="B43" s="31" t="str">
        <f>IF('環境条件(竣工時)'!B43="","",'環境条件(竣工時)'!B43)</f>
        <v/>
      </c>
      <c r="C43" s="31" t="str">
        <f>IF('環境条件(竣工時)'!C43="","",'環境条件(竣工時)'!C43)</f>
        <v/>
      </c>
      <c r="D43" s="31" t="str">
        <f>IF('環境条件(竣工時)'!D43="","",'環境条件(竣工時)'!D43)</f>
        <v/>
      </c>
      <c r="E43" s="31" t="str">
        <f>IF('環境条件(竣工時)'!E43="","",'環境条件(竣工時)'!E43)</f>
        <v/>
      </c>
      <c r="F43" s="30" t="str">
        <f>IF('環境条件(竣工時)'!F43="","",'環境条件(竣工時)'!F43)</f>
        <v/>
      </c>
      <c r="G43" s="21"/>
      <c r="H43" s="22"/>
      <c r="I43" s="22"/>
      <c r="J43" s="22"/>
      <c r="K43" s="23"/>
      <c r="L43" s="23"/>
      <c r="M43" s="23"/>
      <c r="N43" s="146"/>
      <c r="O43" s="40">
        <f t="shared" si="33"/>
        <v>0</v>
      </c>
      <c r="P43" s="183" t="str">
        <f t="shared" si="34"/>
        <v/>
      </c>
      <c r="S43" s="18">
        <f t="shared" si="31"/>
        <v>0</v>
      </c>
      <c r="T43" s="18">
        <f t="shared" si="1"/>
        <v>0</v>
      </c>
      <c r="U43" s="18">
        <f>IF(C43="人工面",0,IF(G43="",0,IF(D43="湿性環境",VLOOKUP(G43,環境タイプⅡによる点数DB!A:B,2,FALSE),IF(D43="樹林",VLOOKUP(G43,環境タイプⅡによる点数DB!A:C,3,FALSE),IF(D43="低木・草地",VLOOKUP(G43,環境タイプⅡによる点数DB!A:D,4,FALSE),0)))))</f>
        <v>0</v>
      </c>
      <c r="V43" s="24" t="str">
        <f>$H43&amp;"in"&amp;基本情報!$C$13</f>
        <v>in</v>
      </c>
      <c r="W43" s="24">
        <f t="shared" si="2"/>
        <v>0</v>
      </c>
      <c r="X43" s="24">
        <f>IF($H43="",0,IF($D43="樹林",IF(ISERROR(VLOOKUP($V43,市町村・植物種ごとの樹林点数DB!$A:$G,7,FALSE))=TRUE,20,VLOOKUP($V43,市町村・植物種ごとの樹林点数DB!$A:$G,7,FALSE)),IF($D43="低木・草地",IF($H43="【ススキ】・【ネザサ】・【チガヤ】",45,10),0)))</f>
        <v>0</v>
      </c>
      <c r="Y43" s="24">
        <f t="shared" si="35"/>
        <v>0</v>
      </c>
      <c r="Z43" s="24">
        <f t="shared" si="36"/>
        <v>1</v>
      </c>
      <c r="AA43" s="24">
        <f t="shared" si="37"/>
        <v>1</v>
      </c>
      <c r="AB43" s="24">
        <f t="shared" si="38"/>
        <v>0</v>
      </c>
      <c r="AC43" s="25">
        <f t="shared" si="39"/>
        <v>0</v>
      </c>
      <c r="AD43" s="25">
        <f t="shared" si="40"/>
        <v>0</v>
      </c>
      <c r="AE43" s="25">
        <f t="shared" si="41"/>
        <v>0</v>
      </c>
      <c r="AF43" s="25" t="str">
        <f t="shared" si="42"/>
        <v/>
      </c>
      <c r="AG43" s="25" t="str">
        <f t="shared" si="43"/>
        <v/>
      </c>
      <c r="AH43" s="25" t="str">
        <f t="shared" si="44"/>
        <v/>
      </c>
      <c r="AI43" s="25">
        <f>IF(ISERROR(VLOOKUP(K43,割合DB!$A:$B,2,FALSE))=TRUE,100,VLOOKUP(K43,割合DB!$A:$B,2,FALSE))</f>
        <v>100</v>
      </c>
      <c r="AJ43" s="25">
        <f>IF(ISERROR(VLOOKUP(L43,割合DB!$A:$B,2,FALSE))=TRUE,100,VLOOKUP(L43,割合DB!$A:$B,2,FALSE))</f>
        <v>100</v>
      </c>
      <c r="AK43" s="25">
        <f>IF(ISERROR(VLOOKUP(M43,割合DB!$A:$B,2,FALSE))=TRUE,100,VLOOKUP(M43,割合DB!$A:$B,2,FALSE))</f>
        <v>100</v>
      </c>
      <c r="AL43" s="25">
        <f t="shared" si="45"/>
        <v>0</v>
      </c>
      <c r="AM43" s="18">
        <f t="shared" si="46"/>
        <v>0</v>
      </c>
      <c r="AN43" s="18">
        <f t="shared" si="47"/>
        <v>0</v>
      </c>
      <c r="AO43" s="18">
        <f t="shared" si="16"/>
        <v>0</v>
      </c>
      <c r="AP43" s="18">
        <f>IF($C43="人工面",0,IF($G43="",70,IF($D43="湿性環境",VLOOKUP($G43,環境タイプⅡによる点数DB!$A:$B,2,FALSE),IF($D43="樹林",VLOOKUP($G43,環境タイプⅡによる点数DB!$A:$C,3,FALSE),IF($D43="低木・草地",VLOOKUP($G43,環境タイプⅡによる点数DB!$A:$D,4,FALSE),0)))))</f>
        <v>70</v>
      </c>
      <c r="AQ43" s="24" t="str">
        <f>$H43&amp;"in"&amp;基本情報!$C$13</f>
        <v>in</v>
      </c>
      <c r="AR43" s="24">
        <f t="shared" si="17"/>
        <v>0</v>
      </c>
      <c r="AS43" s="24">
        <f>IF($H43="",0,IF($D43="樹林",IF(ISERROR(VLOOKUP($V43,市町村・植物種ごとの樹林点数DB!$A:$F,6,FALSE))=TRUE,10,VLOOKUP($V43,市町村・植物種ごとの樹林点数DB!$A:$F,6,FALSE)),IF($D43="低木・草地",IF(OR($H43="【ススキ】・【ネザサ】・【チガヤ】",$H43="不明"),45,10),0)))</f>
        <v>0</v>
      </c>
      <c r="AT43" s="24">
        <f t="shared" si="18"/>
        <v>0</v>
      </c>
      <c r="AU43" s="24">
        <f t="shared" si="19"/>
        <v>1</v>
      </c>
      <c r="AV43" s="24">
        <f t="shared" si="20"/>
        <v>0</v>
      </c>
      <c r="AW43" s="24">
        <f t="shared" si="21"/>
        <v>1</v>
      </c>
      <c r="AX43" s="25">
        <f t="shared" si="48"/>
        <v>0</v>
      </c>
      <c r="AY43" s="25">
        <f t="shared" si="49"/>
        <v>0</v>
      </c>
      <c r="AZ43" s="25">
        <f t="shared" si="50"/>
        <v>0</v>
      </c>
      <c r="BA43" s="25" t="str">
        <f t="shared" si="51"/>
        <v/>
      </c>
      <c r="BB43" s="25" t="str">
        <f t="shared" si="52"/>
        <v/>
      </c>
      <c r="BC43" s="25" t="str">
        <f t="shared" si="53"/>
        <v/>
      </c>
      <c r="BD43" s="25">
        <f>IF(ISERROR(VLOOKUP($K43,割合DB!$A:$B,2,FALSE))=TRUE,0,VLOOKUP($K43,割合DB!$A:$B,2,FALSE))</f>
        <v>0</v>
      </c>
      <c r="BE43" s="25">
        <f>IF(ISERROR(VLOOKUP($L43,割合DB!$A:$B,2,FALSE))=TRUE,0,VLOOKUP($L43,割合DB!$A:$B,2,FALSE))</f>
        <v>0</v>
      </c>
      <c r="BF43" s="25">
        <f>IF(ISERROR(VLOOKUP($M43,割合DB!$A:$B,2,FALSE))=TRUE,0,VLOOKUP($M43,割合DB!$A:$B,2,FALSE))</f>
        <v>0</v>
      </c>
      <c r="BG43" s="25">
        <f t="shared" si="54"/>
        <v>100</v>
      </c>
      <c r="BH43" s="18">
        <f t="shared" si="55"/>
        <v>100</v>
      </c>
      <c r="BI43" s="18">
        <f t="shared" si="32"/>
        <v>1</v>
      </c>
      <c r="BJ43" s="176"/>
      <c r="BK43" s="176"/>
      <c r="BL43" s="176"/>
      <c r="BM43" s="176"/>
      <c r="BN43" s="176"/>
      <c r="BO43" s="176"/>
      <c r="BP43" s="176"/>
      <c r="BQ43" s="176"/>
      <c r="BR43" s="176"/>
      <c r="BS43" s="176"/>
      <c r="BT43" s="176"/>
      <c r="BU43" s="176"/>
      <c r="BV43" s="176"/>
      <c r="BW43" s="176"/>
      <c r="BX43" s="176"/>
      <c r="BY43" s="176"/>
      <c r="BZ43" s="176"/>
      <c r="CA43" s="176"/>
    </row>
    <row r="44" spans="1:79" ht="27" customHeight="1" x14ac:dyDescent="0.15">
      <c r="A44" s="30" t="s">
        <v>536</v>
      </c>
      <c r="B44" s="31" t="str">
        <f>IF('環境条件(竣工時)'!B44="","",'環境条件(竣工時)'!B44)</f>
        <v/>
      </c>
      <c r="C44" s="31" t="str">
        <f>IF('環境条件(竣工時)'!C44="","",'環境条件(竣工時)'!C44)</f>
        <v/>
      </c>
      <c r="D44" s="31" t="str">
        <f>IF('環境条件(竣工時)'!D44="","",'環境条件(竣工時)'!D44)</f>
        <v/>
      </c>
      <c r="E44" s="31" t="str">
        <f>IF('環境条件(竣工時)'!E44="","",'環境条件(竣工時)'!E44)</f>
        <v/>
      </c>
      <c r="F44" s="30" t="str">
        <f>IF('環境条件(竣工時)'!F44="","",'環境条件(竣工時)'!F44)</f>
        <v/>
      </c>
      <c r="G44" s="21"/>
      <c r="H44" s="22"/>
      <c r="I44" s="22"/>
      <c r="J44" s="22"/>
      <c r="K44" s="23"/>
      <c r="L44" s="23"/>
      <c r="M44" s="23"/>
      <c r="N44" s="146"/>
      <c r="O44" s="40">
        <f t="shared" si="33"/>
        <v>0</v>
      </c>
      <c r="P44" s="183" t="str">
        <f t="shared" si="34"/>
        <v/>
      </c>
      <c r="S44" s="18">
        <f t="shared" si="31"/>
        <v>0</v>
      </c>
      <c r="T44" s="18">
        <f t="shared" si="1"/>
        <v>0</v>
      </c>
      <c r="U44" s="18">
        <f>IF(C44="人工面",0,IF(G44="",0,IF(D44="湿性環境",VLOOKUP(G44,環境タイプⅡによる点数DB!A:B,2,FALSE),IF(D44="樹林",VLOOKUP(G44,環境タイプⅡによる点数DB!A:C,3,FALSE),IF(D44="低木・草地",VLOOKUP(G44,環境タイプⅡによる点数DB!A:D,4,FALSE),0)))))</f>
        <v>0</v>
      </c>
      <c r="V44" s="24" t="str">
        <f>$H44&amp;"in"&amp;基本情報!$C$13</f>
        <v>in</v>
      </c>
      <c r="W44" s="24">
        <f t="shared" si="2"/>
        <v>0</v>
      </c>
      <c r="X44" s="24">
        <f>IF($H44="",0,IF($D44="樹林",IF(ISERROR(VLOOKUP($V44,市町村・植物種ごとの樹林点数DB!$A:$G,7,FALSE))=TRUE,20,VLOOKUP($V44,市町村・植物種ごとの樹林点数DB!$A:$G,7,FALSE)),IF($D44="低木・草地",IF($H44="【ススキ】・【ネザサ】・【チガヤ】",45,10),0)))</f>
        <v>0</v>
      </c>
      <c r="Y44" s="24">
        <f t="shared" si="35"/>
        <v>0</v>
      </c>
      <c r="Z44" s="24">
        <f t="shared" si="36"/>
        <v>1</v>
      </c>
      <c r="AA44" s="24">
        <f t="shared" si="37"/>
        <v>1</v>
      </c>
      <c r="AB44" s="24">
        <f t="shared" si="38"/>
        <v>0</v>
      </c>
      <c r="AC44" s="25">
        <f t="shared" si="39"/>
        <v>0</v>
      </c>
      <c r="AD44" s="25">
        <f t="shared" si="40"/>
        <v>0</v>
      </c>
      <c r="AE44" s="25">
        <f t="shared" si="41"/>
        <v>0</v>
      </c>
      <c r="AF44" s="25" t="str">
        <f t="shared" si="42"/>
        <v/>
      </c>
      <c r="AG44" s="25" t="str">
        <f t="shared" si="43"/>
        <v/>
      </c>
      <c r="AH44" s="25" t="str">
        <f t="shared" si="44"/>
        <v/>
      </c>
      <c r="AI44" s="25">
        <f>IF(ISERROR(VLOOKUP(K44,割合DB!$A:$B,2,FALSE))=TRUE,100,VLOOKUP(K44,割合DB!$A:$B,2,FALSE))</f>
        <v>100</v>
      </c>
      <c r="AJ44" s="25">
        <f>IF(ISERROR(VLOOKUP(L44,割合DB!$A:$B,2,FALSE))=TRUE,100,VLOOKUP(L44,割合DB!$A:$B,2,FALSE))</f>
        <v>100</v>
      </c>
      <c r="AK44" s="25">
        <f>IF(ISERROR(VLOOKUP(M44,割合DB!$A:$B,2,FALSE))=TRUE,100,VLOOKUP(M44,割合DB!$A:$B,2,FALSE))</f>
        <v>100</v>
      </c>
      <c r="AL44" s="25">
        <f t="shared" si="45"/>
        <v>0</v>
      </c>
      <c r="AM44" s="18">
        <f t="shared" si="46"/>
        <v>0</v>
      </c>
      <c r="AN44" s="18">
        <f t="shared" si="47"/>
        <v>0</v>
      </c>
      <c r="AO44" s="18">
        <f t="shared" si="16"/>
        <v>0</v>
      </c>
      <c r="AP44" s="18">
        <f>IF($C44="人工面",0,IF($G44="",70,IF($D44="湿性環境",VLOOKUP($G44,環境タイプⅡによる点数DB!$A:$B,2,FALSE),IF($D44="樹林",VLOOKUP($G44,環境タイプⅡによる点数DB!$A:$C,3,FALSE),IF($D44="低木・草地",VLOOKUP($G44,環境タイプⅡによる点数DB!$A:$D,4,FALSE),0)))))</f>
        <v>70</v>
      </c>
      <c r="AQ44" s="24" t="str">
        <f>$H44&amp;"in"&amp;基本情報!$C$13</f>
        <v>in</v>
      </c>
      <c r="AR44" s="24">
        <f t="shared" si="17"/>
        <v>0</v>
      </c>
      <c r="AS44" s="24">
        <f>IF($H44="",0,IF($D44="樹林",IF(ISERROR(VLOOKUP($V44,市町村・植物種ごとの樹林点数DB!$A:$F,6,FALSE))=TRUE,10,VLOOKUP($V44,市町村・植物種ごとの樹林点数DB!$A:$F,6,FALSE)),IF($D44="低木・草地",IF(OR($H44="【ススキ】・【ネザサ】・【チガヤ】",$H44="不明"),45,10),0)))</f>
        <v>0</v>
      </c>
      <c r="AT44" s="24">
        <f t="shared" si="18"/>
        <v>0</v>
      </c>
      <c r="AU44" s="24">
        <f t="shared" si="19"/>
        <v>1</v>
      </c>
      <c r="AV44" s="24">
        <f t="shared" si="20"/>
        <v>0</v>
      </c>
      <c r="AW44" s="24">
        <f t="shared" si="21"/>
        <v>1</v>
      </c>
      <c r="AX44" s="25">
        <f t="shared" si="48"/>
        <v>0</v>
      </c>
      <c r="AY44" s="25">
        <f t="shared" si="49"/>
        <v>0</v>
      </c>
      <c r="AZ44" s="25">
        <f t="shared" si="50"/>
        <v>0</v>
      </c>
      <c r="BA44" s="25" t="str">
        <f t="shared" si="51"/>
        <v/>
      </c>
      <c r="BB44" s="25" t="str">
        <f t="shared" si="52"/>
        <v/>
      </c>
      <c r="BC44" s="25" t="str">
        <f t="shared" si="53"/>
        <v/>
      </c>
      <c r="BD44" s="25">
        <f>IF(ISERROR(VLOOKUP($K44,割合DB!$A:$B,2,FALSE))=TRUE,0,VLOOKUP($K44,割合DB!$A:$B,2,FALSE))</f>
        <v>0</v>
      </c>
      <c r="BE44" s="25">
        <f>IF(ISERROR(VLOOKUP($L44,割合DB!$A:$B,2,FALSE))=TRUE,0,VLOOKUP($L44,割合DB!$A:$B,2,FALSE))</f>
        <v>0</v>
      </c>
      <c r="BF44" s="25">
        <f>IF(ISERROR(VLOOKUP($M44,割合DB!$A:$B,2,FALSE))=TRUE,0,VLOOKUP($M44,割合DB!$A:$B,2,FALSE))</f>
        <v>0</v>
      </c>
      <c r="BG44" s="25">
        <f t="shared" si="54"/>
        <v>100</v>
      </c>
      <c r="BH44" s="18">
        <f t="shared" si="55"/>
        <v>100</v>
      </c>
      <c r="BI44" s="18">
        <f t="shared" si="32"/>
        <v>1</v>
      </c>
      <c r="BJ44" s="176"/>
      <c r="BK44" s="176"/>
      <c r="BL44" s="176"/>
      <c r="BM44" s="176"/>
      <c r="BN44" s="176"/>
      <c r="BO44" s="176"/>
      <c r="BP44" s="176"/>
      <c r="BQ44" s="176"/>
      <c r="BR44" s="176"/>
      <c r="BS44" s="176"/>
      <c r="BT44" s="176"/>
      <c r="BU44" s="176"/>
      <c r="BV44" s="176"/>
      <c r="BW44" s="176"/>
      <c r="BX44" s="176"/>
      <c r="BY44" s="176"/>
      <c r="BZ44" s="176"/>
      <c r="CA44" s="176"/>
    </row>
    <row r="45" spans="1:79" ht="27" customHeight="1" x14ac:dyDescent="0.15">
      <c r="A45" s="30" t="s">
        <v>537</v>
      </c>
      <c r="B45" s="31" t="str">
        <f>IF('環境条件(竣工時)'!B45="","",'環境条件(竣工時)'!B45)</f>
        <v/>
      </c>
      <c r="C45" s="31" t="str">
        <f>IF('環境条件(竣工時)'!C45="","",'環境条件(竣工時)'!C45)</f>
        <v/>
      </c>
      <c r="D45" s="31" t="str">
        <f>IF('環境条件(竣工時)'!D45="","",'環境条件(竣工時)'!D45)</f>
        <v/>
      </c>
      <c r="E45" s="31" t="str">
        <f>IF('環境条件(竣工時)'!E45="","",'環境条件(竣工時)'!E45)</f>
        <v/>
      </c>
      <c r="F45" s="30" t="str">
        <f>IF('環境条件(竣工時)'!F45="","",'環境条件(竣工時)'!F45)</f>
        <v/>
      </c>
      <c r="G45" s="21"/>
      <c r="H45" s="22"/>
      <c r="I45" s="22"/>
      <c r="J45" s="22"/>
      <c r="K45" s="23"/>
      <c r="L45" s="23"/>
      <c r="M45" s="23"/>
      <c r="N45" s="146"/>
      <c r="O45" s="40">
        <f t="shared" si="33"/>
        <v>0</v>
      </c>
      <c r="P45" s="183" t="str">
        <f t="shared" si="34"/>
        <v/>
      </c>
      <c r="S45" s="18">
        <f t="shared" si="31"/>
        <v>0</v>
      </c>
      <c r="T45" s="18">
        <f t="shared" si="1"/>
        <v>0</v>
      </c>
      <c r="U45" s="18">
        <f>IF(C45="人工面",0,IF(G45="",0,IF(D45="湿性環境",VLOOKUP(G45,環境タイプⅡによる点数DB!A:B,2,FALSE),IF(D45="樹林",VLOOKUP(G45,環境タイプⅡによる点数DB!A:C,3,FALSE),IF(D45="低木・草地",VLOOKUP(G45,環境タイプⅡによる点数DB!A:D,4,FALSE),0)))))</f>
        <v>0</v>
      </c>
      <c r="V45" s="24" t="str">
        <f>$H45&amp;"in"&amp;基本情報!$C$13</f>
        <v>in</v>
      </c>
      <c r="W45" s="24">
        <f t="shared" si="2"/>
        <v>0</v>
      </c>
      <c r="X45" s="24">
        <f>IF($H45="",0,IF($D45="樹林",IF(ISERROR(VLOOKUP($V45,市町村・植物種ごとの樹林点数DB!$A:$G,7,FALSE))=TRUE,20,VLOOKUP($V45,市町村・植物種ごとの樹林点数DB!$A:$G,7,FALSE)),IF($D45="低木・草地",IF($H45="【ススキ】・【ネザサ】・【チガヤ】",45,10),0)))</f>
        <v>0</v>
      </c>
      <c r="Y45" s="24">
        <f t="shared" si="35"/>
        <v>0</v>
      </c>
      <c r="Z45" s="24">
        <f t="shared" si="36"/>
        <v>1</v>
      </c>
      <c r="AA45" s="24">
        <f t="shared" si="37"/>
        <v>1</v>
      </c>
      <c r="AB45" s="24">
        <f t="shared" si="38"/>
        <v>0</v>
      </c>
      <c r="AC45" s="25">
        <f t="shared" si="39"/>
        <v>0</v>
      </c>
      <c r="AD45" s="25">
        <f t="shared" si="40"/>
        <v>0</v>
      </c>
      <c r="AE45" s="25">
        <f t="shared" si="41"/>
        <v>0</v>
      </c>
      <c r="AF45" s="25" t="str">
        <f t="shared" si="42"/>
        <v/>
      </c>
      <c r="AG45" s="25" t="str">
        <f t="shared" si="43"/>
        <v/>
      </c>
      <c r="AH45" s="25" t="str">
        <f t="shared" si="44"/>
        <v/>
      </c>
      <c r="AI45" s="25">
        <f>IF(ISERROR(VLOOKUP(K45,割合DB!$A:$B,2,FALSE))=TRUE,100,VLOOKUP(K45,割合DB!$A:$B,2,FALSE))</f>
        <v>100</v>
      </c>
      <c r="AJ45" s="25">
        <f>IF(ISERROR(VLOOKUP(L45,割合DB!$A:$B,2,FALSE))=TRUE,100,VLOOKUP(L45,割合DB!$A:$B,2,FALSE))</f>
        <v>100</v>
      </c>
      <c r="AK45" s="25">
        <f>IF(ISERROR(VLOOKUP(M45,割合DB!$A:$B,2,FALSE))=TRUE,100,VLOOKUP(M45,割合DB!$A:$B,2,FALSE))</f>
        <v>100</v>
      </c>
      <c r="AL45" s="25">
        <f t="shared" si="45"/>
        <v>0</v>
      </c>
      <c r="AM45" s="18">
        <f t="shared" si="46"/>
        <v>0</v>
      </c>
      <c r="AN45" s="18">
        <f t="shared" si="47"/>
        <v>0</v>
      </c>
      <c r="AO45" s="18">
        <f t="shared" si="16"/>
        <v>0</v>
      </c>
      <c r="AP45" s="18">
        <f>IF($C45="人工面",0,IF($G45="",70,IF($D45="湿性環境",VLOOKUP($G45,環境タイプⅡによる点数DB!$A:$B,2,FALSE),IF($D45="樹林",VLOOKUP($G45,環境タイプⅡによる点数DB!$A:$C,3,FALSE),IF($D45="低木・草地",VLOOKUP($G45,環境タイプⅡによる点数DB!$A:$D,4,FALSE),0)))))</f>
        <v>70</v>
      </c>
      <c r="AQ45" s="24" t="str">
        <f>$H45&amp;"in"&amp;基本情報!$C$13</f>
        <v>in</v>
      </c>
      <c r="AR45" s="24">
        <f t="shared" si="17"/>
        <v>0</v>
      </c>
      <c r="AS45" s="24">
        <f>IF($H45="",0,IF($D45="樹林",IF(ISERROR(VLOOKUP($V45,市町村・植物種ごとの樹林点数DB!$A:$F,6,FALSE))=TRUE,10,VLOOKUP($V45,市町村・植物種ごとの樹林点数DB!$A:$F,6,FALSE)),IF($D45="低木・草地",IF(OR($H45="【ススキ】・【ネザサ】・【チガヤ】",$H45="不明"),45,10),0)))</f>
        <v>0</v>
      </c>
      <c r="AT45" s="24">
        <f t="shared" si="18"/>
        <v>0</v>
      </c>
      <c r="AU45" s="24">
        <f t="shared" si="19"/>
        <v>1</v>
      </c>
      <c r="AV45" s="24">
        <f t="shared" si="20"/>
        <v>0</v>
      </c>
      <c r="AW45" s="24">
        <f t="shared" si="21"/>
        <v>1</v>
      </c>
      <c r="AX45" s="25">
        <f t="shared" si="48"/>
        <v>0</v>
      </c>
      <c r="AY45" s="25">
        <f t="shared" si="49"/>
        <v>0</v>
      </c>
      <c r="AZ45" s="25">
        <f t="shared" si="50"/>
        <v>0</v>
      </c>
      <c r="BA45" s="25" t="str">
        <f t="shared" si="51"/>
        <v/>
      </c>
      <c r="BB45" s="25" t="str">
        <f t="shared" si="52"/>
        <v/>
      </c>
      <c r="BC45" s="25" t="str">
        <f t="shared" si="53"/>
        <v/>
      </c>
      <c r="BD45" s="25">
        <f>IF(ISERROR(VLOOKUP($K45,割合DB!$A:$B,2,FALSE))=TRUE,0,VLOOKUP($K45,割合DB!$A:$B,2,FALSE))</f>
        <v>0</v>
      </c>
      <c r="BE45" s="25">
        <f>IF(ISERROR(VLOOKUP($L45,割合DB!$A:$B,2,FALSE))=TRUE,0,VLOOKUP($L45,割合DB!$A:$B,2,FALSE))</f>
        <v>0</v>
      </c>
      <c r="BF45" s="25">
        <f>IF(ISERROR(VLOOKUP($M45,割合DB!$A:$B,2,FALSE))=TRUE,0,VLOOKUP($M45,割合DB!$A:$B,2,FALSE))</f>
        <v>0</v>
      </c>
      <c r="BG45" s="25">
        <f t="shared" si="54"/>
        <v>100</v>
      </c>
      <c r="BH45" s="18">
        <f t="shared" si="55"/>
        <v>100</v>
      </c>
      <c r="BI45" s="18">
        <f t="shared" si="32"/>
        <v>1</v>
      </c>
      <c r="BJ45" s="176"/>
      <c r="BK45" s="176"/>
      <c r="BL45" s="176"/>
      <c r="BM45" s="176"/>
      <c r="BN45" s="176"/>
      <c r="BO45" s="176"/>
      <c r="BP45" s="176"/>
      <c r="BQ45" s="176"/>
      <c r="BR45" s="176"/>
      <c r="BS45" s="176"/>
      <c r="BT45" s="176"/>
      <c r="BU45" s="176"/>
      <c r="BV45" s="176"/>
      <c r="BW45" s="176"/>
      <c r="BX45" s="176"/>
      <c r="BY45" s="176"/>
      <c r="BZ45" s="176"/>
      <c r="CA45" s="176"/>
    </row>
    <row r="46" spans="1:79" ht="27" customHeight="1" x14ac:dyDescent="0.15">
      <c r="A46" s="30" t="s">
        <v>538</v>
      </c>
      <c r="B46" s="31" t="str">
        <f>IF('環境条件(竣工時)'!B46="","",'環境条件(竣工時)'!B46)</f>
        <v/>
      </c>
      <c r="C46" s="31" t="str">
        <f>IF('環境条件(竣工時)'!C46="","",'環境条件(竣工時)'!C46)</f>
        <v/>
      </c>
      <c r="D46" s="31" t="str">
        <f>IF('環境条件(竣工時)'!D46="","",'環境条件(竣工時)'!D46)</f>
        <v/>
      </c>
      <c r="E46" s="31" t="str">
        <f>IF('環境条件(竣工時)'!E46="","",'環境条件(竣工時)'!E46)</f>
        <v/>
      </c>
      <c r="F46" s="30" t="str">
        <f>IF('環境条件(竣工時)'!F46="","",'環境条件(竣工時)'!F46)</f>
        <v/>
      </c>
      <c r="G46" s="21"/>
      <c r="H46" s="22"/>
      <c r="I46" s="22"/>
      <c r="J46" s="22"/>
      <c r="K46" s="23"/>
      <c r="L46" s="23"/>
      <c r="M46" s="23"/>
      <c r="N46" s="146"/>
      <c r="O46" s="40">
        <f t="shared" si="33"/>
        <v>0</v>
      </c>
      <c r="P46" s="183" t="str">
        <f t="shared" si="34"/>
        <v/>
      </c>
      <c r="S46" s="18">
        <f t="shared" si="31"/>
        <v>0</v>
      </c>
      <c r="T46" s="18">
        <f t="shared" si="1"/>
        <v>0</v>
      </c>
      <c r="U46" s="18">
        <f>IF(C46="人工面",0,IF(G46="",0,IF(D46="湿性環境",VLOOKUP(G46,環境タイプⅡによる点数DB!A:B,2,FALSE),IF(D46="樹林",VLOOKUP(G46,環境タイプⅡによる点数DB!A:C,3,FALSE),IF(D46="低木・草地",VLOOKUP(G46,環境タイプⅡによる点数DB!A:D,4,FALSE),0)))))</f>
        <v>0</v>
      </c>
      <c r="V46" s="24" t="str">
        <f>$H46&amp;"in"&amp;基本情報!$C$13</f>
        <v>in</v>
      </c>
      <c r="W46" s="24">
        <f t="shared" si="2"/>
        <v>0</v>
      </c>
      <c r="X46" s="24">
        <f>IF($H46="",0,IF($D46="樹林",IF(ISERROR(VLOOKUP($V46,市町村・植物種ごとの樹林点数DB!$A:$G,7,FALSE))=TRUE,20,VLOOKUP($V46,市町村・植物種ごとの樹林点数DB!$A:$G,7,FALSE)),IF($D46="低木・草地",IF($H46="【ススキ】・【ネザサ】・【チガヤ】",45,10),0)))</f>
        <v>0</v>
      </c>
      <c r="Y46" s="24">
        <f t="shared" si="35"/>
        <v>0</v>
      </c>
      <c r="Z46" s="24">
        <f t="shared" si="36"/>
        <v>1</v>
      </c>
      <c r="AA46" s="24">
        <f t="shared" si="37"/>
        <v>1</v>
      </c>
      <c r="AB46" s="24">
        <f t="shared" si="38"/>
        <v>0</v>
      </c>
      <c r="AC46" s="25">
        <f t="shared" si="39"/>
        <v>0</v>
      </c>
      <c r="AD46" s="25">
        <f t="shared" si="40"/>
        <v>0</v>
      </c>
      <c r="AE46" s="25">
        <f t="shared" si="41"/>
        <v>0</v>
      </c>
      <c r="AF46" s="25" t="str">
        <f t="shared" si="42"/>
        <v/>
      </c>
      <c r="AG46" s="25" t="str">
        <f t="shared" si="43"/>
        <v/>
      </c>
      <c r="AH46" s="25" t="str">
        <f t="shared" si="44"/>
        <v/>
      </c>
      <c r="AI46" s="25">
        <f>IF(ISERROR(VLOOKUP(K46,割合DB!$A:$B,2,FALSE))=TRUE,100,VLOOKUP(K46,割合DB!$A:$B,2,FALSE))</f>
        <v>100</v>
      </c>
      <c r="AJ46" s="25">
        <f>IF(ISERROR(VLOOKUP(L46,割合DB!$A:$B,2,FALSE))=TRUE,100,VLOOKUP(L46,割合DB!$A:$B,2,FALSE))</f>
        <v>100</v>
      </c>
      <c r="AK46" s="25">
        <f>IF(ISERROR(VLOOKUP(M46,割合DB!$A:$B,2,FALSE))=TRUE,100,VLOOKUP(M46,割合DB!$A:$B,2,FALSE))</f>
        <v>100</v>
      </c>
      <c r="AL46" s="25">
        <f t="shared" si="45"/>
        <v>0</v>
      </c>
      <c r="AM46" s="18">
        <f t="shared" si="46"/>
        <v>0</v>
      </c>
      <c r="AN46" s="18">
        <f t="shared" si="47"/>
        <v>0</v>
      </c>
      <c r="AO46" s="18">
        <f t="shared" si="16"/>
        <v>0</v>
      </c>
      <c r="AP46" s="18">
        <f>IF($C46="人工面",0,IF($G46="",70,IF($D46="湿性環境",VLOOKUP($G46,環境タイプⅡによる点数DB!$A:$B,2,FALSE),IF($D46="樹林",VLOOKUP($G46,環境タイプⅡによる点数DB!$A:$C,3,FALSE),IF($D46="低木・草地",VLOOKUP($G46,環境タイプⅡによる点数DB!$A:$D,4,FALSE),0)))))</f>
        <v>70</v>
      </c>
      <c r="AQ46" s="24" t="str">
        <f>$H46&amp;"in"&amp;基本情報!$C$13</f>
        <v>in</v>
      </c>
      <c r="AR46" s="24">
        <f t="shared" si="17"/>
        <v>0</v>
      </c>
      <c r="AS46" s="24">
        <f>IF($H46="",0,IF($D46="樹林",IF(ISERROR(VLOOKUP($V46,市町村・植物種ごとの樹林点数DB!$A:$F,6,FALSE))=TRUE,10,VLOOKUP($V46,市町村・植物種ごとの樹林点数DB!$A:$F,6,FALSE)),IF($D46="低木・草地",IF(OR($H46="【ススキ】・【ネザサ】・【チガヤ】",$H46="不明"),45,10),0)))</f>
        <v>0</v>
      </c>
      <c r="AT46" s="24">
        <f t="shared" si="18"/>
        <v>0</v>
      </c>
      <c r="AU46" s="24">
        <f t="shared" si="19"/>
        <v>1</v>
      </c>
      <c r="AV46" s="24">
        <f t="shared" si="20"/>
        <v>0</v>
      </c>
      <c r="AW46" s="24">
        <f t="shared" si="21"/>
        <v>1</v>
      </c>
      <c r="AX46" s="25">
        <f t="shared" si="48"/>
        <v>0</v>
      </c>
      <c r="AY46" s="25">
        <f t="shared" si="49"/>
        <v>0</v>
      </c>
      <c r="AZ46" s="25">
        <f t="shared" si="50"/>
        <v>0</v>
      </c>
      <c r="BA46" s="25" t="str">
        <f t="shared" si="51"/>
        <v/>
      </c>
      <c r="BB46" s="25" t="str">
        <f t="shared" si="52"/>
        <v/>
      </c>
      <c r="BC46" s="25" t="str">
        <f t="shared" si="53"/>
        <v/>
      </c>
      <c r="BD46" s="25">
        <f>IF(ISERROR(VLOOKUP($K46,割合DB!$A:$B,2,FALSE))=TRUE,0,VLOOKUP($K46,割合DB!$A:$B,2,FALSE))</f>
        <v>0</v>
      </c>
      <c r="BE46" s="25">
        <f>IF(ISERROR(VLOOKUP($L46,割合DB!$A:$B,2,FALSE))=TRUE,0,VLOOKUP($L46,割合DB!$A:$B,2,FALSE))</f>
        <v>0</v>
      </c>
      <c r="BF46" s="25">
        <f>IF(ISERROR(VLOOKUP($M46,割合DB!$A:$B,2,FALSE))=TRUE,0,VLOOKUP($M46,割合DB!$A:$B,2,FALSE))</f>
        <v>0</v>
      </c>
      <c r="BG46" s="25">
        <f t="shared" si="54"/>
        <v>100</v>
      </c>
      <c r="BH46" s="18">
        <f t="shared" si="55"/>
        <v>100</v>
      </c>
      <c r="BI46" s="18">
        <f t="shared" si="32"/>
        <v>1</v>
      </c>
      <c r="BJ46" s="176"/>
      <c r="BK46" s="176"/>
      <c r="BL46" s="176"/>
      <c r="BM46" s="176"/>
      <c r="BN46" s="176"/>
      <c r="BO46" s="176"/>
      <c r="BP46" s="176"/>
      <c r="BQ46" s="176"/>
      <c r="BR46" s="176"/>
      <c r="BS46" s="176"/>
      <c r="BT46" s="176"/>
      <c r="BU46" s="176"/>
      <c r="BV46" s="176"/>
      <c r="BW46" s="176"/>
      <c r="BX46" s="176"/>
      <c r="BY46" s="176"/>
      <c r="BZ46" s="176"/>
      <c r="CA46" s="176"/>
    </row>
    <row r="47" spans="1:79" ht="27" customHeight="1" x14ac:dyDescent="0.15">
      <c r="A47" s="30" t="s">
        <v>539</v>
      </c>
      <c r="B47" s="31" t="str">
        <f>IF('環境条件(竣工時)'!B47="","",'環境条件(竣工時)'!B47)</f>
        <v/>
      </c>
      <c r="C47" s="31" t="str">
        <f>IF('環境条件(竣工時)'!C47="","",'環境条件(竣工時)'!C47)</f>
        <v/>
      </c>
      <c r="D47" s="31" t="str">
        <f>IF('環境条件(竣工時)'!D47="","",'環境条件(竣工時)'!D47)</f>
        <v/>
      </c>
      <c r="E47" s="31" t="str">
        <f>IF('環境条件(竣工時)'!E47="","",'環境条件(竣工時)'!E47)</f>
        <v/>
      </c>
      <c r="F47" s="30" t="str">
        <f>IF('環境条件(竣工時)'!F47="","",'環境条件(竣工時)'!F47)</f>
        <v/>
      </c>
      <c r="G47" s="21"/>
      <c r="H47" s="22"/>
      <c r="I47" s="22"/>
      <c r="J47" s="22"/>
      <c r="K47" s="23"/>
      <c r="L47" s="23"/>
      <c r="M47" s="23"/>
      <c r="N47" s="146"/>
      <c r="O47" s="40">
        <f t="shared" si="33"/>
        <v>0</v>
      </c>
      <c r="P47" s="183" t="str">
        <f t="shared" si="34"/>
        <v/>
      </c>
      <c r="S47" s="18">
        <f t="shared" si="31"/>
        <v>0</v>
      </c>
      <c r="T47" s="18">
        <f t="shared" si="1"/>
        <v>0</v>
      </c>
      <c r="U47" s="18">
        <f>IF(C47="人工面",0,IF(G47="",0,IF(D47="湿性環境",VLOOKUP(G47,環境タイプⅡによる点数DB!A:B,2,FALSE),IF(D47="樹林",VLOOKUP(G47,環境タイプⅡによる点数DB!A:C,3,FALSE),IF(D47="低木・草地",VLOOKUP(G47,環境タイプⅡによる点数DB!A:D,4,FALSE),0)))))</f>
        <v>0</v>
      </c>
      <c r="V47" s="24" t="str">
        <f>$H47&amp;"in"&amp;基本情報!$C$13</f>
        <v>in</v>
      </c>
      <c r="W47" s="24">
        <f t="shared" si="2"/>
        <v>0</v>
      </c>
      <c r="X47" s="24">
        <f>IF($H47="",0,IF($D47="樹林",IF(ISERROR(VLOOKUP($V47,市町村・植物種ごとの樹林点数DB!$A:$G,7,FALSE))=TRUE,20,VLOOKUP($V47,市町村・植物種ごとの樹林点数DB!$A:$G,7,FALSE)),IF($D47="低木・草地",IF($H47="【ススキ】・【ネザサ】・【チガヤ】",45,10),0)))</f>
        <v>0</v>
      </c>
      <c r="Y47" s="24">
        <f t="shared" si="35"/>
        <v>0</v>
      </c>
      <c r="Z47" s="24">
        <f t="shared" si="36"/>
        <v>1</v>
      </c>
      <c r="AA47" s="24">
        <f t="shared" si="37"/>
        <v>1</v>
      </c>
      <c r="AB47" s="24">
        <f t="shared" si="38"/>
        <v>0</v>
      </c>
      <c r="AC47" s="25">
        <f t="shared" si="39"/>
        <v>0</v>
      </c>
      <c r="AD47" s="25">
        <f t="shared" si="40"/>
        <v>0</v>
      </c>
      <c r="AE47" s="25">
        <f t="shared" si="41"/>
        <v>0</v>
      </c>
      <c r="AF47" s="25" t="str">
        <f t="shared" si="42"/>
        <v/>
      </c>
      <c r="AG47" s="25" t="str">
        <f t="shared" si="43"/>
        <v/>
      </c>
      <c r="AH47" s="25" t="str">
        <f t="shared" si="44"/>
        <v/>
      </c>
      <c r="AI47" s="25">
        <f>IF(ISERROR(VLOOKUP(K47,割合DB!$A:$B,2,FALSE))=TRUE,100,VLOOKUP(K47,割合DB!$A:$B,2,FALSE))</f>
        <v>100</v>
      </c>
      <c r="AJ47" s="25">
        <f>IF(ISERROR(VLOOKUP(L47,割合DB!$A:$B,2,FALSE))=TRUE,100,VLOOKUP(L47,割合DB!$A:$B,2,FALSE))</f>
        <v>100</v>
      </c>
      <c r="AK47" s="25">
        <f>IF(ISERROR(VLOOKUP(M47,割合DB!$A:$B,2,FALSE))=TRUE,100,VLOOKUP(M47,割合DB!$A:$B,2,FALSE))</f>
        <v>100</v>
      </c>
      <c r="AL47" s="25">
        <f t="shared" si="45"/>
        <v>0</v>
      </c>
      <c r="AM47" s="18">
        <f t="shared" si="46"/>
        <v>0</v>
      </c>
      <c r="AN47" s="18">
        <f t="shared" si="47"/>
        <v>0</v>
      </c>
      <c r="AO47" s="18">
        <f t="shared" si="16"/>
        <v>0</v>
      </c>
      <c r="AP47" s="18">
        <f>IF($C47="人工面",0,IF($G47="",70,IF($D47="湿性環境",VLOOKUP($G47,環境タイプⅡによる点数DB!$A:$B,2,FALSE),IF($D47="樹林",VLOOKUP($G47,環境タイプⅡによる点数DB!$A:$C,3,FALSE),IF($D47="低木・草地",VLOOKUP($G47,環境タイプⅡによる点数DB!$A:$D,4,FALSE),0)))))</f>
        <v>70</v>
      </c>
      <c r="AQ47" s="24" t="str">
        <f>$H47&amp;"in"&amp;基本情報!$C$13</f>
        <v>in</v>
      </c>
      <c r="AR47" s="24">
        <f t="shared" si="17"/>
        <v>0</v>
      </c>
      <c r="AS47" s="24">
        <f>IF($H47="",0,IF($D47="樹林",IF(ISERROR(VLOOKUP($V47,市町村・植物種ごとの樹林点数DB!$A:$F,6,FALSE))=TRUE,10,VLOOKUP($V47,市町村・植物種ごとの樹林点数DB!$A:$F,6,FALSE)),IF($D47="低木・草地",IF(OR($H47="【ススキ】・【ネザサ】・【チガヤ】",$H47="不明"),45,10),0)))</f>
        <v>0</v>
      </c>
      <c r="AT47" s="24">
        <f t="shared" si="18"/>
        <v>0</v>
      </c>
      <c r="AU47" s="24">
        <f t="shared" si="19"/>
        <v>1</v>
      </c>
      <c r="AV47" s="24">
        <f t="shared" si="20"/>
        <v>0</v>
      </c>
      <c r="AW47" s="24">
        <f t="shared" si="21"/>
        <v>1</v>
      </c>
      <c r="AX47" s="25">
        <f t="shared" si="48"/>
        <v>0</v>
      </c>
      <c r="AY47" s="25">
        <f t="shared" si="49"/>
        <v>0</v>
      </c>
      <c r="AZ47" s="25">
        <f t="shared" si="50"/>
        <v>0</v>
      </c>
      <c r="BA47" s="25" t="str">
        <f t="shared" si="51"/>
        <v/>
      </c>
      <c r="BB47" s="25" t="str">
        <f t="shared" si="52"/>
        <v/>
      </c>
      <c r="BC47" s="25" t="str">
        <f t="shared" si="53"/>
        <v/>
      </c>
      <c r="BD47" s="25">
        <f>IF(ISERROR(VLOOKUP($K47,割合DB!$A:$B,2,FALSE))=TRUE,0,VLOOKUP($K47,割合DB!$A:$B,2,FALSE))</f>
        <v>0</v>
      </c>
      <c r="BE47" s="25">
        <f>IF(ISERROR(VLOOKUP($L47,割合DB!$A:$B,2,FALSE))=TRUE,0,VLOOKUP($L47,割合DB!$A:$B,2,FALSE))</f>
        <v>0</v>
      </c>
      <c r="BF47" s="25">
        <f>IF(ISERROR(VLOOKUP($M47,割合DB!$A:$B,2,FALSE))=TRUE,0,VLOOKUP($M47,割合DB!$A:$B,2,FALSE))</f>
        <v>0</v>
      </c>
      <c r="BG47" s="25">
        <f t="shared" si="54"/>
        <v>100</v>
      </c>
      <c r="BH47" s="18">
        <f t="shared" si="55"/>
        <v>100</v>
      </c>
      <c r="BI47" s="18">
        <f t="shared" si="32"/>
        <v>1</v>
      </c>
      <c r="BJ47" s="176"/>
      <c r="BK47" s="176"/>
      <c r="BL47" s="176"/>
      <c r="BM47" s="176"/>
      <c r="BN47" s="176"/>
      <c r="BO47" s="176"/>
      <c r="BP47" s="176"/>
      <c r="BQ47" s="176"/>
      <c r="BR47" s="176"/>
      <c r="BS47" s="176"/>
      <c r="BT47" s="176"/>
      <c r="BU47" s="176"/>
      <c r="BV47" s="176"/>
      <c r="BW47" s="176"/>
      <c r="BX47" s="176"/>
      <c r="BY47" s="176"/>
      <c r="BZ47" s="176"/>
      <c r="CA47" s="176"/>
    </row>
    <row r="48" spans="1:79" ht="27" customHeight="1" x14ac:dyDescent="0.15">
      <c r="A48" s="30" t="s">
        <v>540</v>
      </c>
      <c r="B48" s="31" t="str">
        <f>IF('環境条件(竣工時)'!B48="","",'環境条件(竣工時)'!B48)</f>
        <v/>
      </c>
      <c r="C48" s="31" t="str">
        <f>IF('環境条件(竣工時)'!C48="","",'環境条件(竣工時)'!C48)</f>
        <v/>
      </c>
      <c r="D48" s="31" t="str">
        <f>IF('環境条件(竣工時)'!D48="","",'環境条件(竣工時)'!D48)</f>
        <v/>
      </c>
      <c r="E48" s="31" t="str">
        <f>IF('環境条件(竣工時)'!E48="","",'環境条件(竣工時)'!E48)</f>
        <v/>
      </c>
      <c r="F48" s="30" t="str">
        <f>IF('環境条件(竣工時)'!F48="","",'環境条件(竣工時)'!F48)</f>
        <v/>
      </c>
      <c r="G48" s="21"/>
      <c r="H48" s="22"/>
      <c r="I48" s="22"/>
      <c r="J48" s="22"/>
      <c r="K48" s="23"/>
      <c r="L48" s="23"/>
      <c r="M48" s="23"/>
      <c r="N48" s="146"/>
      <c r="O48" s="40">
        <f t="shared" si="33"/>
        <v>0</v>
      </c>
      <c r="P48" s="183" t="str">
        <f t="shared" si="34"/>
        <v/>
      </c>
      <c r="S48" s="18">
        <f t="shared" si="31"/>
        <v>0</v>
      </c>
      <c r="T48" s="18">
        <f t="shared" si="1"/>
        <v>0</v>
      </c>
      <c r="U48" s="18">
        <f>IF(C48="人工面",0,IF(G48="",0,IF(D48="湿性環境",VLOOKUP(G48,環境タイプⅡによる点数DB!A:B,2,FALSE),IF(D48="樹林",VLOOKUP(G48,環境タイプⅡによる点数DB!A:C,3,FALSE),IF(D48="低木・草地",VLOOKUP(G48,環境タイプⅡによる点数DB!A:D,4,FALSE),0)))))</f>
        <v>0</v>
      </c>
      <c r="V48" s="24" t="str">
        <f>$H48&amp;"in"&amp;基本情報!$C$13</f>
        <v>in</v>
      </c>
      <c r="W48" s="24">
        <f t="shared" si="2"/>
        <v>0</v>
      </c>
      <c r="X48" s="24">
        <f>IF($H48="",0,IF($D48="樹林",IF(ISERROR(VLOOKUP($V48,市町村・植物種ごとの樹林点数DB!$A:$G,7,FALSE))=TRUE,20,VLOOKUP($V48,市町村・植物種ごとの樹林点数DB!$A:$G,7,FALSE)),IF($D48="低木・草地",IF($H48="【ススキ】・【ネザサ】・【チガヤ】",45,10),0)))</f>
        <v>0</v>
      </c>
      <c r="Y48" s="24">
        <f t="shared" si="35"/>
        <v>0</v>
      </c>
      <c r="Z48" s="24">
        <f t="shared" si="36"/>
        <v>1</v>
      </c>
      <c r="AA48" s="24">
        <f t="shared" si="37"/>
        <v>1</v>
      </c>
      <c r="AB48" s="24">
        <f t="shared" si="38"/>
        <v>0</v>
      </c>
      <c r="AC48" s="25">
        <f t="shared" si="39"/>
        <v>0</v>
      </c>
      <c r="AD48" s="25">
        <f t="shared" si="40"/>
        <v>0</v>
      </c>
      <c r="AE48" s="25">
        <f t="shared" si="41"/>
        <v>0</v>
      </c>
      <c r="AF48" s="25" t="str">
        <f t="shared" si="42"/>
        <v/>
      </c>
      <c r="AG48" s="25" t="str">
        <f t="shared" si="43"/>
        <v/>
      </c>
      <c r="AH48" s="25" t="str">
        <f t="shared" si="44"/>
        <v/>
      </c>
      <c r="AI48" s="25">
        <f>IF(ISERROR(VLOOKUP(K48,割合DB!$A:$B,2,FALSE))=TRUE,100,VLOOKUP(K48,割合DB!$A:$B,2,FALSE))</f>
        <v>100</v>
      </c>
      <c r="AJ48" s="25">
        <f>IF(ISERROR(VLOOKUP(L48,割合DB!$A:$B,2,FALSE))=TRUE,100,VLOOKUP(L48,割合DB!$A:$B,2,FALSE))</f>
        <v>100</v>
      </c>
      <c r="AK48" s="25">
        <f>IF(ISERROR(VLOOKUP(M48,割合DB!$A:$B,2,FALSE))=TRUE,100,VLOOKUP(M48,割合DB!$A:$B,2,FALSE))</f>
        <v>100</v>
      </c>
      <c r="AL48" s="25">
        <f t="shared" si="45"/>
        <v>0</v>
      </c>
      <c r="AM48" s="18">
        <f t="shared" si="46"/>
        <v>0</v>
      </c>
      <c r="AN48" s="18">
        <f t="shared" si="47"/>
        <v>0</v>
      </c>
      <c r="AO48" s="18">
        <f t="shared" si="16"/>
        <v>0</v>
      </c>
      <c r="AP48" s="18">
        <f>IF($C48="人工面",0,IF($G48="",70,IF($D48="湿性環境",VLOOKUP($G48,環境タイプⅡによる点数DB!$A:$B,2,FALSE),IF($D48="樹林",VLOOKUP($G48,環境タイプⅡによる点数DB!$A:$C,3,FALSE),IF($D48="低木・草地",VLOOKUP($G48,環境タイプⅡによる点数DB!$A:$D,4,FALSE),0)))))</f>
        <v>70</v>
      </c>
      <c r="AQ48" s="24" t="str">
        <f>$H48&amp;"in"&amp;基本情報!$C$13</f>
        <v>in</v>
      </c>
      <c r="AR48" s="24">
        <f t="shared" si="17"/>
        <v>0</v>
      </c>
      <c r="AS48" s="24">
        <f>IF($H48="",0,IF($D48="樹林",IF(ISERROR(VLOOKUP($V48,市町村・植物種ごとの樹林点数DB!$A:$F,6,FALSE))=TRUE,10,VLOOKUP($V48,市町村・植物種ごとの樹林点数DB!$A:$F,6,FALSE)),IF($D48="低木・草地",IF(OR($H48="【ススキ】・【ネザサ】・【チガヤ】",$H48="不明"),45,10),0)))</f>
        <v>0</v>
      </c>
      <c r="AT48" s="24">
        <f t="shared" si="18"/>
        <v>0</v>
      </c>
      <c r="AU48" s="24">
        <f t="shared" si="19"/>
        <v>1</v>
      </c>
      <c r="AV48" s="24">
        <f t="shared" si="20"/>
        <v>0</v>
      </c>
      <c r="AW48" s="24">
        <f t="shared" si="21"/>
        <v>1</v>
      </c>
      <c r="AX48" s="25">
        <f t="shared" si="48"/>
        <v>0</v>
      </c>
      <c r="AY48" s="25">
        <f t="shared" si="49"/>
        <v>0</v>
      </c>
      <c r="AZ48" s="25">
        <f t="shared" si="50"/>
        <v>0</v>
      </c>
      <c r="BA48" s="25" t="str">
        <f t="shared" si="51"/>
        <v/>
      </c>
      <c r="BB48" s="25" t="str">
        <f t="shared" si="52"/>
        <v/>
      </c>
      <c r="BC48" s="25" t="str">
        <f t="shared" si="53"/>
        <v/>
      </c>
      <c r="BD48" s="25">
        <f>IF(ISERROR(VLOOKUP($K48,割合DB!$A:$B,2,FALSE))=TRUE,0,VLOOKUP($K48,割合DB!$A:$B,2,FALSE))</f>
        <v>0</v>
      </c>
      <c r="BE48" s="25">
        <f>IF(ISERROR(VLOOKUP($L48,割合DB!$A:$B,2,FALSE))=TRUE,0,VLOOKUP($L48,割合DB!$A:$B,2,FALSE))</f>
        <v>0</v>
      </c>
      <c r="BF48" s="25">
        <f>IF(ISERROR(VLOOKUP($M48,割合DB!$A:$B,2,FALSE))=TRUE,0,VLOOKUP($M48,割合DB!$A:$B,2,FALSE))</f>
        <v>0</v>
      </c>
      <c r="BG48" s="25">
        <f t="shared" si="54"/>
        <v>100</v>
      </c>
      <c r="BH48" s="18">
        <f t="shared" si="55"/>
        <v>100</v>
      </c>
      <c r="BI48" s="18">
        <f t="shared" si="32"/>
        <v>1</v>
      </c>
      <c r="BJ48" s="176"/>
      <c r="BK48" s="176"/>
      <c r="BL48" s="176"/>
      <c r="BM48" s="176"/>
      <c r="BN48" s="176"/>
      <c r="BO48" s="176"/>
      <c r="BP48" s="176"/>
      <c r="BQ48" s="176"/>
      <c r="BR48" s="176"/>
      <c r="BS48" s="176"/>
      <c r="BT48" s="176"/>
      <c r="BU48" s="176"/>
      <c r="BV48" s="176"/>
      <c r="BW48" s="176"/>
      <c r="BX48" s="176"/>
      <c r="BY48" s="176"/>
      <c r="BZ48" s="176"/>
      <c r="CA48" s="176"/>
    </row>
    <row r="49" spans="1:79" ht="27" customHeight="1" x14ac:dyDescent="0.15">
      <c r="A49" s="30" t="s">
        <v>541</v>
      </c>
      <c r="B49" s="31" t="str">
        <f>IF('環境条件(竣工時)'!B49="","",'環境条件(竣工時)'!B49)</f>
        <v/>
      </c>
      <c r="C49" s="31" t="str">
        <f>IF('環境条件(竣工時)'!C49="","",'環境条件(竣工時)'!C49)</f>
        <v/>
      </c>
      <c r="D49" s="31" t="str">
        <f>IF('環境条件(竣工時)'!D49="","",'環境条件(竣工時)'!D49)</f>
        <v/>
      </c>
      <c r="E49" s="31" t="str">
        <f>IF('環境条件(竣工時)'!E49="","",'環境条件(竣工時)'!E49)</f>
        <v/>
      </c>
      <c r="F49" s="30" t="str">
        <f>IF('環境条件(竣工時)'!F49="","",'環境条件(竣工時)'!F49)</f>
        <v/>
      </c>
      <c r="G49" s="21"/>
      <c r="H49" s="22"/>
      <c r="I49" s="22"/>
      <c r="J49" s="22"/>
      <c r="K49" s="23"/>
      <c r="L49" s="23"/>
      <c r="M49" s="23"/>
      <c r="N49" s="146"/>
      <c r="O49" s="40">
        <f t="shared" si="33"/>
        <v>0</v>
      </c>
      <c r="P49" s="183" t="str">
        <f t="shared" si="34"/>
        <v/>
      </c>
      <c r="S49" s="18">
        <f t="shared" si="31"/>
        <v>0</v>
      </c>
      <c r="T49" s="18">
        <f t="shared" si="1"/>
        <v>0</v>
      </c>
      <c r="U49" s="18">
        <f>IF(C49="人工面",0,IF(G49="",0,IF(D49="湿性環境",VLOOKUP(G49,環境タイプⅡによる点数DB!A:B,2,FALSE),IF(D49="樹林",VLOOKUP(G49,環境タイプⅡによる点数DB!A:C,3,FALSE),IF(D49="低木・草地",VLOOKUP(G49,環境タイプⅡによる点数DB!A:D,4,FALSE),0)))))</f>
        <v>0</v>
      </c>
      <c r="V49" s="24" t="str">
        <f>$H49&amp;"in"&amp;基本情報!$C$13</f>
        <v>in</v>
      </c>
      <c r="W49" s="24">
        <f t="shared" si="2"/>
        <v>0</v>
      </c>
      <c r="X49" s="24">
        <f>IF($H49="",0,IF($D49="樹林",IF(ISERROR(VLOOKUP($V49,市町村・植物種ごとの樹林点数DB!$A:$G,7,FALSE))=TRUE,20,VLOOKUP($V49,市町村・植物種ごとの樹林点数DB!$A:$G,7,FALSE)),IF($D49="低木・草地",IF($H49="【ススキ】・【ネザサ】・【チガヤ】",45,10),0)))</f>
        <v>0</v>
      </c>
      <c r="Y49" s="24">
        <f t="shared" si="35"/>
        <v>0</v>
      </c>
      <c r="Z49" s="24">
        <f t="shared" si="36"/>
        <v>1</v>
      </c>
      <c r="AA49" s="24">
        <f t="shared" si="37"/>
        <v>1</v>
      </c>
      <c r="AB49" s="24">
        <f t="shared" si="38"/>
        <v>0</v>
      </c>
      <c r="AC49" s="25">
        <f t="shared" si="39"/>
        <v>0</v>
      </c>
      <c r="AD49" s="25">
        <f t="shared" si="40"/>
        <v>0</v>
      </c>
      <c r="AE49" s="25">
        <f t="shared" si="41"/>
        <v>0</v>
      </c>
      <c r="AF49" s="25" t="str">
        <f t="shared" si="42"/>
        <v/>
      </c>
      <c r="AG49" s="25" t="str">
        <f t="shared" si="43"/>
        <v/>
      </c>
      <c r="AH49" s="25" t="str">
        <f t="shared" si="44"/>
        <v/>
      </c>
      <c r="AI49" s="25">
        <f>IF(ISERROR(VLOOKUP(K49,割合DB!$A:$B,2,FALSE))=TRUE,100,VLOOKUP(K49,割合DB!$A:$B,2,FALSE))</f>
        <v>100</v>
      </c>
      <c r="AJ49" s="25">
        <f>IF(ISERROR(VLOOKUP(L49,割合DB!$A:$B,2,FALSE))=TRUE,100,VLOOKUP(L49,割合DB!$A:$B,2,FALSE))</f>
        <v>100</v>
      </c>
      <c r="AK49" s="25">
        <f>IF(ISERROR(VLOOKUP(M49,割合DB!$A:$B,2,FALSE))=TRUE,100,VLOOKUP(M49,割合DB!$A:$B,2,FALSE))</f>
        <v>100</v>
      </c>
      <c r="AL49" s="25">
        <f t="shared" si="45"/>
        <v>0</v>
      </c>
      <c r="AM49" s="18">
        <f t="shared" si="46"/>
        <v>0</v>
      </c>
      <c r="AN49" s="18">
        <f t="shared" si="47"/>
        <v>0</v>
      </c>
      <c r="AO49" s="18">
        <f t="shared" si="16"/>
        <v>0</v>
      </c>
      <c r="AP49" s="18">
        <f>IF($C49="人工面",0,IF($G49="",70,IF($D49="湿性環境",VLOOKUP($G49,環境タイプⅡによる点数DB!$A:$B,2,FALSE),IF($D49="樹林",VLOOKUP($G49,環境タイプⅡによる点数DB!$A:$C,3,FALSE),IF($D49="低木・草地",VLOOKUP($G49,環境タイプⅡによる点数DB!$A:$D,4,FALSE),0)))))</f>
        <v>70</v>
      </c>
      <c r="AQ49" s="24" t="str">
        <f>$H49&amp;"in"&amp;基本情報!$C$13</f>
        <v>in</v>
      </c>
      <c r="AR49" s="24">
        <f t="shared" si="17"/>
        <v>0</v>
      </c>
      <c r="AS49" s="24">
        <f>IF($H49="",0,IF($D49="樹林",IF(ISERROR(VLOOKUP($V49,市町村・植物種ごとの樹林点数DB!$A:$F,6,FALSE))=TRUE,10,VLOOKUP($V49,市町村・植物種ごとの樹林点数DB!$A:$F,6,FALSE)),IF($D49="低木・草地",IF(OR($H49="【ススキ】・【ネザサ】・【チガヤ】",$H49="不明"),45,10),0)))</f>
        <v>0</v>
      </c>
      <c r="AT49" s="24">
        <f t="shared" si="18"/>
        <v>0</v>
      </c>
      <c r="AU49" s="24">
        <f t="shared" si="19"/>
        <v>1</v>
      </c>
      <c r="AV49" s="24">
        <f t="shared" si="20"/>
        <v>0</v>
      </c>
      <c r="AW49" s="24">
        <f t="shared" si="21"/>
        <v>1</v>
      </c>
      <c r="AX49" s="25">
        <f t="shared" si="48"/>
        <v>0</v>
      </c>
      <c r="AY49" s="25">
        <f t="shared" si="49"/>
        <v>0</v>
      </c>
      <c r="AZ49" s="25">
        <f t="shared" si="50"/>
        <v>0</v>
      </c>
      <c r="BA49" s="25" t="str">
        <f t="shared" si="51"/>
        <v/>
      </c>
      <c r="BB49" s="25" t="str">
        <f t="shared" si="52"/>
        <v/>
      </c>
      <c r="BC49" s="25" t="str">
        <f t="shared" si="53"/>
        <v/>
      </c>
      <c r="BD49" s="25">
        <f>IF(ISERROR(VLOOKUP($K49,割合DB!$A:$B,2,FALSE))=TRUE,0,VLOOKUP($K49,割合DB!$A:$B,2,FALSE))</f>
        <v>0</v>
      </c>
      <c r="BE49" s="25">
        <f>IF(ISERROR(VLOOKUP($L49,割合DB!$A:$B,2,FALSE))=TRUE,0,VLOOKUP($L49,割合DB!$A:$B,2,FALSE))</f>
        <v>0</v>
      </c>
      <c r="BF49" s="25">
        <f>IF(ISERROR(VLOOKUP($M49,割合DB!$A:$B,2,FALSE))=TRUE,0,VLOOKUP($M49,割合DB!$A:$B,2,FALSE))</f>
        <v>0</v>
      </c>
      <c r="BG49" s="25">
        <f t="shared" si="54"/>
        <v>100</v>
      </c>
      <c r="BH49" s="18">
        <f t="shared" si="55"/>
        <v>100</v>
      </c>
      <c r="BI49" s="18">
        <f t="shared" si="32"/>
        <v>1</v>
      </c>
      <c r="BJ49" s="176"/>
      <c r="BK49" s="176"/>
      <c r="BL49" s="176"/>
      <c r="BM49" s="176"/>
      <c r="BN49" s="176"/>
      <c r="BO49" s="176"/>
      <c r="BP49" s="176"/>
      <c r="BQ49" s="176"/>
      <c r="BR49" s="176"/>
      <c r="BS49" s="176"/>
      <c r="BT49" s="176"/>
      <c r="BU49" s="176"/>
      <c r="BV49" s="176"/>
      <c r="BW49" s="176"/>
      <c r="BX49" s="176"/>
      <c r="BY49" s="176"/>
      <c r="BZ49" s="176"/>
      <c r="CA49" s="176"/>
    </row>
    <row r="50" spans="1:79" ht="27" customHeight="1" x14ac:dyDescent="0.15">
      <c r="A50" s="30" t="s">
        <v>542</v>
      </c>
      <c r="B50" s="31" t="str">
        <f>IF('環境条件(竣工時)'!B50="","",'環境条件(竣工時)'!B50)</f>
        <v/>
      </c>
      <c r="C50" s="31" t="str">
        <f>IF('環境条件(竣工時)'!C50="","",'環境条件(竣工時)'!C50)</f>
        <v/>
      </c>
      <c r="D50" s="31" t="str">
        <f>IF('環境条件(竣工時)'!D50="","",'環境条件(竣工時)'!D50)</f>
        <v/>
      </c>
      <c r="E50" s="31" t="str">
        <f>IF('環境条件(竣工時)'!E50="","",'環境条件(竣工時)'!E50)</f>
        <v/>
      </c>
      <c r="F50" s="30" t="str">
        <f>IF('環境条件(竣工時)'!F50="","",'環境条件(竣工時)'!F50)</f>
        <v/>
      </c>
      <c r="G50" s="21"/>
      <c r="H50" s="22"/>
      <c r="I50" s="22"/>
      <c r="J50" s="22"/>
      <c r="K50" s="23"/>
      <c r="L50" s="23"/>
      <c r="M50" s="23"/>
      <c r="N50" s="146"/>
      <c r="O50" s="40">
        <f t="shared" si="33"/>
        <v>0</v>
      </c>
      <c r="P50" s="183" t="str">
        <f t="shared" si="34"/>
        <v/>
      </c>
      <c r="S50" s="18">
        <f t="shared" si="31"/>
        <v>0</v>
      </c>
      <c r="T50" s="18">
        <f t="shared" si="1"/>
        <v>0</v>
      </c>
      <c r="U50" s="18">
        <f>IF(C50="人工面",0,IF(G50="",0,IF(D50="湿性環境",VLOOKUP(G50,環境タイプⅡによる点数DB!A:B,2,FALSE),IF(D50="樹林",VLOOKUP(G50,環境タイプⅡによる点数DB!A:C,3,FALSE),IF(D50="低木・草地",VLOOKUP(G50,環境タイプⅡによる点数DB!A:D,4,FALSE),0)))))</f>
        <v>0</v>
      </c>
      <c r="V50" s="24" t="str">
        <f>$H50&amp;"in"&amp;基本情報!$C$13</f>
        <v>in</v>
      </c>
      <c r="W50" s="24">
        <f t="shared" si="2"/>
        <v>0</v>
      </c>
      <c r="X50" s="24">
        <f>IF($H50="",0,IF($D50="樹林",IF(ISERROR(VLOOKUP($V50,市町村・植物種ごとの樹林点数DB!$A:$G,7,FALSE))=TRUE,20,VLOOKUP($V50,市町村・植物種ごとの樹林点数DB!$A:$G,7,FALSE)),IF($D50="低木・草地",IF($H50="【ススキ】・【ネザサ】・【チガヤ】",45,10),0)))</f>
        <v>0</v>
      </c>
      <c r="Y50" s="24">
        <f t="shared" si="35"/>
        <v>0</v>
      </c>
      <c r="Z50" s="24">
        <f t="shared" si="36"/>
        <v>1</v>
      </c>
      <c r="AA50" s="24">
        <f t="shared" si="37"/>
        <v>1</v>
      </c>
      <c r="AB50" s="24">
        <f t="shared" si="38"/>
        <v>0</v>
      </c>
      <c r="AC50" s="25">
        <f t="shared" si="39"/>
        <v>0</v>
      </c>
      <c r="AD50" s="25">
        <f t="shared" si="40"/>
        <v>0</v>
      </c>
      <c r="AE50" s="25">
        <f t="shared" si="41"/>
        <v>0</v>
      </c>
      <c r="AF50" s="25" t="str">
        <f t="shared" si="42"/>
        <v/>
      </c>
      <c r="AG50" s="25" t="str">
        <f t="shared" si="43"/>
        <v/>
      </c>
      <c r="AH50" s="25" t="str">
        <f t="shared" si="44"/>
        <v/>
      </c>
      <c r="AI50" s="25">
        <f>IF(ISERROR(VLOOKUP(K50,割合DB!$A:$B,2,FALSE))=TRUE,100,VLOOKUP(K50,割合DB!$A:$B,2,FALSE))</f>
        <v>100</v>
      </c>
      <c r="AJ50" s="25">
        <f>IF(ISERROR(VLOOKUP(L50,割合DB!$A:$B,2,FALSE))=TRUE,100,VLOOKUP(L50,割合DB!$A:$B,2,FALSE))</f>
        <v>100</v>
      </c>
      <c r="AK50" s="25">
        <f>IF(ISERROR(VLOOKUP(M50,割合DB!$A:$B,2,FALSE))=TRUE,100,VLOOKUP(M50,割合DB!$A:$B,2,FALSE))</f>
        <v>100</v>
      </c>
      <c r="AL50" s="25">
        <f t="shared" si="45"/>
        <v>0</v>
      </c>
      <c r="AM50" s="18">
        <f t="shared" si="46"/>
        <v>0</v>
      </c>
      <c r="AN50" s="18">
        <f t="shared" si="47"/>
        <v>0</v>
      </c>
      <c r="AO50" s="18">
        <f t="shared" si="16"/>
        <v>0</v>
      </c>
      <c r="AP50" s="18">
        <f>IF($C50="人工面",0,IF($G50="",70,IF($D50="湿性環境",VLOOKUP($G50,環境タイプⅡによる点数DB!$A:$B,2,FALSE),IF($D50="樹林",VLOOKUP($G50,環境タイプⅡによる点数DB!$A:$C,3,FALSE),IF($D50="低木・草地",VLOOKUP($G50,環境タイプⅡによる点数DB!$A:$D,4,FALSE),0)))))</f>
        <v>70</v>
      </c>
      <c r="AQ50" s="24" t="str">
        <f>$H50&amp;"in"&amp;基本情報!$C$13</f>
        <v>in</v>
      </c>
      <c r="AR50" s="24">
        <f t="shared" si="17"/>
        <v>0</v>
      </c>
      <c r="AS50" s="24">
        <f>IF($H50="",0,IF($D50="樹林",IF(ISERROR(VLOOKUP($V50,市町村・植物種ごとの樹林点数DB!$A:$F,6,FALSE))=TRUE,10,VLOOKUP($V50,市町村・植物種ごとの樹林点数DB!$A:$F,6,FALSE)),IF($D50="低木・草地",IF(OR($H50="【ススキ】・【ネザサ】・【チガヤ】",$H50="不明"),45,10),0)))</f>
        <v>0</v>
      </c>
      <c r="AT50" s="24">
        <f t="shared" si="18"/>
        <v>0</v>
      </c>
      <c r="AU50" s="24">
        <f t="shared" si="19"/>
        <v>1</v>
      </c>
      <c r="AV50" s="24">
        <f t="shared" si="20"/>
        <v>0</v>
      </c>
      <c r="AW50" s="24">
        <f t="shared" si="21"/>
        <v>1</v>
      </c>
      <c r="AX50" s="25">
        <f t="shared" si="48"/>
        <v>0</v>
      </c>
      <c r="AY50" s="25">
        <f t="shared" si="49"/>
        <v>0</v>
      </c>
      <c r="AZ50" s="25">
        <f t="shared" si="50"/>
        <v>0</v>
      </c>
      <c r="BA50" s="25" t="str">
        <f t="shared" si="51"/>
        <v/>
      </c>
      <c r="BB50" s="25" t="str">
        <f t="shared" si="52"/>
        <v/>
      </c>
      <c r="BC50" s="25" t="str">
        <f t="shared" si="53"/>
        <v/>
      </c>
      <c r="BD50" s="25">
        <f>IF(ISERROR(VLOOKUP($K50,割合DB!$A:$B,2,FALSE))=TRUE,0,VLOOKUP($K50,割合DB!$A:$B,2,FALSE))</f>
        <v>0</v>
      </c>
      <c r="BE50" s="25">
        <f>IF(ISERROR(VLOOKUP($L50,割合DB!$A:$B,2,FALSE))=TRUE,0,VLOOKUP($L50,割合DB!$A:$B,2,FALSE))</f>
        <v>0</v>
      </c>
      <c r="BF50" s="25">
        <f>IF(ISERROR(VLOOKUP($M50,割合DB!$A:$B,2,FALSE))=TRUE,0,VLOOKUP($M50,割合DB!$A:$B,2,FALSE))</f>
        <v>0</v>
      </c>
      <c r="BG50" s="25">
        <f t="shared" si="54"/>
        <v>100</v>
      </c>
      <c r="BH50" s="18">
        <f t="shared" si="55"/>
        <v>100</v>
      </c>
      <c r="BI50" s="18">
        <f t="shared" si="32"/>
        <v>1</v>
      </c>
      <c r="BJ50" s="176"/>
      <c r="BK50" s="176"/>
      <c r="BL50" s="176"/>
      <c r="BM50" s="176"/>
      <c r="BN50" s="176"/>
      <c r="BO50" s="176"/>
      <c r="BP50" s="176"/>
      <c r="BQ50" s="176"/>
      <c r="BR50" s="176"/>
      <c r="BS50" s="176"/>
      <c r="BT50" s="176"/>
      <c r="BU50" s="176"/>
      <c r="BV50" s="176"/>
      <c r="BW50" s="176"/>
      <c r="BX50" s="176"/>
      <c r="BY50" s="176"/>
      <c r="BZ50" s="176"/>
      <c r="CA50" s="176"/>
    </row>
    <row r="51" spans="1:79" ht="27" customHeight="1" x14ac:dyDescent="0.15">
      <c r="A51" s="30" t="s">
        <v>543</v>
      </c>
      <c r="B51" s="31" t="str">
        <f>IF('環境条件(竣工時)'!B51="","",'環境条件(竣工時)'!B51)</f>
        <v/>
      </c>
      <c r="C51" s="31" t="str">
        <f>IF('環境条件(竣工時)'!C51="","",'環境条件(竣工時)'!C51)</f>
        <v/>
      </c>
      <c r="D51" s="31" t="str">
        <f>IF('環境条件(竣工時)'!D51="","",'環境条件(竣工時)'!D51)</f>
        <v/>
      </c>
      <c r="E51" s="31" t="str">
        <f>IF('環境条件(竣工時)'!E51="","",'環境条件(竣工時)'!E51)</f>
        <v/>
      </c>
      <c r="F51" s="30" t="str">
        <f>IF('環境条件(竣工時)'!F51="","",'環境条件(竣工時)'!F51)</f>
        <v/>
      </c>
      <c r="G51" s="21"/>
      <c r="H51" s="22"/>
      <c r="I51" s="22"/>
      <c r="J51" s="22"/>
      <c r="K51" s="23"/>
      <c r="L51" s="23"/>
      <c r="M51" s="23"/>
      <c r="N51" s="146"/>
      <c r="O51" s="40">
        <f t="shared" si="33"/>
        <v>0</v>
      </c>
      <c r="P51" s="183" t="str">
        <f t="shared" si="34"/>
        <v/>
      </c>
      <c r="S51" s="18">
        <f t="shared" si="31"/>
        <v>0</v>
      </c>
      <c r="T51" s="18">
        <f t="shared" si="1"/>
        <v>0</v>
      </c>
      <c r="U51" s="18">
        <f>IF(C51="人工面",0,IF(G51="",0,IF(D51="湿性環境",VLOOKUP(G51,環境タイプⅡによる点数DB!A:B,2,FALSE),IF(D51="樹林",VLOOKUP(G51,環境タイプⅡによる点数DB!A:C,3,FALSE),IF(D51="低木・草地",VLOOKUP(G51,環境タイプⅡによる点数DB!A:D,4,FALSE),0)))))</f>
        <v>0</v>
      </c>
      <c r="V51" s="24" t="str">
        <f>$H51&amp;"in"&amp;基本情報!$C$13</f>
        <v>in</v>
      </c>
      <c r="W51" s="24">
        <f t="shared" si="2"/>
        <v>0</v>
      </c>
      <c r="X51" s="24">
        <f>IF($H51="",0,IF($D51="樹林",IF(ISERROR(VLOOKUP($V51,市町村・植物種ごとの樹林点数DB!$A:$G,7,FALSE))=TRUE,20,VLOOKUP($V51,市町村・植物種ごとの樹林点数DB!$A:$G,7,FALSE)),IF($D51="低木・草地",IF($H51="【ススキ】・【ネザサ】・【チガヤ】",45,10),0)))</f>
        <v>0</v>
      </c>
      <c r="Y51" s="24">
        <f t="shared" si="35"/>
        <v>0</v>
      </c>
      <c r="Z51" s="24">
        <f t="shared" si="36"/>
        <v>1</v>
      </c>
      <c r="AA51" s="24">
        <f t="shared" si="37"/>
        <v>1</v>
      </c>
      <c r="AB51" s="24">
        <f t="shared" si="38"/>
        <v>0</v>
      </c>
      <c r="AC51" s="25">
        <f t="shared" si="39"/>
        <v>0</v>
      </c>
      <c r="AD51" s="25">
        <f t="shared" si="40"/>
        <v>0</v>
      </c>
      <c r="AE51" s="25">
        <f t="shared" si="41"/>
        <v>0</v>
      </c>
      <c r="AF51" s="25" t="str">
        <f t="shared" si="42"/>
        <v/>
      </c>
      <c r="AG51" s="25" t="str">
        <f t="shared" si="43"/>
        <v/>
      </c>
      <c r="AH51" s="25" t="str">
        <f t="shared" si="44"/>
        <v/>
      </c>
      <c r="AI51" s="25">
        <f>IF(ISERROR(VLOOKUP(K51,割合DB!$A:$B,2,FALSE))=TRUE,100,VLOOKUP(K51,割合DB!$A:$B,2,FALSE))</f>
        <v>100</v>
      </c>
      <c r="AJ51" s="25">
        <f>IF(ISERROR(VLOOKUP(L51,割合DB!$A:$B,2,FALSE))=TRUE,100,VLOOKUP(L51,割合DB!$A:$B,2,FALSE))</f>
        <v>100</v>
      </c>
      <c r="AK51" s="25">
        <f>IF(ISERROR(VLOOKUP(M51,割合DB!$A:$B,2,FALSE))=TRUE,100,VLOOKUP(M51,割合DB!$A:$B,2,FALSE))</f>
        <v>100</v>
      </c>
      <c r="AL51" s="25">
        <f t="shared" si="45"/>
        <v>0</v>
      </c>
      <c r="AM51" s="18">
        <f t="shared" si="46"/>
        <v>0</v>
      </c>
      <c r="AN51" s="18">
        <f t="shared" si="47"/>
        <v>0</v>
      </c>
      <c r="AO51" s="18">
        <f t="shared" si="16"/>
        <v>0</v>
      </c>
      <c r="AP51" s="18">
        <f>IF($C51="人工面",0,IF($G51="",70,IF($D51="湿性環境",VLOOKUP($G51,環境タイプⅡによる点数DB!$A:$B,2,FALSE),IF($D51="樹林",VLOOKUP($G51,環境タイプⅡによる点数DB!$A:$C,3,FALSE),IF($D51="低木・草地",VLOOKUP($G51,環境タイプⅡによる点数DB!$A:$D,4,FALSE),0)))))</f>
        <v>70</v>
      </c>
      <c r="AQ51" s="24" t="str">
        <f>$H51&amp;"in"&amp;基本情報!$C$13</f>
        <v>in</v>
      </c>
      <c r="AR51" s="24">
        <f t="shared" si="17"/>
        <v>0</v>
      </c>
      <c r="AS51" s="24">
        <f>IF($H51="",0,IF($D51="樹林",IF(ISERROR(VLOOKUP($V51,市町村・植物種ごとの樹林点数DB!$A:$F,6,FALSE))=TRUE,10,VLOOKUP($V51,市町村・植物種ごとの樹林点数DB!$A:$F,6,FALSE)),IF($D51="低木・草地",IF(OR($H51="【ススキ】・【ネザサ】・【チガヤ】",$H51="不明"),45,10),0)))</f>
        <v>0</v>
      </c>
      <c r="AT51" s="24">
        <f t="shared" si="18"/>
        <v>0</v>
      </c>
      <c r="AU51" s="24">
        <f t="shared" si="19"/>
        <v>1</v>
      </c>
      <c r="AV51" s="24">
        <f t="shared" si="20"/>
        <v>0</v>
      </c>
      <c r="AW51" s="24">
        <f t="shared" si="21"/>
        <v>1</v>
      </c>
      <c r="AX51" s="25">
        <f t="shared" si="48"/>
        <v>0</v>
      </c>
      <c r="AY51" s="25">
        <f t="shared" si="49"/>
        <v>0</v>
      </c>
      <c r="AZ51" s="25">
        <f t="shared" si="50"/>
        <v>0</v>
      </c>
      <c r="BA51" s="25" t="str">
        <f t="shared" si="51"/>
        <v/>
      </c>
      <c r="BB51" s="25" t="str">
        <f t="shared" si="52"/>
        <v/>
      </c>
      <c r="BC51" s="25" t="str">
        <f t="shared" si="53"/>
        <v/>
      </c>
      <c r="BD51" s="25">
        <f>IF(ISERROR(VLOOKUP($K51,割合DB!$A:$B,2,FALSE))=TRUE,0,VLOOKUP($K51,割合DB!$A:$B,2,FALSE))</f>
        <v>0</v>
      </c>
      <c r="BE51" s="25">
        <f>IF(ISERROR(VLOOKUP($L51,割合DB!$A:$B,2,FALSE))=TRUE,0,VLOOKUP($L51,割合DB!$A:$B,2,FALSE))</f>
        <v>0</v>
      </c>
      <c r="BF51" s="25">
        <f>IF(ISERROR(VLOOKUP($M51,割合DB!$A:$B,2,FALSE))=TRUE,0,VLOOKUP($M51,割合DB!$A:$B,2,FALSE))</f>
        <v>0</v>
      </c>
      <c r="BG51" s="25">
        <f t="shared" si="54"/>
        <v>100</v>
      </c>
      <c r="BH51" s="18">
        <f t="shared" si="55"/>
        <v>100</v>
      </c>
      <c r="BI51" s="18">
        <f t="shared" si="32"/>
        <v>1</v>
      </c>
      <c r="BJ51" s="176"/>
      <c r="BK51" s="176"/>
      <c r="BL51" s="176"/>
      <c r="BM51" s="176"/>
      <c r="BN51" s="176"/>
      <c r="BO51" s="176"/>
      <c r="BP51" s="176"/>
      <c r="BQ51" s="176"/>
      <c r="BR51" s="176"/>
      <c r="BS51" s="176"/>
      <c r="BT51" s="176"/>
      <c r="BU51" s="176"/>
      <c r="BV51" s="176"/>
      <c r="BW51" s="176"/>
      <c r="BX51" s="176"/>
      <c r="BY51" s="176"/>
      <c r="BZ51" s="176"/>
      <c r="CA51" s="176"/>
    </row>
    <row r="52" spans="1:79" ht="27" customHeight="1" x14ac:dyDescent="0.15">
      <c r="A52" s="30" t="s">
        <v>544</v>
      </c>
      <c r="B52" s="31" t="str">
        <f>IF('環境条件(竣工時)'!B52="","",'環境条件(竣工時)'!B52)</f>
        <v/>
      </c>
      <c r="C52" s="31" t="str">
        <f>IF('環境条件(竣工時)'!C52="","",'環境条件(竣工時)'!C52)</f>
        <v/>
      </c>
      <c r="D52" s="31" t="str">
        <f>IF('環境条件(竣工時)'!D52="","",'環境条件(竣工時)'!D52)</f>
        <v/>
      </c>
      <c r="E52" s="31" t="str">
        <f>IF('環境条件(竣工時)'!E52="","",'環境条件(竣工時)'!E52)</f>
        <v/>
      </c>
      <c r="F52" s="30" t="str">
        <f>IF('環境条件(竣工時)'!F52="","",'環境条件(竣工時)'!F52)</f>
        <v/>
      </c>
      <c r="G52" s="21"/>
      <c r="H52" s="22"/>
      <c r="I52" s="22"/>
      <c r="J52" s="22"/>
      <c r="K52" s="23"/>
      <c r="L52" s="23"/>
      <c r="M52" s="23"/>
      <c r="N52" s="146"/>
      <c r="O52" s="40">
        <f t="shared" si="33"/>
        <v>0</v>
      </c>
      <c r="P52" s="183" t="str">
        <f t="shared" si="34"/>
        <v/>
      </c>
      <c r="S52" s="18">
        <f t="shared" si="31"/>
        <v>0</v>
      </c>
      <c r="T52" s="18">
        <f t="shared" si="1"/>
        <v>0</v>
      </c>
      <c r="U52" s="18">
        <f>IF(C52="人工面",0,IF(G52="",0,IF(D52="湿性環境",VLOOKUP(G52,環境タイプⅡによる点数DB!A:B,2,FALSE),IF(D52="樹林",VLOOKUP(G52,環境タイプⅡによる点数DB!A:C,3,FALSE),IF(D52="低木・草地",VLOOKUP(G52,環境タイプⅡによる点数DB!A:D,4,FALSE),0)))))</f>
        <v>0</v>
      </c>
      <c r="V52" s="24" t="str">
        <f>$H52&amp;"in"&amp;基本情報!$C$13</f>
        <v>in</v>
      </c>
      <c r="W52" s="24">
        <f t="shared" si="2"/>
        <v>0</v>
      </c>
      <c r="X52" s="24">
        <f>IF($H52="",0,IF($D52="樹林",IF(ISERROR(VLOOKUP($V52,市町村・植物種ごとの樹林点数DB!$A:$G,7,FALSE))=TRUE,20,VLOOKUP($V52,市町村・植物種ごとの樹林点数DB!$A:$G,7,FALSE)),IF($D52="低木・草地",IF($H52="【ススキ】・【ネザサ】・【チガヤ】",45,10),0)))</f>
        <v>0</v>
      </c>
      <c r="Y52" s="24">
        <f t="shared" si="35"/>
        <v>0</v>
      </c>
      <c r="Z52" s="24">
        <f t="shared" si="36"/>
        <v>1</v>
      </c>
      <c r="AA52" s="24">
        <f t="shared" si="37"/>
        <v>1</v>
      </c>
      <c r="AB52" s="24">
        <f t="shared" si="38"/>
        <v>0</v>
      </c>
      <c r="AC52" s="25">
        <f t="shared" si="39"/>
        <v>0</v>
      </c>
      <c r="AD52" s="25">
        <f t="shared" si="40"/>
        <v>0</v>
      </c>
      <c r="AE52" s="25">
        <f t="shared" si="41"/>
        <v>0</v>
      </c>
      <c r="AF52" s="25" t="str">
        <f t="shared" si="42"/>
        <v/>
      </c>
      <c r="AG52" s="25" t="str">
        <f t="shared" si="43"/>
        <v/>
      </c>
      <c r="AH52" s="25" t="str">
        <f t="shared" si="44"/>
        <v/>
      </c>
      <c r="AI52" s="25">
        <f>IF(ISERROR(VLOOKUP(K52,割合DB!$A:$B,2,FALSE))=TRUE,100,VLOOKUP(K52,割合DB!$A:$B,2,FALSE))</f>
        <v>100</v>
      </c>
      <c r="AJ52" s="25">
        <f>IF(ISERROR(VLOOKUP(L52,割合DB!$A:$B,2,FALSE))=TRUE,100,VLOOKUP(L52,割合DB!$A:$B,2,FALSE))</f>
        <v>100</v>
      </c>
      <c r="AK52" s="25">
        <f>IF(ISERROR(VLOOKUP(M52,割合DB!$A:$B,2,FALSE))=TRUE,100,VLOOKUP(M52,割合DB!$A:$B,2,FALSE))</f>
        <v>100</v>
      </c>
      <c r="AL52" s="25">
        <f t="shared" si="45"/>
        <v>0</v>
      </c>
      <c r="AM52" s="18">
        <f t="shared" si="46"/>
        <v>0</v>
      </c>
      <c r="AN52" s="18">
        <f t="shared" si="47"/>
        <v>0</v>
      </c>
      <c r="AO52" s="18">
        <f t="shared" si="16"/>
        <v>0</v>
      </c>
      <c r="AP52" s="18">
        <f>IF($C52="人工面",0,IF($G52="",70,IF($D52="湿性環境",VLOOKUP($G52,環境タイプⅡによる点数DB!$A:$B,2,FALSE),IF($D52="樹林",VLOOKUP($G52,環境タイプⅡによる点数DB!$A:$C,3,FALSE),IF($D52="低木・草地",VLOOKUP($G52,環境タイプⅡによる点数DB!$A:$D,4,FALSE),0)))))</f>
        <v>70</v>
      </c>
      <c r="AQ52" s="24" t="str">
        <f>$H52&amp;"in"&amp;基本情報!$C$13</f>
        <v>in</v>
      </c>
      <c r="AR52" s="24">
        <f t="shared" si="17"/>
        <v>0</v>
      </c>
      <c r="AS52" s="24">
        <f>IF($H52="",0,IF($D52="樹林",IF(ISERROR(VLOOKUP($V52,市町村・植物種ごとの樹林点数DB!$A:$F,6,FALSE))=TRUE,10,VLOOKUP($V52,市町村・植物種ごとの樹林点数DB!$A:$F,6,FALSE)),IF($D52="低木・草地",IF(OR($H52="【ススキ】・【ネザサ】・【チガヤ】",$H52="不明"),45,10),0)))</f>
        <v>0</v>
      </c>
      <c r="AT52" s="24">
        <f t="shared" si="18"/>
        <v>0</v>
      </c>
      <c r="AU52" s="24">
        <f t="shared" si="19"/>
        <v>1</v>
      </c>
      <c r="AV52" s="24">
        <f t="shared" si="20"/>
        <v>0</v>
      </c>
      <c r="AW52" s="24">
        <f t="shared" si="21"/>
        <v>1</v>
      </c>
      <c r="AX52" s="25">
        <f t="shared" si="48"/>
        <v>0</v>
      </c>
      <c r="AY52" s="25">
        <f t="shared" si="49"/>
        <v>0</v>
      </c>
      <c r="AZ52" s="25">
        <f t="shared" si="50"/>
        <v>0</v>
      </c>
      <c r="BA52" s="25" t="str">
        <f t="shared" si="51"/>
        <v/>
      </c>
      <c r="BB52" s="25" t="str">
        <f t="shared" si="52"/>
        <v/>
      </c>
      <c r="BC52" s="25" t="str">
        <f t="shared" si="53"/>
        <v/>
      </c>
      <c r="BD52" s="25">
        <f>IF(ISERROR(VLOOKUP($K52,割合DB!$A:$B,2,FALSE))=TRUE,0,VLOOKUP($K52,割合DB!$A:$B,2,FALSE))</f>
        <v>0</v>
      </c>
      <c r="BE52" s="25">
        <f>IF(ISERROR(VLOOKUP($L52,割合DB!$A:$B,2,FALSE))=TRUE,0,VLOOKUP($L52,割合DB!$A:$B,2,FALSE))</f>
        <v>0</v>
      </c>
      <c r="BF52" s="25">
        <f>IF(ISERROR(VLOOKUP($M52,割合DB!$A:$B,2,FALSE))=TRUE,0,VLOOKUP($M52,割合DB!$A:$B,2,FALSE))</f>
        <v>0</v>
      </c>
      <c r="BG52" s="25">
        <f t="shared" si="54"/>
        <v>100</v>
      </c>
      <c r="BH52" s="18">
        <f t="shared" si="55"/>
        <v>100</v>
      </c>
      <c r="BI52" s="18">
        <f t="shared" si="32"/>
        <v>1</v>
      </c>
      <c r="BJ52" s="176"/>
      <c r="BK52" s="176"/>
      <c r="BL52" s="176"/>
      <c r="BM52" s="176"/>
      <c r="BN52" s="176"/>
      <c r="BO52" s="176"/>
      <c r="BP52" s="176"/>
      <c r="BQ52" s="176"/>
      <c r="BR52" s="176"/>
      <c r="BS52" s="176"/>
      <c r="BT52" s="176"/>
      <c r="BU52" s="176"/>
      <c r="BV52" s="176"/>
      <c r="BW52" s="176"/>
      <c r="BX52" s="176"/>
      <c r="BY52" s="176"/>
      <c r="BZ52" s="176"/>
      <c r="CA52" s="176"/>
    </row>
    <row r="53" spans="1:79" ht="27" customHeight="1" x14ac:dyDescent="0.15">
      <c r="A53" s="30" t="s">
        <v>545</v>
      </c>
      <c r="B53" s="31" t="str">
        <f>IF('環境条件(竣工時)'!B53="","",'環境条件(竣工時)'!B53)</f>
        <v/>
      </c>
      <c r="C53" s="31" t="str">
        <f>IF('環境条件(竣工時)'!C53="","",'環境条件(竣工時)'!C53)</f>
        <v/>
      </c>
      <c r="D53" s="31" t="str">
        <f>IF('環境条件(竣工時)'!D53="","",'環境条件(竣工時)'!D53)</f>
        <v/>
      </c>
      <c r="E53" s="31" t="str">
        <f>IF('環境条件(竣工時)'!E53="","",'環境条件(竣工時)'!E53)</f>
        <v/>
      </c>
      <c r="F53" s="30" t="str">
        <f>IF('環境条件(竣工時)'!F53="","",'環境条件(竣工時)'!F53)</f>
        <v/>
      </c>
      <c r="G53" s="21"/>
      <c r="H53" s="22"/>
      <c r="I53" s="22"/>
      <c r="J53" s="22"/>
      <c r="K53" s="23"/>
      <c r="L53" s="23"/>
      <c r="M53" s="23"/>
      <c r="N53" s="146"/>
      <c r="O53" s="40">
        <f t="shared" si="33"/>
        <v>0</v>
      </c>
      <c r="P53" s="183" t="str">
        <f t="shared" si="34"/>
        <v/>
      </c>
      <c r="S53" s="18">
        <f t="shared" si="31"/>
        <v>0</v>
      </c>
      <c r="T53" s="18">
        <f t="shared" si="1"/>
        <v>0</v>
      </c>
      <c r="U53" s="18">
        <f>IF(C53="人工面",0,IF(G53="",0,IF(D53="湿性環境",VLOOKUP(G53,環境タイプⅡによる点数DB!A:B,2,FALSE),IF(D53="樹林",VLOOKUP(G53,環境タイプⅡによる点数DB!A:C,3,FALSE),IF(D53="低木・草地",VLOOKUP(G53,環境タイプⅡによる点数DB!A:D,4,FALSE),0)))))</f>
        <v>0</v>
      </c>
      <c r="V53" s="24" t="str">
        <f>$H53&amp;"in"&amp;基本情報!$C$13</f>
        <v>in</v>
      </c>
      <c r="W53" s="24">
        <f t="shared" si="2"/>
        <v>0</v>
      </c>
      <c r="X53" s="24">
        <f>IF($H53="",0,IF($D53="樹林",IF(ISERROR(VLOOKUP($V53,市町村・植物種ごとの樹林点数DB!$A:$G,7,FALSE))=TRUE,20,VLOOKUP($V53,市町村・植物種ごとの樹林点数DB!$A:$G,7,FALSE)),IF($D53="低木・草地",IF($H53="【ススキ】・【ネザサ】・【チガヤ】",45,10),0)))</f>
        <v>0</v>
      </c>
      <c r="Y53" s="24">
        <f t="shared" si="35"/>
        <v>0</v>
      </c>
      <c r="Z53" s="24">
        <f t="shared" si="36"/>
        <v>1</v>
      </c>
      <c r="AA53" s="24">
        <f t="shared" si="37"/>
        <v>1</v>
      </c>
      <c r="AB53" s="24">
        <f t="shared" si="38"/>
        <v>0</v>
      </c>
      <c r="AC53" s="25">
        <f t="shared" si="39"/>
        <v>0</v>
      </c>
      <c r="AD53" s="25">
        <f t="shared" si="40"/>
        <v>0</v>
      </c>
      <c r="AE53" s="25">
        <f t="shared" si="41"/>
        <v>0</v>
      </c>
      <c r="AF53" s="25" t="str">
        <f t="shared" si="42"/>
        <v/>
      </c>
      <c r="AG53" s="25" t="str">
        <f t="shared" si="43"/>
        <v/>
      </c>
      <c r="AH53" s="25" t="str">
        <f t="shared" si="44"/>
        <v/>
      </c>
      <c r="AI53" s="25">
        <f>IF(ISERROR(VLOOKUP(K53,割合DB!$A:$B,2,FALSE))=TRUE,100,VLOOKUP(K53,割合DB!$A:$B,2,FALSE))</f>
        <v>100</v>
      </c>
      <c r="AJ53" s="25">
        <f>IF(ISERROR(VLOOKUP(L53,割合DB!$A:$B,2,FALSE))=TRUE,100,VLOOKUP(L53,割合DB!$A:$B,2,FALSE))</f>
        <v>100</v>
      </c>
      <c r="AK53" s="25">
        <f>IF(ISERROR(VLOOKUP(M53,割合DB!$A:$B,2,FALSE))=TRUE,100,VLOOKUP(M53,割合DB!$A:$B,2,FALSE))</f>
        <v>100</v>
      </c>
      <c r="AL53" s="25">
        <f t="shared" si="45"/>
        <v>0</v>
      </c>
      <c r="AM53" s="18">
        <f t="shared" si="46"/>
        <v>0</v>
      </c>
      <c r="AN53" s="18">
        <f t="shared" si="47"/>
        <v>0</v>
      </c>
      <c r="AO53" s="18">
        <f t="shared" si="16"/>
        <v>0</v>
      </c>
      <c r="AP53" s="18">
        <f>IF($C53="人工面",0,IF($G53="",70,IF($D53="湿性環境",VLOOKUP($G53,環境タイプⅡによる点数DB!$A:$B,2,FALSE),IF($D53="樹林",VLOOKUP($G53,環境タイプⅡによる点数DB!$A:$C,3,FALSE),IF($D53="低木・草地",VLOOKUP($G53,環境タイプⅡによる点数DB!$A:$D,4,FALSE),0)))))</f>
        <v>70</v>
      </c>
      <c r="AQ53" s="24" t="str">
        <f>$H53&amp;"in"&amp;基本情報!$C$13</f>
        <v>in</v>
      </c>
      <c r="AR53" s="24">
        <f t="shared" si="17"/>
        <v>0</v>
      </c>
      <c r="AS53" s="24">
        <f>IF($H53="",0,IF($D53="樹林",IF(ISERROR(VLOOKUP($V53,市町村・植物種ごとの樹林点数DB!$A:$F,6,FALSE))=TRUE,10,VLOOKUP($V53,市町村・植物種ごとの樹林点数DB!$A:$F,6,FALSE)),IF($D53="低木・草地",IF(OR($H53="【ススキ】・【ネザサ】・【チガヤ】",$H53="不明"),45,10),0)))</f>
        <v>0</v>
      </c>
      <c r="AT53" s="24">
        <f t="shared" si="18"/>
        <v>0</v>
      </c>
      <c r="AU53" s="24">
        <f t="shared" si="19"/>
        <v>1</v>
      </c>
      <c r="AV53" s="24">
        <f t="shared" si="20"/>
        <v>0</v>
      </c>
      <c r="AW53" s="24">
        <f t="shared" si="21"/>
        <v>1</v>
      </c>
      <c r="AX53" s="25">
        <f t="shared" si="48"/>
        <v>0</v>
      </c>
      <c r="AY53" s="25">
        <f t="shared" si="49"/>
        <v>0</v>
      </c>
      <c r="AZ53" s="25">
        <f t="shared" si="50"/>
        <v>0</v>
      </c>
      <c r="BA53" s="25" t="str">
        <f t="shared" si="51"/>
        <v/>
      </c>
      <c r="BB53" s="25" t="str">
        <f t="shared" si="52"/>
        <v/>
      </c>
      <c r="BC53" s="25" t="str">
        <f t="shared" si="53"/>
        <v/>
      </c>
      <c r="BD53" s="25">
        <f>IF(ISERROR(VLOOKUP($K53,割合DB!$A:$B,2,FALSE))=TRUE,0,VLOOKUP($K53,割合DB!$A:$B,2,FALSE))</f>
        <v>0</v>
      </c>
      <c r="BE53" s="25">
        <f>IF(ISERROR(VLOOKUP($L53,割合DB!$A:$B,2,FALSE))=TRUE,0,VLOOKUP($L53,割合DB!$A:$B,2,FALSE))</f>
        <v>0</v>
      </c>
      <c r="BF53" s="25">
        <f>IF(ISERROR(VLOOKUP($M53,割合DB!$A:$B,2,FALSE))=TRUE,0,VLOOKUP($M53,割合DB!$A:$B,2,FALSE))</f>
        <v>0</v>
      </c>
      <c r="BG53" s="25">
        <f t="shared" si="54"/>
        <v>100</v>
      </c>
      <c r="BH53" s="18">
        <f t="shared" si="55"/>
        <v>100</v>
      </c>
      <c r="BI53" s="18">
        <f t="shared" si="32"/>
        <v>1</v>
      </c>
      <c r="BJ53" s="176"/>
      <c r="BK53" s="176"/>
      <c r="BL53" s="176"/>
      <c r="BM53" s="176"/>
      <c r="BN53" s="176"/>
      <c r="BO53" s="176"/>
      <c r="BP53" s="176"/>
      <c r="BQ53" s="176"/>
      <c r="BR53" s="176"/>
      <c r="BS53" s="176"/>
      <c r="BT53" s="176"/>
      <c r="BU53" s="176"/>
      <c r="BV53" s="176"/>
      <c r="BW53" s="176"/>
      <c r="BX53" s="176"/>
      <c r="BY53" s="176"/>
      <c r="BZ53" s="176"/>
      <c r="CA53" s="176"/>
    </row>
    <row r="54" spans="1:79" ht="27" customHeight="1" x14ac:dyDescent="0.15">
      <c r="A54" s="30" t="s">
        <v>546</v>
      </c>
      <c r="B54" s="31" t="str">
        <f>IF('環境条件(竣工時)'!B54="","",'環境条件(竣工時)'!B54)</f>
        <v/>
      </c>
      <c r="C54" s="31" t="str">
        <f>IF('環境条件(竣工時)'!C54="","",'環境条件(竣工時)'!C54)</f>
        <v/>
      </c>
      <c r="D54" s="31" t="str">
        <f>IF('環境条件(竣工時)'!D54="","",'環境条件(竣工時)'!D54)</f>
        <v/>
      </c>
      <c r="E54" s="31" t="str">
        <f>IF('環境条件(竣工時)'!E54="","",'環境条件(竣工時)'!E54)</f>
        <v/>
      </c>
      <c r="F54" s="30" t="str">
        <f>IF('環境条件(竣工時)'!F54="","",'環境条件(竣工時)'!F54)</f>
        <v/>
      </c>
      <c r="G54" s="21"/>
      <c r="H54" s="22"/>
      <c r="I54" s="22"/>
      <c r="J54" s="22"/>
      <c r="K54" s="23"/>
      <c r="L54" s="23"/>
      <c r="M54" s="23"/>
      <c r="N54" s="146"/>
      <c r="O54" s="40">
        <f t="shared" si="33"/>
        <v>0</v>
      </c>
      <c r="P54" s="183" t="str">
        <f t="shared" si="34"/>
        <v/>
      </c>
      <c r="S54" s="18">
        <f t="shared" si="31"/>
        <v>0</v>
      </c>
      <c r="T54" s="18">
        <f t="shared" si="1"/>
        <v>0</v>
      </c>
      <c r="U54" s="18">
        <f>IF(C54="人工面",0,IF(G54="",0,IF(D54="湿性環境",VLOOKUP(G54,環境タイプⅡによる点数DB!A:B,2,FALSE),IF(D54="樹林",VLOOKUP(G54,環境タイプⅡによる点数DB!A:C,3,FALSE),IF(D54="低木・草地",VLOOKUP(G54,環境タイプⅡによる点数DB!A:D,4,FALSE),0)))))</f>
        <v>0</v>
      </c>
      <c r="V54" s="24" t="str">
        <f>$H54&amp;"in"&amp;基本情報!$C$13</f>
        <v>in</v>
      </c>
      <c r="W54" s="24">
        <f t="shared" si="2"/>
        <v>0</v>
      </c>
      <c r="X54" s="24">
        <f>IF($H54="",0,IF($D54="樹林",IF(ISERROR(VLOOKUP($V54,市町村・植物種ごとの樹林点数DB!$A:$G,7,FALSE))=TRUE,20,VLOOKUP($V54,市町村・植物種ごとの樹林点数DB!$A:$G,7,FALSE)),IF($D54="低木・草地",IF($H54="【ススキ】・【ネザサ】・【チガヤ】",45,10),0)))</f>
        <v>0</v>
      </c>
      <c r="Y54" s="24">
        <f t="shared" si="35"/>
        <v>0</v>
      </c>
      <c r="Z54" s="24">
        <f t="shared" si="36"/>
        <v>1</v>
      </c>
      <c r="AA54" s="24">
        <f t="shared" si="37"/>
        <v>1</v>
      </c>
      <c r="AB54" s="24">
        <f t="shared" si="38"/>
        <v>0</v>
      </c>
      <c r="AC54" s="25">
        <f t="shared" si="39"/>
        <v>0</v>
      </c>
      <c r="AD54" s="25">
        <f t="shared" si="40"/>
        <v>0</v>
      </c>
      <c r="AE54" s="25">
        <f t="shared" si="41"/>
        <v>0</v>
      </c>
      <c r="AF54" s="25" t="str">
        <f t="shared" si="42"/>
        <v/>
      </c>
      <c r="AG54" s="25" t="str">
        <f t="shared" si="43"/>
        <v/>
      </c>
      <c r="AH54" s="25" t="str">
        <f t="shared" si="44"/>
        <v/>
      </c>
      <c r="AI54" s="25">
        <f>IF(ISERROR(VLOOKUP(K54,割合DB!$A:$B,2,FALSE))=TRUE,100,VLOOKUP(K54,割合DB!$A:$B,2,FALSE))</f>
        <v>100</v>
      </c>
      <c r="AJ54" s="25">
        <f>IF(ISERROR(VLOOKUP(L54,割合DB!$A:$B,2,FALSE))=TRUE,100,VLOOKUP(L54,割合DB!$A:$B,2,FALSE))</f>
        <v>100</v>
      </c>
      <c r="AK54" s="25">
        <f>IF(ISERROR(VLOOKUP(M54,割合DB!$A:$B,2,FALSE))=TRUE,100,VLOOKUP(M54,割合DB!$A:$B,2,FALSE))</f>
        <v>100</v>
      </c>
      <c r="AL54" s="25">
        <f t="shared" si="45"/>
        <v>0</v>
      </c>
      <c r="AM54" s="18">
        <f t="shared" si="46"/>
        <v>0</v>
      </c>
      <c r="AN54" s="18">
        <f t="shared" si="47"/>
        <v>0</v>
      </c>
      <c r="AO54" s="18">
        <f t="shared" si="16"/>
        <v>0</v>
      </c>
      <c r="AP54" s="18">
        <f>IF($C54="人工面",0,IF($G54="",70,IF($D54="湿性環境",VLOOKUP($G54,環境タイプⅡによる点数DB!$A:$B,2,FALSE),IF($D54="樹林",VLOOKUP($G54,環境タイプⅡによる点数DB!$A:$C,3,FALSE),IF($D54="低木・草地",VLOOKUP($G54,環境タイプⅡによる点数DB!$A:$D,4,FALSE),0)))))</f>
        <v>70</v>
      </c>
      <c r="AQ54" s="24" t="str">
        <f>$H54&amp;"in"&amp;基本情報!$C$13</f>
        <v>in</v>
      </c>
      <c r="AR54" s="24">
        <f t="shared" si="17"/>
        <v>0</v>
      </c>
      <c r="AS54" s="24">
        <f>IF($H54="",0,IF($D54="樹林",IF(ISERROR(VLOOKUP($V54,市町村・植物種ごとの樹林点数DB!$A:$F,6,FALSE))=TRUE,10,VLOOKUP($V54,市町村・植物種ごとの樹林点数DB!$A:$F,6,FALSE)),IF($D54="低木・草地",IF(OR($H54="【ススキ】・【ネザサ】・【チガヤ】",$H54="不明"),45,10),0)))</f>
        <v>0</v>
      </c>
      <c r="AT54" s="24">
        <f t="shared" si="18"/>
        <v>0</v>
      </c>
      <c r="AU54" s="24">
        <f t="shared" si="19"/>
        <v>1</v>
      </c>
      <c r="AV54" s="24">
        <f t="shared" si="20"/>
        <v>0</v>
      </c>
      <c r="AW54" s="24">
        <f t="shared" si="21"/>
        <v>1</v>
      </c>
      <c r="AX54" s="25">
        <f t="shared" si="48"/>
        <v>0</v>
      </c>
      <c r="AY54" s="25">
        <f t="shared" si="49"/>
        <v>0</v>
      </c>
      <c r="AZ54" s="25">
        <f t="shared" si="50"/>
        <v>0</v>
      </c>
      <c r="BA54" s="25" t="str">
        <f t="shared" si="51"/>
        <v/>
      </c>
      <c r="BB54" s="25" t="str">
        <f t="shared" si="52"/>
        <v/>
      </c>
      <c r="BC54" s="25" t="str">
        <f t="shared" si="53"/>
        <v/>
      </c>
      <c r="BD54" s="25">
        <f>IF(ISERROR(VLOOKUP($K54,割合DB!$A:$B,2,FALSE))=TRUE,0,VLOOKUP($K54,割合DB!$A:$B,2,FALSE))</f>
        <v>0</v>
      </c>
      <c r="BE54" s="25">
        <f>IF(ISERROR(VLOOKUP($L54,割合DB!$A:$B,2,FALSE))=TRUE,0,VLOOKUP($L54,割合DB!$A:$B,2,FALSE))</f>
        <v>0</v>
      </c>
      <c r="BF54" s="25">
        <f>IF(ISERROR(VLOOKUP($M54,割合DB!$A:$B,2,FALSE))=TRUE,0,VLOOKUP($M54,割合DB!$A:$B,2,FALSE))</f>
        <v>0</v>
      </c>
      <c r="BG54" s="25">
        <f t="shared" si="54"/>
        <v>100</v>
      </c>
      <c r="BH54" s="18">
        <f t="shared" si="55"/>
        <v>100</v>
      </c>
      <c r="BI54" s="18">
        <f t="shared" si="32"/>
        <v>1</v>
      </c>
      <c r="BJ54" s="176"/>
      <c r="BK54" s="176"/>
      <c r="BL54" s="176"/>
      <c r="BM54" s="176"/>
      <c r="BN54" s="176"/>
      <c r="BO54" s="176"/>
      <c r="BP54" s="176"/>
      <c r="BQ54" s="176"/>
      <c r="BR54" s="176"/>
      <c r="BS54" s="176"/>
      <c r="BT54" s="176"/>
      <c r="BU54" s="176"/>
      <c r="BV54" s="176"/>
      <c r="BW54" s="176"/>
      <c r="BX54" s="176"/>
      <c r="BY54" s="176"/>
      <c r="BZ54" s="176"/>
      <c r="CA54" s="176"/>
    </row>
    <row r="55" spans="1:79" ht="27" customHeight="1" x14ac:dyDescent="0.15">
      <c r="A55" s="30" t="s">
        <v>547</v>
      </c>
      <c r="B55" s="31" t="str">
        <f>IF('環境条件(竣工時)'!B55="","",'環境条件(竣工時)'!B55)</f>
        <v/>
      </c>
      <c r="C55" s="31" t="str">
        <f>IF('環境条件(竣工時)'!C55="","",'環境条件(竣工時)'!C55)</f>
        <v/>
      </c>
      <c r="D55" s="31" t="str">
        <f>IF('環境条件(竣工時)'!D55="","",'環境条件(竣工時)'!D55)</f>
        <v/>
      </c>
      <c r="E55" s="31" t="str">
        <f>IF('環境条件(竣工時)'!E55="","",'環境条件(竣工時)'!E55)</f>
        <v/>
      </c>
      <c r="F55" s="30" t="str">
        <f>IF('環境条件(竣工時)'!F55="","",'環境条件(竣工時)'!F55)</f>
        <v/>
      </c>
      <c r="G55" s="21"/>
      <c r="H55" s="22"/>
      <c r="I55" s="22"/>
      <c r="J55" s="22"/>
      <c r="K55" s="23"/>
      <c r="L55" s="23"/>
      <c r="M55" s="23"/>
      <c r="N55" s="146"/>
      <c r="O55" s="40">
        <f t="shared" si="33"/>
        <v>0</v>
      </c>
      <c r="P55" s="183" t="str">
        <f t="shared" si="34"/>
        <v/>
      </c>
      <c r="S55" s="18">
        <f t="shared" si="31"/>
        <v>0</v>
      </c>
      <c r="T55" s="18">
        <f t="shared" si="1"/>
        <v>0</v>
      </c>
      <c r="U55" s="18">
        <f>IF(C55="人工面",0,IF(G55="",0,IF(D55="湿性環境",VLOOKUP(G55,環境タイプⅡによる点数DB!A:B,2,FALSE),IF(D55="樹林",VLOOKUP(G55,環境タイプⅡによる点数DB!A:C,3,FALSE),IF(D55="低木・草地",VLOOKUP(G55,環境タイプⅡによる点数DB!A:D,4,FALSE),0)))))</f>
        <v>0</v>
      </c>
      <c r="V55" s="24" t="str">
        <f>$H55&amp;"in"&amp;基本情報!$C$13</f>
        <v>in</v>
      </c>
      <c r="W55" s="24">
        <f t="shared" si="2"/>
        <v>0</v>
      </c>
      <c r="X55" s="24">
        <f>IF($H55="",0,IF($D55="樹林",IF(ISERROR(VLOOKUP($V55,市町村・植物種ごとの樹林点数DB!$A:$G,7,FALSE))=TRUE,20,VLOOKUP($V55,市町村・植物種ごとの樹林点数DB!$A:$G,7,FALSE)),IF($D55="低木・草地",IF($H55="【ススキ】・【ネザサ】・【チガヤ】",45,10),0)))</f>
        <v>0</v>
      </c>
      <c r="Y55" s="24">
        <f t="shared" si="35"/>
        <v>0</v>
      </c>
      <c r="Z55" s="24">
        <f t="shared" si="36"/>
        <v>1</v>
      </c>
      <c r="AA55" s="24">
        <f t="shared" si="37"/>
        <v>1</v>
      </c>
      <c r="AB55" s="24">
        <f t="shared" si="38"/>
        <v>0</v>
      </c>
      <c r="AC55" s="25">
        <f t="shared" si="39"/>
        <v>0</v>
      </c>
      <c r="AD55" s="25">
        <f t="shared" si="40"/>
        <v>0</v>
      </c>
      <c r="AE55" s="25">
        <f t="shared" si="41"/>
        <v>0</v>
      </c>
      <c r="AF55" s="25" t="str">
        <f t="shared" si="42"/>
        <v/>
      </c>
      <c r="AG55" s="25" t="str">
        <f t="shared" si="43"/>
        <v/>
      </c>
      <c r="AH55" s="25" t="str">
        <f t="shared" si="44"/>
        <v/>
      </c>
      <c r="AI55" s="25">
        <f>IF(ISERROR(VLOOKUP(K55,割合DB!$A:$B,2,FALSE))=TRUE,100,VLOOKUP(K55,割合DB!$A:$B,2,FALSE))</f>
        <v>100</v>
      </c>
      <c r="AJ55" s="25">
        <f>IF(ISERROR(VLOOKUP(L55,割合DB!$A:$B,2,FALSE))=TRUE,100,VLOOKUP(L55,割合DB!$A:$B,2,FALSE))</f>
        <v>100</v>
      </c>
      <c r="AK55" s="25">
        <f>IF(ISERROR(VLOOKUP(M55,割合DB!$A:$B,2,FALSE))=TRUE,100,VLOOKUP(M55,割合DB!$A:$B,2,FALSE))</f>
        <v>100</v>
      </c>
      <c r="AL55" s="25">
        <f t="shared" si="45"/>
        <v>0</v>
      </c>
      <c r="AM55" s="18">
        <f t="shared" si="46"/>
        <v>0</v>
      </c>
      <c r="AN55" s="18">
        <f t="shared" si="47"/>
        <v>0</v>
      </c>
      <c r="AO55" s="18">
        <f t="shared" si="16"/>
        <v>0</v>
      </c>
      <c r="AP55" s="18">
        <f>IF($C55="人工面",0,IF($G55="",70,IF($D55="湿性環境",VLOOKUP($G55,環境タイプⅡによる点数DB!$A:$B,2,FALSE),IF($D55="樹林",VLOOKUP($G55,環境タイプⅡによる点数DB!$A:$C,3,FALSE),IF($D55="低木・草地",VLOOKUP($G55,環境タイプⅡによる点数DB!$A:$D,4,FALSE),0)))))</f>
        <v>70</v>
      </c>
      <c r="AQ55" s="24" t="str">
        <f>$H55&amp;"in"&amp;基本情報!$C$13</f>
        <v>in</v>
      </c>
      <c r="AR55" s="24">
        <f t="shared" si="17"/>
        <v>0</v>
      </c>
      <c r="AS55" s="24">
        <f>IF($H55="",0,IF($D55="樹林",IF(ISERROR(VLOOKUP($V55,市町村・植物種ごとの樹林点数DB!$A:$F,6,FALSE))=TRUE,10,VLOOKUP($V55,市町村・植物種ごとの樹林点数DB!$A:$F,6,FALSE)),IF($D55="低木・草地",IF(OR($H55="【ススキ】・【ネザサ】・【チガヤ】",$H55="不明"),45,10),0)))</f>
        <v>0</v>
      </c>
      <c r="AT55" s="24">
        <f t="shared" si="18"/>
        <v>0</v>
      </c>
      <c r="AU55" s="24">
        <f t="shared" si="19"/>
        <v>1</v>
      </c>
      <c r="AV55" s="24">
        <f t="shared" si="20"/>
        <v>0</v>
      </c>
      <c r="AW55" s="24">
        <f t="shared" si="21"/>
        <v>1</v>
      </c>
      <c r="AX55" s="25">
        <f t="shared" si="48"/>
        <v>0</v>
      </c>
      <c r="AY55" s="25">
        <f t="shared" si="49"/>
        <v>0</v>
      </c>
      <c r="AZ55" s="25">
        <f t="shared" si="50"/>
        <v>0</v>
      </c>
      <c r="BA55" s="25" t="str">
        <f t="shared" si="51"/>
        <v/>
      </c>
      <c r="BB55" s="25" t="str">
        <f t="shared" si="52"/>
        <v/>
      </c>
      <c r="BC55" s="25" t="str">
        <f t="shared" si="53"/>
        <v/>
      </c>
      <c r="BD55" s="25">
        <f>IF(ISERROR(VLOOKUP($K55,割合DB!$A:$B,2,FALSE))=TRUE,0,VLOOKUP($K55,割合DB!$A:$B,2,FALSE))</f>
        <v>0</v>
      </c>
      <c r="BE55" s="25">
        <f>IF(ISERROR(VLOOKUP($L55,割合DB!$A:$B,2,FALSE))=TRUE,0,VLOOKUP($L55,割合DB!$A:$B,2,FALSE))</f>
        <v>0</v>
      </c>
      <c r="BF55" s="25">
        <f>IF(ISERROR(VLOOKUP($M55,割合DB!$A:$B,2,FALSE))=TRUE,0,VLOOKUP($M55,割合DB!$A:$B,2,FALSE))</f>
        <v>0</v>
      </c>
      <c r="BG55" s="25">
        <f t="shared" si="54"/>
        <v>100</v>
      </c>
      <c r="BH55" s="18">
        <f t="shared" si="55"/>
        <v>100</v>
      </c>
      <c r="BI55" s="18">
        <f t="shared" si="32"/>
        <v>1</v>
      </c>
      <c r="BJ55" s="176"/>
      <c r="BK55" s="176"/>
      <c r="BL55" s="176"/>
      <c r="BM55" s="176"/>
      <c r="BN55" s="176"/>
      <c r="BO55" s="176"/>
      <c r="BP55" s="176"/>
      <c r="BQ55" s="176"/>
      <c r="BR55" s="176"/>
      <c r="BS55" s="176"/>
      <c r="BT55" s="176"/>
      <c r="BU55" s="176"/>
      <c r="BV55" s="176"/>
      <c r="BW55" s="176"/>
      <c r="BX55" s="176"/>
      <c r="BY55" s="176"/>
      <c r="BZ55" s="176"/>
      <c r="CA55" s="176"/>
    </row>
    <row r="56" spans="1:79" ht="27" customHeight="1" x14ac:dyDescent="0.15">
      <c r="A56" s="30" t="s">
        <v>548</v>
      </c>
      <c r="B56" s="31" t="str">
        <f>IF('環境条件(竣工時)'!B56="","",'環境条件(竣工時)'!B56)</f>
        <v/>
      </c>
      <c r="C56" s="31" t="str">
        <f>IF('環境条件(竣工時)'!C56="","",'環境条件(竣工時)'!C56)</f>
        <v/>
      </c>
      <c r="D56" s="31" t="str">
        <f>IF('環境条件(竣工時)'!D56="","",'環境条件(竣工時)'!D56)</f>
        <v/>
      </c>
      <c r="E56" s="31" t="str">
        <f>IF('環境条件(竣工時)'!E56="","",'環境条件(竣工時)'!E56)</f>
        <v/>
      </c>
      <c r="F56" s="30" t="str">
        <f>IF('環境条件(竣工時)'!F56="","",'環境条件(竣工時)'!F56)</f>
        <v/>
      </c>
      <c r="G56" s="21"/>
      <c r="H56" s="22"/>
      <c r="I56" s="22"/>
      <c r="J56" s="22"/>
      <c r="K56" s="23"/>
      <c r="L56" s="23"/>
      <c r="M56" s="23"/>
      <c r="N56" s="146"/>
      <c r="O56" s="40">
        <f t="shared" si="33"/>
        <v>0</v>
      </c>
      <c r="P56" s="183" t="str">
        <f t="shared" si="34"/>
        <v/>
      </c>
      <c r="S56" s="18">
        <f t="shared" si="31"/>
        <v>0</v>
      </c>
      <c r="T56" s="18">
        <f t="shared" si="1"/>
        <v>0</v>
      </c>
      <c r="U56" s="18">
        <f>IF(C56="人工面",0,IF(G56="",0,IF(D56="湿性環境",VLOOKUP(G56,環境タイプⅡによる点数DB!A:B,2,FALSE),IF(D56="樹林",VLOOKUP(G56,環境タイプⅡによる点数DB!A:C,3,FALSE),IF(D56="低木・草地",VLOOKUP(G56,環境タイプⅡによる点数DB!A:D,4,FALSE),0)))))</f>
        <v>0</v>
      </c>
      <c r="V56" s="24" t="str">
        <f>$H56&amp;"in"&amp;基本情報!$C$13</f>
        <v>in</v>
      </c>
      <c r="W56" s="24">
        <f t="shared" si="2"/>
        <v>0</v>
      </c>
      <c r="X56" s="24">
        <f>IF($H56="",0,IF($D56="樹林",IF(ISERROR(VLOOKUP($V56,市町村・植物種ごとの樹林点数DB!$A:$G,7,FALSE))=TRUE,20,VLOOKUP($V56,市町村・植物種ごとの樹林点数DB!$A:$G,7,FALSE)),IF($D56="低木・草地",IF($H56="【ススキ】・【ネザサ】・【チガヤ】",45,10),0)))</f>
        <v>0</v>
      </c>
      <c r="Y56" s="24">
        <f t="shared" si="35"/>
        <v>0</v>
      </c>
      <c r="Z56" s="24">
        <f t="shared" si="36"/>
        <v>1</v>
      </c>
      <c r="AA56" s="24">
        <f t="shared" si="37"/>
        <v>1</v>
      </c>
      <c r="AB56" s="24">
        <f t="shared" si="38"/>
        <v>0</v>
      </c>
      <c r="AC56" s="25">
        <f t="shared" si="39"/>
        <v>0</v>
      </c>
      <c r="AD56" s="25">
        <f t="shared" si="40"/>
        <v>0</v>
      </c>
      <c r="AE56" s="25">
        <f t="shared" si="41"/>
        <v>0</v>
      </c>
      <c r="AF56" s="25" t="str">
        <f t="shared" si="42"/>
        <v/>
      </c>
      <c r="AG56" s="25" t="str">
        <f t="shared" si="43"/>
        <v/>
      </c>
      <c r="AH56" s="25" t="str">
        <f t="shared" si="44"/>
        <v/>
      </c>
      <c r="AI56" s="25">
        <f>IF(ISERROR(VLOOKUP(K56,割合DB!$A:$B,2,FALSE))=TRUE,100,VLOOKUP(K56,割合DB!$A:$B,2,FALSE))</f>
        <v>100</v>
      </c>
      <c r="AJ56" s="25">
        <f>IF(ISERROR(VLOOKUP(L56,割合DB!$A:$B,2,FALSE))=TRUE,100,VLOOKUP(L56,割合DB!$A:$B,2,FALSE))</f>
        <v>100</v>
      </c>
      <c r="AK56" s="25">
        <f>IF(ISERROR(VLOOKUP(M56,割合DB!$A:$B,2,FALSE))=TRUE,100,VLOOKUP(M56,割合DB!$A:$B,2,FALSE))</f>
        <v>100</v>
      </c>
      <c r="AL56" s="25">
        <f t="shared" si="45"/>
        <v>0</v>
      </c>
      <c r="AM56" s="18">
        <f t="shared" si="46"/>
        <v>0</v>
      </c>
      <c r="AN56" s="18">
        <f t="shared" si="47"/>
        <v>0</v>
      </c>
      <c r="AO56" s="18">
        <f t="shared" si="16"/>
        <v>0</v>
      </c>
      <c r="AP56" s="18">
        <f>IF($C56="人工面",0,IF($G56="",70,IF($D56="湿性環境",VLOOKUP($G56,環境タイプⅡによる点数DB!$A:$B,2,FALSE),IF($D56="樹林",VLOOKUP($G56,環境タイプⅡによる点数DB!$A:$C,3,FALSE),IF($D56="低木・草地",VLOOKUP($G56,環境タイプⅡによる点数DB!$A:$D,4,FALSE),0)))))</f>
        <v>70</v>
      </c>
      <c r="AQ56" s="24" t="str">
        <f>$H56&amp;"in"&amp;基本情報!$C$13</f>
        <v>in</v>
      </c>
      <c r="AR56" s="24">
        <f t="shared" si="17"/>
        <v>0</v>
      </c>
      <c r="AS56" s="24">
        <f>IF($H56="",0,IF($D56="樹林",IF(ISERROR(VLOOKUP($V56,市町村・植物種ごとの樹林点数DB!$A:$F,6,FALSE))=TRUE,10,VLOOKUP($V56,市町村・植物種ごとの樹林点数DB!$A:$F,6,FALSE)),IF($D56="低木・草地",IF(OR($H56="【ススキ】・【ネザサ】・【チガヤ】",$H56="不明"),45,10),0)))</f>
        <v>0</v>
      </c>
      <c r="AT56" s="24">
        <f t="shared" si="18"/>
        <v>0</v>
      </c>
      <c r="AU56" s="24">
        <f t="shared" si="19"/>
        <v>1</v>
      </c>
      <c r="AV56" s="24">
        <f t="shared" si="20"/>
        <v>0</v>
      </c>
      <c r="AW56" s="24">
        <f t="shared" si="21"/>
        <v>1</v>
      </c>
      <c r="AX56" s="25">
        <f t="shared" si="48"/>
        <v>0</v>
      </c>
      <c r="AY56" s="25">
        <f t="shared" si="49"/>
        <v>0</v>
      </c>
      <c r="AZ56" s="25">
        <f t="shared" si="50"/>
        <v>0</v>
      </c>
      <c r="BA56" s="25" t="str">
        <f t="shared" si="51"/>
        <v/>
      </c>
      <c r="BB56" s="25" t="str">
        <f t="shared" si="52"/>
        <v/>
      </c>
      <c r="BC56" s="25" t="str">
        <f t="shared" si="53"/>
        <v/>
      </c>
      <c r="BD56" s="25">
        <f>IF(ISERROR(VLOOKUP($K56,割合DB!$A:$B,2,FALSE))=TRUE,0,VLOOKUP($K56,割合DB!$A:$B,2,FALSE))</f>
        <v>0</v>
      </c>
      <c r="BE56" s="25">
        <f>IF(ISERROR(VLOOKUP($L56,割合DB!$A:$B,2,FALSE))=TRUE,0,VLOOKUP($L56,割合DB!$A:$B,2,FALSE))</f>
        <v>0</v>
      </c>
      <c r="BF56" s="25">
        <f>IF(ISERROR(VLOOKUP($M56,割合DB!$A:$B,2,FALSE))=TRUE,0,VLOOKUP($M56,割合DB!$A:$B,2,FALSE))</f>
        <v>0</v>
      </c>
      <c r="BG56" s="25">
        <f t="shared" si="54"/>
        <v>100</v>
      </c>
      <c r="BH56" s="18">
        <f t="shared" si="55"/>
        <v>100</v>
      </c>
      <c r="BI56" s="18">
        <f t="shared" si="32"/>
        <v>1</v>
      </c>
      <c r="BJ56" s="176"/>
      <c r="BK56" s="176"/>
      <c r="BL56" s="176"/>
      <c r="BM56" s="176"/>
      <c r="BN56" s="176"/>
      <c r="BO56" s="176"/>
      <c r="BP56" s="176"/>
      <c r="BQ56" s="176"/>
      <c r="BR56" s="176"/>
      <c r="BS56" s="176"/>
      <c r="BT56" s="176"/>
      <c r="BU56" s="176"/>
      <c r="BV56" s="176"/>
      <c r="BW56" s="176"/>
      <c r="BX56" s="176"/>
      <c r="BY56" s="176"/>
      <c r="BZ56" s="176"/>
      <c r="CA56" s="176"/>
    </row>
    <row r="57" spans="1:79" ht="27" customHeight="1" x14ac:dyDescent="0.15">
      <c r="A57" s="30" t="s">
        <v>549</v>
      </c>
      <c r="B57" s="31" t="str">
        <f>IF('環境条件(竣工時)'!B57="","",'環境条件(竣工時)'!B57)</f>
        <v/>
      </c>
      <c r="C57" s="31" t="str">
        <f>IF('環境条件(竣工時)'!C57="","",'環境条件(竣工時)'!C57)</f>
        <v/>
      </c>
      <c r="D57" s="31" t="str">
        <f>IF('環境条件(竣工時)'!D57="","",'環境条件(竣工時)'!D57)</f>
        <v/>
      </c>
      <c r="E57" s="31" t="str">
        <f>IF('環境条件(竣工時)'!E57="","",'環境条件(竣工時)'!E57)</f>
        <v/>
      </c>
      <c r="F57" s="30" t="str">
        <f>IF('環境条件(竣工時)'!F57="","",'環境条件(竣工時)'!F57)</f>
        <v/>
      </c>
      <c r="G57" s="21"/>
      <c r="H57" s="22"/>
      <c r="I57" s="22"/>
      <c r="J57" s="22"/>
      <c r="K57" s="23"/>
      <c r="L57" s="23"/>
      <c r="M57" s="23"/>
      <c r="N57" s="146"/>
      <c r="O57" s="40">
        <f t="shared" si="33"/>
        <v>0</v>
      </c>
      <c r="P57" s="183" t="str">
        <f t="shared" si="34"/>
        <v/>
      </c>
      <c r="S57" s="18">
        <f t="shared" si="31"/>
        <v>0</v>
      </c>
      <c r="T57" s="18">
        <f t="shared" si="1"/>
        <v>0</v>
      </c>
      <c r="U57" s="18">
        <f>IF(C57="人工面",0,IF(G57="",0,IF(D57="湿性環境",VLOOKUP(G57,環境タイプⅡによる点数DB!A:B,2,FALSE),IF(D57="樹林",VLOOKUP(G57,環境タイプⅡによる点数DB!A:C,3,FALSE),IF(D57="低木・草地",VLOOKUP(G57,環境タイプⅡによる点数DB!A:D,4,FALSE),0)))))</f>
        <v>0</v>
      </c>
      <c r="V57" s="24" t="str">
        <f>$H57&amp;"in"&amp;基本情報!$C$13</f>
        <v>in</v>
      </c>
      <c r="W57" s="24">
        <f t="shared" si="2"/>
        <v>0</v>
      </c>
      <c r="X57" s="24">
        <f>IF($H57="",0,IF($D57="樹林",IF(ISERROR(VLOOKUP($V57,市町村・植物種ごとの樹林点数DB!$A:$G,7,FALSE))=TRUE,20,VLOOKUP($V57,市町村・植物種ごとの樹林点数DB!$A:$G,7,FALSE)),IF($D57="低木・草地",IF($H57="【ススキ】・【ネザサ】・【チガヤ】",45,10),0)))</f>
        <v>0</v>
      </c>
      <c r="Y57" s="24">
        <f t="shared" si="35"/>
        <v>0</v>
      </c>
      <c r="Z57" s="24">
        <f t="shared" si="36"/>
        <v>1</v>
      </c>
      <c r="AA57" s="24">
        <f t="shared" si="37"/>
        <v>1</v>
      </c>
      <c r="AB57" s="24">
        <f t="shared" si="38"/>
        <v>0</v>
      </c>
      <c r="AC57" s="25">
        <f t="shared" si="39"/>
        <v>0</v>
      </c>
      <c r="AD57" s="25">
        <f t="shared" si="40"/>
        <v>0</v>
      </c>
      <c r="AE57" s="25">
        <f t="shared" si="41"/>
        <v>0</v>
      </c>
      <c r="AF57" s="25" t="str">
        <f t="shared" si="42"/>
        <v/>
      </c>
      <c r="AG57" s="25" t="str">
        <f t="shared" si="43"/>
        <v/>
      </c>
      <c r="AH57" s="25" t="str">
        <f t="shared" si="44"/>
        <v/>
      </c>
      <c r="AI57" s="25">
        <f>IF(ISERROR(VLOOKUP(K57,割合DB!$A:$B,2,FALSE))=TRUE,100,VLOOKUP(K57,割合DB!$A:$B,2,FALSE))</f>
        <v>100</v>
      </c>
      <c r="AJ57" s="25">
        <f>IF(ISERROR(VLOOKUP(L57,割合DB!$A:$B,2,FALSE))=TRUE,100,VLOOKUP(L57,割合DB!$A:$B,2,FALSE))</f>
        <v>100</v>
      </c>
      <c r="AK57" s="25">
        <f>IF(ISERROR(VLOOKUP(M57,割合DB!$A:$B,2,FALSE))=TRUE,100,VLOOKUP(M57,割合DB!$A:$B,2,FALSE))</f>
        <v>100</v>
      </c>
      <c r="AL57" s="25">
        <f t="shared" si="45"/>
        <v>0</v>
      </c>
      <c r="AM57" s="18">
        <f t="shared" si="46"/>
        <v>0</v>
      </c>
      <c r="AN57" s="18">
        <f t="shared" si="47"/>
        <v>0</v>
      </c>
      <c r="AO57" s="18">
        <f t="shared" si="16"/>
        <v>0</v>
      </c>
      <c r="AP57" s="18">
        <f>IF($C57="人工面",0,IF($G57="",70,IF($D57="湿性環境",VLOOKUP($G57,環境タイプⅡによる点数DB!$A:$B,2,FALSE),IF($D57="樹林",VLOOKUP($G57,環境タイプⅡによる点数DB!$A:$C,3,FALSE),IF($D57="低木・草地",VLOOKUP($G57,環境タイプⅡによる点数DB!$A:$D,4,FALSE),0)))))</f>
        <v>70</v>
      </c>
      <c r="AQ57" s="24" t="str">
        <f>$H57&amp;"in"&amp;基本情報!$C$13</f>
        <v>in</v>
      </c>
      <c r="AR57" s="24">
        <f t="shared" si="17"/>
        <v>0</v>
      </c>
      <c r="AS57" s="24">
        <f>IF($H57="",0,IF($D57="樹林",IF(ISERROR(VLOOKUP($V57,市町村・植物種ごとの樹林点数DB!$A:$F,6,FALSE))=TRUE,10,VLOOKUP($V57,市町村・植物種ごとの樹林点数DB!$A:$F,6,FALSE)),IF($D57="低木・草地",IF(OR($H57="【ススキ】・【ネザサ】・【チガヤ】",$H57="不明"),45,10),0)))</f>
        <v>0</v>
      </c>
      <c r="AT57" s="24">
        <f t="shared" si="18"/>
        <v>0</v>
      </c>
      <c r="AU57" s="24">
        <f t="shared" si="19"/>
        <v>1</v>
      </c>
      <c r="AV57" s="24">
        <f t="shared" si="20"/>
        <v>0</v>
      </c>
      <c r="AW57" s="24">
        <f t="shared" si="21"/>
        <v>1</v>
      </c>
      <c r="AX57" s="25">
        <f t="shared" si="48"/>
        <v>0</v>
      </c>
      <c r="AY57" s="25">
        <f t="shared" si="49"/>
        <v>0</v>
      </c>
      <c r="AZ57" s="25">
        <f t="shared" si="50"/>
        <v>0</v>
      </c>
      <c r="BA57" s="25" t="str">
        <f t="shared" si="51"/>
        <v/>
      </c>
      <c r="BB57" s="25" t="str">
        <f t="shared" si="52"/>
        <v/>
      </c>
      <c r="BC57" s="25" t="str">
        <f t="shared" si="53"/>
        <v/>
      </c>
      <c r="BD57" s="25">
        <f>IF(ISERROR(VLOOKUP($K57,割合DB!$A:$B,2,FALSE))=TRUE,0,VLOOKUP($K57,割合DB!$A:$B,2,FALSE))</f>
        <v>0</v>
      </c>
      <c r="BE57" s="25">
        <f>IF(ISERROR(VLOOKUP($L57,割合DB!$A:$B,2,FALSE))=TRUE,0,VLOOKUP($L57,割合DB!$A:$B,2,FALSE))</f>
        <v>0</v>
      </c>
      <c r="BF57" s="25">
        <f>IF(ISERROR(VLOOKUP($M57,割合DB!$A:$B,2,FALSE))=TRUE,0,VLOOKUP($M57,割合DB!$A:$B,2,FALSE))</f>
        <v>0</v>
      </c>
      <c r="BG57" s="25">
        <f t="shared" si="54"/>
        <v>100</v>
      </c>
      <c r="BH57" s="18">
        <f t="shared" si="55"/>
        <v>100</v>
      </c>
      <c r="BI57" s="18">
        <f t="shared" si="32"/>
        <v>1</v>
      </c>
      <c r="BJ57" s="176"/>
      <c r="BK57" s="176"/>
      <c r="BL57" s="176"/>
      <c r="BM57" s="176"/>
      <c r="BN57" s="176"/>
      <c r="BO57" s="176"/>
      <c r="BP57" s="176"/>
      <c r="BQ57" s="176"/>
      <c r="BR57" s="176"/>
      <c r="BS57" s="176"/>
      <c r="BT57" s="176"/>
      <c r="BU57" s="176"/>
      <c r="BV57" s="176"/>
      <c r="BW57" s="176"/>
      <c r="BX57" s="176"/>
      <c r="BY57" s="176"/>
      <c r="BZ57" s="176"/>
      <c r="CA57" s="176"/>
    </row>
    <row r="58" spans="1:79" ht="27" customHeight="1" x14ac:dyDescent="0.15">
      <c r="A58" s="30" t="s">
        <v>550</v>
      </c>
      <c r="B58" s="31" t="str">
        <f>IF('環境条件(竣工時)'!B58="","",'環境条件(竣工時)'!B58)</f>
        <v/>
      </c>
      <c r="C58" s="31" t="str">
        <f>IF('環境条件(竣工時)'!C58="","",'環境条件(竣工時)'!C58)</f>
        <v/>
      </c>
      <c r="D58" s="31" t="str">
        <f>IF('環境条件(竣工時)'!D58="","",'環境条件(竣工時)'!D58)</f>
        <v/>
      </c>
      <c r="E58" s="31" t="str">
        <f>IF('環境条件(竣工時)'!E58="","",'環境条件(竣工時)'!E58)</f>
        <v/>
      </c>
      <c r="F58" s="30" t="str">
        <f>IF('環境条件(竣工時)'!F58="","",'環境条件(竣工時)'!F58)</f>
        <v/>
      </c>
      <c r="G58" s="21"/>
      <c r="H58" s="22"/>
      <c r="I58" s="22"/>
      <c r="J58" s="22"/>
      <c r="K58" s="23"/>
      <c r="L58" s="23"/>
      <c r="M58" s="23"/>
      <c r="N58" s="146"/>
      <c r="O58" s="40">
        <f t="shared" si="33"/>
        <v>0</v>
      </c>
      <c r="P58" s="183" t="str">
        <f t="shared" si="34"/>
        <v/>
      </c>
      <c r="S58" s="18">
        <f t="shared" si="31"/>
        <v>0</v>
      </c>
      <c r="T58" s="18">
        <f t="shared" si="1"/>
        <v>0</v>
      </c>
      <c r="U58" s="18">
        <f>IF(C58="人工面",0,IF(G58="",0,IF(D58="湿性環境",VLOOKUP(G58,環境タイプⅡによる点数DB!A:B,2,FALSE),IF(D58="樹林",VLOOKUP(G58,環境タイプⅡによる点数DB!A:C,3,FALSE),IF(D58="低木・草地",VLOOKUP(G58,環境タイプⅡによる点数DB!A:D,4,FALSE),0)))))</f>
        <v>0</v>
      </c>
      <c r="V58" s="24" t="str">
        <f>$H58&amp;"in"&amp;基本情報!$C$13</f>
        <v>in</v>
      </c>
      <c r="W58" s="24">
        <f t="shared" si="2"/>
        <v>0</v>
      </c>
      <c r="X58" s="24">
        <f>IF($H58="",0,IF($D58="樹林",IF(ISERROR(VLOOKUP($V58,市町村・植物種ごとの樹林点数DB!$A:$G,7,FALSE))=TRUE,20,VLOOKUP($V58,市町村・植物種ごとの樹林点数DB!$A:$G,7,FALSE)),IF($D58="低木・草地",IF($H58="【ススキ】・【ネザサ】・【チガヤ】",45,10),0)))</f>
        <v>0</v>
      </c>
      <c r="Y58" s="24">
        <f t="shared" si="35"/>
        <v>0</v>
      </c>
      <c r="Z58" s="24">
        <f t="shared" si="36"/>
        <v>1</v>
      </c>
      <c r="AA58" s="24">
        <f t="shared" si="37"/>
        <v>1</v>
      </c>
      <c r="AB58" s="24">
        <f t="shared" si="38"/>
        <v>0</v>
      </c>
      <c r="AC58" s="25">
        <f t="shared" si="39"/>
        <v>0</v>
      </c>
      <c r="AD58" s="25">
        <f t="shared" si="40"/>
        <v>0</v>
      </c>
      <c r="AE58" s="25">
        <f t="shared" si="41"/>
        <v>0</v>
      </c>
      <c r="AF58" s="25" t="str">
        <f t="shared" si="42"/>
        <v/>
      </c>
      <c r="AG58" s="25" t="str">
        <f t="shared" si="43"/>
        <v/>
      </c>
      <c r="AH58" s="25" t="str">
        <f t="shared" si="44"/>
        <v/>
      </c>
      <c r="AI58" s="25">
        <f>IF(ISERROR(VLOOKUP(K58,割合DB!$A:$B,2,FALSE))=TRUE,100,VLOOKUP(K58,割合DB!$A:$B,2,FALSE))</f>
        <v>100</v>
      </c>
      <c r="AJ58" s="25">
        <f>IF(ISERROR(VLOOKUP(L58,割合DB!$A:$B,2,FALSE))=TRUE,100,VLOOKUP(L58,割合DB!$A:$B,2,FALSE))</f>
        <v>100</v>
      </c>
      <c r="AK58" s="25">
        <f>IF(ISERROR(VLOOKUP(M58,割合DB!$A:$B,2,FALSE))=TRUE,100,VLOOKUP(M58,割合DB!$A:$B,2,FALSE))</f>
        <v>100</v>
      </c>
      <c r="AL58" s="25">
        <f t="shared" si="45"/>
        <v>0</v>
      </c>
      <c r="AM58" s="18">
        <f t="shared" si="46"/>
        <v>0</v>
      </c>
      <c r="AN58" s="18">
        <f t="shared" si="47"/>
        <v>0</v>
      </c>
      <c r="AO58" s="18">
        <f t="shared" si="16"/>
        <v>0</v>
      </c>
      <c r="AP58" s="18">
        <f>IF($C58="人工面",0,IF($G58="",70,IF($D58="湿性環境",VLOOKUP($G58,環境タイプⅡによる点数DB!$A:$B,2,FALSE),IF($D58="樹林",VLOOKUP($G58,環境タイプⅡによる点数DB!$A:$C,3,FALSE),IF($D58="低木・草地",VLOOKUP($G58,環境タイプⅡによる点数DB!$A:$D,4,FALSE),0)))))</f>
        <v>70</v>
      </c>
      <c r="AQ58" s="24" t="str">
        <f>$H58&amp;"in"&amp;基本情報!$C$13</f>
        <v>in</v>
      </c>
      <c r="AR58" s="24">
        <f t="shared" si="17"/>
        <v>0</v>
      </c>
      <c r="AS58" s="24">
        <f>IF($H58="",0,IF($D58="樹林",IF(ISERROR(VLOOKUP($V58,市町村・植物種ごとの樹林点数DB!$A:$F,6,FALSE))=TRUE,10,VLOOKUP($V58,市町村・植物種ごとの樹林点数DB!$A:$F,6,FALSE)),IF($D58="低木・草地",IF(OR($H58="【ススキ】・【ネザサ】・【チガヤ】",$H58="不明"),45,10),0)))</f>
        <v>0</v>
      </c>
      <c r="AT58" s="24">
        <f t="shared" si="18"/>
        <v>0</v>
      </c>
      <c r="AU58" s="24">
        <f t="shared" si="19"/>
        <v>1</v>
      </c>
      <c r="AV58" s="24">
        <f t="shared" si="20"/>
        <v>0</v>
      </c>
      <c r="AW58" s="24">
        <f t="shared" si="21"/>
        <v>1</v>
      </c>
      <c r="AX58" s="25">
        <f t="shared" si="48"/>
        <v>0</v>
      </c>
      <c r="AY58" s="25">
        <f t="shared" si="49"/>
        <v>0</v>
      </c>
      <c r="AZ58" s="25">
        <f t="shared" si="50"/>
        <v>0</v>
      </c>
      <c r="BA58" s="25" t="str">
        <f t="shared" si="51"/>
        <v/>
      </c>
      <c r="BB58" s="25" t="str">
        <f t="shared" si="52"/>
        <v/>
      </c>
      <c r="BC58" s="25" t="str">
        <f t="shared" si="53"/>
        <v/>
      </c>
      <c r="BD58" s="25">
        <f>IF(ISERROR(VLOOKUP($K58,割合DB!$A:$B,2,FALSE))=TRUE,0,VLOOKUP($K58,割合DB!$A:$B,2,FALSE))</f>
        <v>0</v>
      </c>
      <c r="BE58" s="25">
        <f>IF(ISERROR(VLOOKUP($L58,割合DB!$A:$B,2,FALSE))=TRUE,0,VLOOKUP($L58,割合DB!$A:$B,2,FALSE))</f>
        <v>0</v>
      </c>
      <c r="BF58" s="25">
        <f>IF(ISERROR(VLOOKUP($M58,割合DB!$A:$B,2,FALSE))=TRUE,0,VLOOKUP($M58,割合DB!$A:$B,2,FALSE))</f>
        <v>0</v>
      </c>
      <c r="BG58" s="25">
        <f t="shared" si="54"/>
        <v>100</v>
      </c>
      <c r="BH58" s="18">
        <f t="shared" si="55"/>
        <v>100</v>
      </c>
      <c r="BI58" s="18">
        <f t="shared" si="32"/>
        <v>1</v>
      </c>
      <c r="BJ58" s="176"/>
      <c r="BK58" s="176"/>
      <c r="BL58" s="176"/>
      <c r="BM58" s="176"/>
      <c r="BN58" s="176"/>
      <c r="BO58" s="176"/>
      <c r="BP58" s="176"/>
      <c r="BQ58" s="176"/>
      <c r="BR58" s="176"/>
      <c r="BS58" s="176"/>
      <c r="BT58" s="176"/>
      <c r="BU58" s="176"/>
      <c r="BV58" s="176"/>
      <c r="BW58" s="176"/>
      <c r="BX58" s="176"/>
      <c r="BY58" s="176"/>
      <c r="BZ58" s="176"/>
      <c r="CA58" s="176"/>
    </row>
    <row r="59" spans="1:79" ht="27" customHeight="1" x14ac:dyDescent="0.15">
      <c r="A59" s="30" t="s">
        <v>551</v>
      </c>
      <c r="B59" s="31" t="str">
        <f>IF('環境条件(竣工時)'!B59="","",'環境条件(竣工時)'!B59)</f>
        <v/>
      </c>
      <c r="C59" s="31" t="str">
        <f>IF('環境条件(竣工時)'!C59="","",'環境条件(竣工時)'!C59)</f>
        <v/>
      </c>
      <c r="D59" s="31" t="str">
        <f>IF('環境条件(竣工時)'!D59="","",'環境条件(竣工時)'!D59)</f>
        <v/>
      </c>
      <c r="E59" s="31" t="str">
        <f>IF('環境条件(竣工時)'!E59="","",'環境条件(竣工時)'!E59)</f>
        <v/>
      </c>
      <c r="F59" s="30" t="str">
        <f>IF('環境条件(竣工時)'!F59="","",'環境条件(竣工時)'!F59)</f>
        <v/>
      </c>
      <c r="G59" s="21"/>
      <c r="H59" s="22"/>
      <c r="I59" s="22"/>
      <c r="J59" s="22"/>
      <c r="K59" s="23"/>
      <c r="L59" s="23"/>
      <c r="M59" s="23"/>
      <c r="N59" s="146"/>
      <c r="O59" s="40">
        <f t="shared" si="33"/>
        <v>0</v>
      </c>
      <c r="P59" s="183" t="str">
        <f t="shared" si="34"/>
        <v/>
      </c>
      <c r="S59" s="18">
        <f t="shared" si="31"/>
        <v>0</v>
      </c>
      <c r="T59" s="18">
        <f t="shared" si="1"/>
        <v>0</v>
      </c>
      <c r="U59" s="18">
        <f>IF(C59="人工面",0,IF(G59="",0,IF(D59="湿性環境",VLOOKUP(G59,環境タイプⅡによる点数DB!A:B,2,FALSE),IF(D59="樹林",VLOOKUP(G59,環境タイプⅡによる点数DB!A:C,3,FALSE),IF(D59="低木・草地",VLOOKUP(G59,環境タイプⅡによる点数DB!A:D,4,FALSE),0)))))</f>
        <v>0</v>
      </c>
      <c r="V59" s="24" t="str">
        <f>$H59&amp;"in"&amp;基本情報!$C$13</f>
        <v>in</v>
      </c>
      <c r="W59" s="24">
        <f t="shared" si="2"/>
        <v>0</v>
      </c>
      <c r="X59" s="24">
        <f>IF($H59="",0,IF($D59="樹林",IF(ISERROR(VLOOKUP($V59,市町村・植物種ごとの樹林点数DB!$A:$G,7,FALSE))=TRUE,20,VLOOKUP($V59,市町村・植物種ごとの樹林点数DB!$A:$G,7,FALSE)),IF($D59="低木・草地",IF($H59="【ススキ】・【ネザサ】・【チガヤ】",45,10),0)))</f>
        <v>0</v>
      </c>
      <c r="Y59" s="24">
        <f t="shared" si="35"/>
        <v>0</v>
      </c>
      <c r="Z59" s="24">
        <f t="shared" si="36"/>
        <v>1</v>
      </c>
      <c r="AA59" s="24">
        <f t="shared" si="37"/>
        <v>1</v>
      </c>
      <c r="AB59" s="24">
        <f t="shared" si="38"/>
        <v>0</v>
      </c>
      <c r="AC59" s="25">
        <f t="shared" si="39"/>
        <v>0</v>
      </c>
      <c r="AD59" s="25">
        <f t="shared" si="40"/>
        <v>0</v>
      </c>
      <c r="AE59" s="25">
        <f t="shared" si="41"/>
        <v>0</v>
      </c>
      <c r="AF59" s="25" t="str">
        <f t="shared" si="42"/>
        <v/>
      </c>
      <c r="AG59" s="25" t="str">
        <f t="shared" si="43"/>
        <v/>
      </c>
      <c r="AH59" s="25" t="str">
        <f t="shared" si="44"/>
        <v/>
      </c>
      <c r="AI59" s="25">
        <f>IF(ISERROR(VLOOKUP(K59,割合DB!$A:$B,2,FALSE))=TRUE,100,VLOOKUP(K59,割合DB!$A:$B,2,FALSE))</f>
        <v>100</v>
      </c>
      <c r="AJ59" s="25">
        <f>IF(ISERROR(VLOOKUP(L59,割合DB!$A:$B,2,FALSE))=TRUE,100,VLOOKUP(L59,割合DB!$A:$B,2,FALSE))</f>
        <v>100</v>
      </c>
      <c r="AK59" s="25">
        <f>IF(ISERROR(VLOOKUP(M59,割合DB!$A:$B,2,FALSE))=TRUE,100,VLOOKUP(M59,割合DB!$A:$B,2,FALSE))</f>
        <v>100</v>
      </c>
      <c r="AL59" s="25">
        <f t="shared" si="45"/>
        <v>0</v>
      </c>
      <c r="AM59" s="18">
        <f t="shared" si="46"/>
        <v>0</v>
      </c>
      <c r="AN59" s="18">
        <f t="shared" si="47"/>
        <v>0</v>
      </c>
      <c r="AO59" s="18">
        <f t="shared" si="16"/>
        <v>0</v>
      </c>
      <c r="AP59" s="18">
        <f>IF($C59="人工面",0,IF($G59="",70,IF($D59="湿性環境",VLOOKUP($G59,環境タイプⅡによる点数DB!$A:$B,2,FALSE),IF($D59="樹林",VLOOKUP($G59,環境タイプⅡによる点数DB!$A:$C,3,FALSE),IF($D59="低木・草地",VLOOKUP($G59,環境タイプⅡによる点数DB!$A:$D,4,FALSE),0)))))</f>
        <v>70</v>
      </c>
      <c r="AQ59" s="24" t="str">
        <f>$H59&amp;"in"&amp;基本情報!$C$13</f>
        <v>in</v>
      </c>
      <c r="AR59" s="24">
        <f t="shared" si="17"/>
        <v>0</v>
      </c>
      <c r="AS59" s="24">
        <f>IF($H59="",0,IF($D59="樹林",IF(ISERROR(VLOOKUP($V59,市町村・植物種ごとの樹林点数DB!$A:$F,6,FALSE))=TRUE,10,VLOOKUP($V59,市町村・植物種ごとの樹林点数DB!$A:$F,6,FALSE)),IF($D59="低木・草地",IF(OR($H59="【ススキ】・【ネザサ】・【チガヤ】",$H59="不明"),45,10),0)))</f>
        <v>0</v>
      </c>
      <c r="AT59" s="24">
        <f t="shared" si="18"/>
        <v>0</v>
      </c>
      <c r="AU59" s="24">
        <f t="shared" si="19"/>
        <v>1</v>
      </c>
      <c r="AV59" s="24">
        <f t="shared" si="20"/>
        <v>0</v>
      </c>
      <c r="AW59" s="24">
        <f t="shared" si="21"/>
        <v>1</v>
      </c>
      <c r="AX59" s="25">
        <f t="shared" si="48"/>
        <v>0</v>
      </c>
      <c r="AY59" s="25">
        <f t="shared" si="49"/>
        <v>0</v>
      </c>
      <c r="AZ59" s="25">
        <f t="shared" si="50"/>
        <v>0</v>
      </c>
      <c r="BA59" s="25" t="str">
        <f t="shared" si="51"/>
        <v/>
      </c>
      <c r="BB59" s="25" t="str">
        <f t="shared" si="52"/>
        <v/>
      </c>
      <c r="BC59" s="25" t="str">
        <f t="shared" si="53"/>
        <v/>
      </c>
      <c r="BD59" s="25">
        <f>IF(ISERROR(VLOOKUP($K59,割合DB!$A:$B,2,FALSE))=TRUE,0,VLOOKUP($K59,割合DB!$A:$B,2,FALSE))</f>
        <v>0</v>
      </c>
      <c r="BE59" s="25">
        <f>IF(ISERROR(VLOOKUP($L59,割合DB!$A:$B,2,FALSE))=TRUE,0,VLOOKUP($L59,割合DB!$A:$B,2,FALSE))</f>
        <v>0</v>
      </c>
      <c r="BF59" s="25">
        <f>IF(ISERROR(VLOOKUP($M59,割合DB!$A:$B,2,FALSE))=TRUE,0,VLOOKUP($M59,割合DB!$A:$B,2,FALSE))</f>
        <v>0</v>
      </c>
      <c r="BG59" s="25">
        <f t="shared" si="54"/>
        <v>100</v>
      </c>
      <c r="BH59" s="18">
        <f t="shared" si="55"/>
        <v>100</v>
      </c>
      <c r="BI59" s="18">
        <f t="shared" si="32"/>
        <v>1</v>
      </c>
      <c r="BJ59" s="176"/>
      <c r="BK59" s="176"/>
      <c r="BL59" s="176"/>
      <c r="BM59" s="176"/>
      <c r="BN59" s="176"/>
      <c r="BO59" s="176"/>
      <c r="BP59" s="176"/>
      <c r="BQ59" s="176"/>
      <c r="BR59" s="176"/>
      <c r="BS59" s="176"/>
      <c r="BT59" s="176"/>
      <c r="BU59" s="176"/>
      <c r="BV59" s="176"/>
      <c r="BW59" s="176"/>
      <c r="BX59" s="176"/>
      <c r="BY59" s="176"/>
      <c r="BZ59" s="176"/>
      <c r="CA59" s="176"/>
    </row>
    <row r="60" spans="1:79" ht="27" customHeight="1" x14ac:dyDescent="0.15">
      <c r="A60" s="30" t="s">
        <v>552</v>
      </c>
      <c r="B60" s="31" t="str">
        <f>IF('環境条件(竣工時)'!B60="","",'環境条件(竣工時)'!B60)</f>
        <v/>
      </c>
      <c r="C60" s="31" t="str">
        <f>IF('環境条件(竣工時)'!C60="","",'環境条件(竣工時)'!C60)</f>
        <v/>
      </c>
      <c r="D60" s="31" t="str">
        <f>IF('環境条件(竣工時)'!D60="","",'環境条件(竣工時)'!D60)</f>
        <v/>
      </c>
      <c r="E60" s="31" t="str">
        <f>IF('環境条件(竣工時)'!E60="","",'環境条件(竣工時)'!E60)</f>
        <v/>
      </c>
      <c r="F60" s="30" t="str">
        <f>IF('環境条件(竣工時)'!F60="","",'環境条件(竣工時)'!F60)</f>
        <v/>
      </c>
      <c r="G60" s="21"/>
      <c r="H60" s="22"/>
      <c r="I60" s="22"/>
      <c r="J60" s="22"/>
      <c r="K60" s="23"/>
      <c r="L60" s="23"/>
      <c r="M60" s="23"/>
      <c r="N60" s="146"/>
      <c r="O60" s="40">
        <f t="shared" si="33"/>
        <v>0</v>
      </c>
      <c r="P60" s="183" t="str">
        <f t="shared" si="34"/>
        <v/>
      </c>
      <c r="S60" s="18">
        <f t="shared" si="31"/>
        <v>0</v>
      </c>
      <c r="T60" s="18">
        <f t="shared" si="1"/>
        <v>0</v>
      </c>
      <c r="U60" s="18">
        <f>IF(C60="人工面",0,IF(G60="",0,IF(D60="湿性環境",VLOOKUP(G60,環境タイプⅡによる点数DB!A:B,2,FALSE),IF(D60="樹林",VLOOKUP(G60,環境タイプⅡによる点数DB!A:C,3,FALSE),IF(D60="低木・草地",VLOOKUP(G60,環境タイプⅡによる点数DB!A:D,4,FALSE),0)))))</f>
        <v>0</v>
      </c>
      <c r="V60" s="24" t="str">
        <f>$H60&amp;"in"&amp;基本情報!$C$13</f>
        <v>in</v>
      </c>
      <c r="W60" s="24">
        <f t="shared" si="2"/>
        <v>0</v>
      </c>
      <c r="X60" s="24">
        <f>IF($H60="",0,IF($D60="樹林",IF(ISERROR(VLOOKUP($V60,市町村・植物種ごとの樹林点数DB!$A:$G,7,FALSE))=TRUE,20,VLOOKUP($V60,市町村・植物種ごとの樹林点数DB!$A:$G,7,FALSE)),IF($D60="低木・草地",IF($H60="【ススキ】・【ネザサ】・【チガヤ】",45,10),0)))</f>
        <v>0</v>
      </c>
      <c r="Y60" s="24">
        <f t="shared" si="35"/>
        <v>0</v>
      </c>
      <c r="Z60" s="24">
        <f t="shared" si="36"/>
        <v>1</v>
      </c>
      <c r="AA60" s="24">
        <f t="shared" si="37"/>
        <v>1</v>
      </c>
      <c r="AB60" s="24">
        <f t="shared" si="38"/>
        <v>0</v>
      </c>
      <c r="AC60" s="25">
        <f t="shared" si="39"/>
        <v>0</v>
      </c>
      <c r="AD60" s="25">
        <f t="shared" si="40"/>
        <v>0</v>
      </c>
      <c r="AE60" s="25">
        <f t="shared" si="41"/>
        <v>0</v>
      </c>
      <c r="AF60" s="25" t="str">
        <f t="shared" si="42"/>
        <v/>
      </c>
      <c r="AG60" s="25" t="str">
        <f t="shared" si="43"/>
        <v/>
      </c>
      <c r="AH60" s="25" t="str">
        <f t="shared" si="44"/>
        <v/>
      </c>
      <c r="AI60" s="25">
        <f>IF(ISERROR(VLOOKUP(K60,割合DB!$A:$B,2,FALSE))=TRUE,100,VLOOKUP(K60,割合DB!$A:$B,2,FALSE))</f>
        <v>100</v>
      </c>
      <c r="AJ60" s="25">
        <f>IF(ISERROR(VLOOKUP(L60,割合DB!$A:$B,2,FALSE))=TRUE,100,VLOOKUP(L60,割合DB!$A:$B,2,FALSE))</f>
        <v>100</v>
      </c>
      <c r="AK60" s="25">
        <f>IF(ISERROR(VLOOKUP(M60,割合DB!$A:$B,2,FALSE))=TRUE,100,VLOOKUP(M60,割合DB!$A:$B,2,FALSE))</f>
        <v>100</v>
      </c>
      <c r="AL60" s="25">
        <f t="shared" si="45"/>
        <v>0</v>
      </c>
      <c r="AM60" s="18">
        <f t="shared" si="46"/>
        <v>0</v>
      </c>
      <c r="AN60" s="18">
        <f t="shared" si="47"/>
        <v>0</v>
      </c>
      <c r="AO60" s="18">
        <f t="shared" si="16"/>
        <v>0</v>
      </c>
      <c r="AP60" s="18">
        <f>IF($C60="人工面",0,IF($G60="",70,IF($D60="湿性環境",VLOOKUP($G60,環境タイプⅡによる点数DB!$A:$B,2,FALSE),IF($D60="樹林",VLOOKUP($G60,環境タイプⅡによる点数DB!$A:$C,3,FALSE),IF($D60="低木・草地",VLOOKUP($G60,環境タイプⅡによる点数DB!$A:$D,4,FALSE),0)))))</f>
        <v>70</v>
      </c>
      <c r="AQ60" s="24" t="str">
        <f>$H60&amp;"in"&amp;基本情報!$C$13</f>
        <v>in</v>
      </c>
      <c r="AR60" s="24">
        <f t="shared" si="17"/>
        <v>0</v>
      </c>
      <c r="AS60" s="24">
        <f>IF($H60="",0,IF($D60="樹林",IF(ISERROR(VLOOKUP($V60,市町村・植物種ごとの樹林点数DB!$A:$F,6,FALSE))=TRUE,10,VLOOKUP($V60,市町村・植物種ごとの樹林点数DB!$A:$F,6,FALSE)),IF($D60="低木・草地",IF(OR($H60="【ススキ】・【ネザサ】・【チガヤ】",$H60="不明"),45,10),0)))</f>
        <v>0</v>
      </c>
      <c r="AT60" s="24">
        <f t="shared" si="18"/>
        <v>0</v>
      </c>
      <c r="AU60" s="24">
        <f t="shared" si="19"/>
        <v>1</v>
      </c>
      <c r="AV60" s="24">
        <f t="shared" si="20"/>
        <v>0</v>
      </c>
      <c r="AW60" s="24">
        <f t="shared" si="21"/>
        <v>1</v>
      </c>
      <c r="AX60" s="25">
        <f t="shared" si="48"/>
        <v>0</v>
      </c>
      <c r="AY60" s="25">
        <f t="shared" si="49"/>
        <v>0</v>
      </c>
      <c r="AZ60" s="25">
        <f t="shared" si="50"/>
        <v>0</v>
      </c>
      <c r="BA60" s="25" t="str">
        <f t="shared" si="51"/>
        <v/>
      </c>
      <c r="BB60" s="25" t="str">
        <f t="shared" si="52"/>
        <v/>
      </c>
      <c r="BC60" s="25" t="str">
        <f t="shared" si="53"/>
        <v/>
      </c>
      <c r="BD60" s="25">
        <f>IF(ISERROR(VLOOKUP($K60,割合DB!$A:$B,2,FALSE))=TRUE,0,VLOOKUP($K60,割合DB!$A:$B,2,FALSE))</f>
        <v>0</v>
      </c>
      <c r="BE60" s="25">
        <f>IF(ISERROR(VLOOKUP($L60,割合DB!$A:$B,2,FALSE))=TRUE,0,VLOOKUP($L60,割合DB!$A:$B,2,FALSE))</f>
        <v>0</v>
      </c>
      <c r="BF60" s="25">
        <f>IF(ISERROR(VLOOKUP($M60,割合DB!$A:$B,2,FALSE))=TRUE,0,VLOOKUP($M60,割合DB!$A:$B,2,FALSE))</f>
        <v>0</v>
      </c>
      <c r="BG60" s="25">
        <f t="shared" si="54"/>
        <v>100</v>
      </c>
      <c r="BH60" s="18">
        <f t="shared" si="55"/>
        <v>100</v>
      </c>
      <c r="BI60" s="18">
        <f t="shared" si="32"/>
        <v>1</v>
      </c>
      <c r="BJ60" s="176"/>
      <c r="BK60" s="176"/>
      <c r="BL60" s="176"/>
      <c r="BM60" s="176"/>
      <c r="BN60" s="176"/>
      <c r="BO60" s="176"/>
      <c r="BP60" s="176"/>
      <c r="BQ60" s="176"/>
      <c r="BR60" s="176"/>
      <c r="BS60" s="176"/>
      <c r="BT60" s="176"/>
      <c r="BU60" s="176"/>
      <c r="BV60" s="176"/>
      <c r="BW60" s="176"/>
      <c r="BX60" s="176"/>
      <c r="BY60" s="176"/>
      <c r="BZ60" s="176"/>
      <c r="CA60" s="176"/>
    </row>
    <row r="61" spans="1:79" ht="27" customHeight="1" x14ac:dyDescent="0.15">
      <c r="A61" s="30" t="s">
        <v>553</v>
      </c>
      <c r="B61" s="31" t="str">
        <f>IF('環境条件(竣工時)'!B61="","",'環境条件(竣工時)'!B61)</f>
        <v/>
      </c>
      <c r="C61" s="31" t="str">
        <f>IF('環境条件(竣工時)'!C61="","",'環境条件(竣工時)'!C61)</f>
        <v/>
      </c>
      <c r="D61" s="31" t="str">
        <f>IF('環境条件(竣工時)'!D61="","",'環境条件(竣工時)'!D61)</f>
        <v/>
      </c>
      <c r="E61" s="31" t="str">
        <f>IF('環境条件(竣工時)'!E61="","",'環境条件(竣工時)'!E61)</f>
        <v/>
      </c>
      <c r="F61" s="30" t="str">
        <f>IF('環境条件(竣工時)'!F61="","",'環境条件(竣工時)'!F61)</f>
        <v/>
      </c>
      <c r="G61" s="21"/>
      <c r="H61" s="22"/>
      <c r="I61" s="22"/>
      <c r="J61" s="22"/>
      <c r="K61" s="23"/>
      <c r="L61" s="23"/>
      <c r="M61" s="23"/>
      <c r="N61" s="146"/>
      <c r="O61" s="40">
        <f t="shared" si="33"/>
        <v>0</v>
      </c>
      <c r="P61" s="183" t="str">
        <f t="shared" si="34"/>
        <v/>
      </c>
      <c r="S61" s="18">
        <f t="shared" si="31"/>
        <v>0</v>
      </c>
      <c r="T61" s="18">
        <f t="shared" si="1"/>
        <v>0</v>
      </c>
      <c r="U61" s="18">
        <f>IF(C61="人工面",0,IF(G61="",0,IF(D61="湿性環境",VLOOKUP(G61,環境タイプⅡによる点数DB!A:B,2,FALSE),IF(D61="樹林",VLOOKUP(G61,環境タイプⅡによる点数DB!A:C,3,FALSE),IF(D61="低木・草地",VLOOKUP(G61,環境タイプⅡによる点数DB!A:D,4,FALSE),0)))))</f>
        <v>0</v>
      </c>
      <c r="V61" s="24" t="str">
        <f>$H61&amp;"in"&amp;基本情報!$C$13</f>
        <v>in</v>
      </c>
      <c r="W61" s="24">
        <f t="shared" si="2"/>
        <v>0</v>
      </c>
      <c r="X61" s="24">
        <f>IF($H61="",0,IF($D61="樹林",IF(ISERROR(VLOOKUP($V61,市町村・植物種ごとの樹林点数DB!$A:$G,7,FALSE))=TRUE,20,VLOOKUP($V61,市町村・植物種ごとの樹林点数DB!$A:$G,7,FALSE)),IF($D61="低木・草地",IF($H61="【ススキ】・【ネザサ】・【チガヤ】",45,10),0)))</f>
        <v>0</v>
      </c>
      <c r="Y61" s="24">
        <f t="shared" si="35"/>
        <v>0</v>
      </c>
      <c r="Z61" s="24">
        <f t="shared" si="36"/>
        <v>1</v>
      </c>
      <c r="AA61" s="24">
        <f t="shared" si="37"/>
        <v>1</v>
      </c>
      <c r="AB61" s="24">
        <f t="shared" si="38"/>
        <v>0</v>
      </c>
      <c r="AC61" s="25">
        <f t="shared" si="39"/>
        <v>0</v>
      </c>
      <c r="AD61" s="25">
        <f t="shared" si="40"/>
        <v>0</v>
      </c>
      <c r="AE61" s="25">
        <f t="shared" si="41"/>
        <v>0</v>
      </c>
      <c r="AF61" s="25" t="str">
        <f t="shared" si="42"/>
        <v/>
      </c>
      <c r="AG61" s="25" t="str">
        <f t="shared" si="43"/>
        <v/>
      </c>
      <c r="AH61" s="25" t="str">
        <f t="shared" si="44"/>
        <v/>
      </c>
      <c r="AI61" s="25">
        <f>IF(ISERROR(VLOOKUP(K61,割合DB!$A:$B,2,FALSE))=TRUE,100,VLOOKUP(K61,割合DB!$A:$B,2,FALSE))</f>
        <v>100</v>
      </c>
      <c r="AJ61" s="25">
        <f>IF(ISERROR(VLOOKUP(L61,割合DB!$A:$B,2,FALSE))=TRUE,100,VLOOKUP(L61,割合DB!$A:$B,2,FALSE))</f>
        <v>100</v>
      </c>
      <c r="AK61" s="25">
        <f>IF(ISERROR(VLOOKUP(M61,割合DB!$A:$B,2,FALSE))=TRUE,100,VLOOKUP(M61,割合DB!$A:$B,2,FALSE))</f>
        <v>100</v>
      </c>
      <c r="AL61" s="25">
        <f t="shared" si="45"/>
        <v>0</v>
      </c>
      <c r="AM61" s="18">
        <f t="shared" si="46"/>
        <v>0</v>
      </c>
      <c r="AN61" s="18">
        <f t="shared" si="47"/>
        <v>0</v>
      </c>
      <c r="AO61" s="18">
        <f t="shared" si="16"/>
        <v>0</v>
      </c>
      <c r="AP61" s="18">
        <f>IF($C61="人工面",0,IF($G61="",70,IF($D61="湿性環境",VLOOKUP($G61,環境タイプⅡによる点数DB!$A:$B,2,FALSE),IF($D61="樹林",VLOOKUP($G61,環境タイプⅡによる点数DB!$A:$C,3,FALSE),IF($D61="低木・草地",VLOOKUP($G61,環境タイプⅡによる点数DB!$A:$D,4,FALSE),0)))))</f>
        <v>70</v>
      </c>
      <c r="AQ61" s="24" t="str">
        <f>$H61&amp;"in"&amp;基本情報!$C$13</f>
        <v>in</v>
      </c>
      <c r="AR61" s="24">
        <f t="shared" si="17"/>
        <v>0</v>
      </c>
      <c r="AS61" s="24">
        <f>IF($H61="",0,IF($D61="樹林",IF(ISERROR(VLOOKUP($V61,市町村・植物種ごとの樹林点数DB!$A:$F,6,FALSE))=TRUE,10,VLOOKUP($V61,市町村・植物種ごとの樹林点数DB!$A:$F,6,FALSE)),IF($D61="低木・草地",IF(OR($H61="【ススキ】・【ネザサ】・【チガヤ】",$H61="不明"),45,10),0)))</f>
        <v>0</v>
      </c>
      <c r="AT61" s="24">
        <f t="shared" si="18"/>
        <v>0</v>
      </c>
      <c r="AU61" s="24">
        <f t="shared" si="19"/>
        <v>1</v>
      </c>
      <c r="AV61" s="24">
        <f t="shared" si="20"/>
        <v>0</v>
      </c>
      <c r="AW61" s="24">
        <f t="shared" si="21"/>
        <v>1</v>
      </c>
      <c r="AX61" s="25">
        <f t="shared" si="48"/>
        <v>0</v>
      </c>
      <c r="AY61" s="25">
        <f t="shared" si="49"/>
        <v>0</v>
      </c>
      <c r="AZ61" s="25">
        <f t="shared" si="50"/>
        <v>0</v>
      </c>
      <c r="BA61" s="25" t="str">
        <f t="shared" si="51"/>
        <v/>
      </c>
      <c r="BB61" s="25" t="str">
        <f t="shared" si="52"/>
        <v/>
      </c>
      <c r="BC61" s="25" t="str">
        <f t="shared" si="53"/>
        <v/>
      </c>
      <c r="BD61" s="25">
        <f>IF(ISERROR(VLOOKUP($K61,割合DB!$A:$B,2,FALSE))=TRUE,0,VLOOKUP($K61,割合DB!$A:$B,2,FALSE))</f>
        <v>0</v>
      </c>
      <c r="BE61" s="25">
        <f>IF(ISERROR(VLOOKUP($L61,割合DB!$A:$B,2,FALSE))=TRUE,0,VLOOKUP($L61,割合DB!$A:$B,2,FALSE))</f>
        <v>0</v>
      </c>
      <c r="BF61" s="25">
        <f>IF(ISERROR(VLOOKUP($M61,割合DB!$A:$B,2,FALSE))=TRUE,0,VLOOKUP($M61,割合DB!$A:$B,2,FALSE))</f>
        <v>0</v>
      </c>
      <c r="BG61" s="25">
        <f t="shared" si="54"/>
        <v>100</v>
      </c>
      <c r="BH61" s="18">
        <f t="shared" si="55"/>
        <v>100</v>
      </c>
      <c r="BI61" s="18">
        <f t="shared" si="32"/>
        <v>1</v>
      </c>
      <c r="BJ61" s="176"/>
      <c r="BK61" s="176"/>
      <c r="BL61" s="176"/>
      <c r="BM61" s="176"/>
      <c r="BN61" s="176"/>
      <c r="BO61" s="176"/>
      <c r="BP61" s="176"/>
      <c r="BQ61" s="176"/>
      <c r="BR61" s="176"/>
      <c r="BS61" s="176"/>
      <c r="BT61" s="176"/>
      <c r="BU61" s="176"/>
      <c r="BV61" s="176"/>
      <c r="BW61" s="176"/>
      <c r="BX61" s="176"/>
      <c r="BY61" s="176"/>
      <c r="BZ61" s="176"/>
      <c r="CA61" s="176"/>
    </row>
    <row r="62" spans="1:79" ht="27" customHeight="1" x14ac:dyDescent="0.15">
      <c r="A62" s="30" t="s">
        <v>554</v>
      </c>
      <c r="B62" s="31" t="str">
        <f>IF('環境条件(竣工時)'!B62="","",'環境条件(竣工時)'!B62)</f>
        <v/>
      </c>
      <c r="C62" s="31" t="str">
        <f>IF('環境条件(竣工時)'!C62="","",'環境条件(竣工時)'!C62)</f>
        <v/>
      </c>
      <c r="D62" s="31" t="str">
        <f>IF('環境条件(竣工時)'!D62="","",'環境条件(竣工時)'!D62)</f>
        <v/>
      </c>
      <c r="E62" s="31" t="str">
        <f>IF('環境条件(竣工時)'!E62="","",'環境条件(竣工時)'!E62)</f>
        <v/>
      </c>
      <c r="F62" s="30" t="str">
        <f>IF('環境条件(竣工時)'!F62="","",'環境条件(竣工時)'!F62)</f>
        <v/>
      </c>
      <c r="G62" s="21"/>
      <c r="H62" s="22"/>
      <c r="I62" s="22"/>
      <c r="J62" s="22"/>
      <c r="K62" s="23"/>
      <c r="L62" s="23"/>
      <c r="M62" s="23"/>
      <c r="N62" s="146"/>
      <c r="O62" s="40">
        <f t="shared" si="33"/>
        <v>0</v>
      </c>
      <c r="P62" s="183" t="str">
        <f t="shared" si="34"/>
        <v/>
      </c>
      <c r="S62" s="18">
        <f t="shared" si="31"/>
        <v>0</v>
      </c>
      <c r="T62" s="18">
        <f t="shared" si="1"/>
        <v>0</v>
      </c>
      <c r="U62" s="18">
        <f>IF(C62="人工面",0,IF(G62="",0,IF(D62="湿性環境",VLOOKUP(G62,環境タイプⅡによる点数DB!A:B,2,FALSE),IF(D62="樹林",VLOOKUP(G62,環境タイプⅡによる点数DB!A:C,3,FALSE),IF(D62="低木・草地",VLOOKUP(G62,環境タイプⅡによる点数DB!A:D,4,FALSE),0)))))</f>
        <v>0</v>
      </c>
      <c r="V62" s="24" t="str">
        <f>$H62&amp;"in"&amp;基本情報!$C$13</f>
        <v>in</v>
      </c>
      <c r="W62" s="24">
        <f t="shared" si="2"/>
        <v>0</v>
      </c>
      <c r="X62" s="24">
        <f>IF($H62="",0,IF($D62="樹林",IF(ISERROR(VLOOKUP($V62,市町村・植物種ごとの樹林点数DB!$A:$G,7,FALSE))=TRUE,20,VLOOKUP($V62,市町村・植物種ごとの樹林点数DB!$A:$G,7,FALSE)),IF($D62="低木・草地",IF($H62="【ススキ】・【ネザサ】・【チガヤ】",45,10),0)))</f>
        <v>0</v>
      </c>
      <c r="Y62" s="24">
        <f t="shared" si="35"/>
        <v>0</v>
      </c>
      <c r="Z62" s="24">
        <f t="shared" si="36"/>
        <v>1</v>
      </c>
      <c r="AA62" s="24">
        <f t="shared" si="37"/>
        <v>1</v>
      </c>
      <c r="AB62" s="24">
        <f t="shared" si="38"/>
        <v>0</v>
      </c>
      <c r="AC62" s="25">
        <f t="shared" si="39"/>
        <v>0</v>
      </c>
      <c r="AD62" s="25">
        <f t="shared" si="40"/>
        <v>0</v>
      </c>
      <c r="AE62" s="25">
        <f t="shared" si="41"/>
        <v>0</v>
      </c>
      <c r="AF62" s="25" t="str">
        <f t="shared" si="42"/>
        <v/>
      </c>
      <c r="AG62" s="25" t="str">
        <f t="shared" si="43"/>
        <v/>
      </c>
      <c r="AH62" s="25" t="str">
        <f t="shared" si="44"/>
        <v/>
      </c>
      <c r="AI62" s="25">
        <f>IF(ISERROR(VLOOKUP(K62,割合DB!$A:$B,2,FALSE))=TRUE,100,VLOOKUP(K62,割合DB!$A:$B,2,FALSE))</f>
        <v>100</v>
      </c>
      <c r="AJ62" s="25">
        <f>IF(ISERROR(VLOOKUP(L62,割合DB!$A:$B,2,FALSE))=TRUE,100,VLOOKUP(L62,割合DB!$A:$B,2,FALSE))</f>
        <v>100</v>
      </c>
      <c r="AK62" s="25">
        <f>IF(ISERROR(VLOOKUP(M62,割合DB!$A:$B,2,FALSE))=TRUE,100,VLOOKUP(M62,割合DB!$A:$B,2,FALSE))</f>
        <v>100</v>
      </c>
      <c r="AL62" s="25">
        <f t="shared" si="45"/>
        <v>0</v>
      </c>
      <c r="AM62" s="18">
        <f t="shared" si="46"/>
        <v>0</v>
      </c>
      <c r="AN62" s="18">
        <f t="shared" si="47"/>
        <v>0</v>
      </c>
      <c r="AO62" s="18">
        <f t="shared" si="16"/>
        <v>0</v>
      </c>
      <c r="AP62" s="18">
        <f>IF($C62="人工面",0,IF($G62="",70,IF($D62="湿性環境",VLOOKUP($G62,環境タイプⅡによる点数DB!$A:$B,2,FALSE),IF($D62="樹林",VLOOKUP($G62,環境タイプⅡによる点数DB!$A:$C,3,FALSE),IF($D62="低木・草地",VLOOKUP($G62,環境タイプⅡによる点数DB!$A:$D,4,FALSE),0)))))</f>
        <v>70</v>
      </c>
      <c r="AQ62" s="24" t="str">
        <f>$H62&amp;"in"&amp;基本情報!$C$13</f>
        <v>in</v>
      </c>
      <c r="AR62" s="24">
        <f t="shared" si="17"/>
        <v>0</v>
      </c>
      <c r="AS62" s="24">
        <f>IF($H62="",0,IF($D62="樹林",IF(ISERROR(VLOOKUP($V62,市町村・植物種ごとの樹林点数DB!$A:$F,6,FALSE))=TRUE,10,VLOOKUP($V62,市町村・植物種ごとの樹林点数DB!$A:$F,6,FALSE)),IF($D62="低木・草地",IF(OR($H62="【ススキ】・【ネザサ】・【チガヤ】",$H62="不明"),45,10),0)))</f>
        <v>0</v>
      </c>
      <c r="AT62" s="24">
        <f t="shared" si="18"/>
        <v>0</v>
      </c>
      <c r="AU62" s="24">
        <f t="shared" si="19"/>
        <v>1</v>
      </c>
      <c r="AV62" s="24">
        <f t="shared" si="20"/>
        <v>0</v>
      </c>
      <c r="AW62" s="24">
        <f t="shared" si="21"/>
        <v>1</v>
      </c>
      <c r="AX62" s="25">
        <f t="shared" si="48"/>
        <v>0</v>
      </c>
      <c r="AY62" s="25">
        <f t="shared" si="49"/>
        <v>0</v>
      </c>
      <c r="AZ62" s="25">
        <f t="shared" si="50"/>
        <v>0</v>
      </c>
      <c r="BA62" s="25" t="str">
        <f t="shared" si="51"/>
        <v/>
      </c>
      <c r="BB62" s="25" t="str">
        <f t="shared" si="52"/>
        <v/>
      </c>
      <c r="BC62" s="25" t="str">
        <f t="shared" si="53"/>
        <v/>
      </c>
      <c r="BD62" s="25">
        <f>IF(ISERROR(VLOOKUP($K62,割合DB!$A:$B,2,FALSE))=TRUE,0,VLOOKUP($K62,割合DB!$A:$B,2,FALSE))</f>
        <v>0</v>
      </c>
      <c r="BE62" s="25">
        <f>IF(ISERROR(VLOOKUP($L62,割合DB!$A:$B,2,FALSE))=TRUE,0,VLOOKUP($L62,割合DB!$A:$B,2,FALSE))</f>
        <v>0</v>
      </c>
      <c r="BF62" s="25">
        <f>IF(ISERROR(VLOOKUP($M62,割合DB!$A:$B,2,FALSE))=TRUE,0,VLOOKUP($M62,割合DB!$A:$B,2,FALSE))</f>
        <v>0</v>
      </c>
      <c r="BG62" s="25">
        <f t="shared" si="54"/>
        <v>100</v>
      </c>
      <c r="BH62" s="18">
        <f t="shared" si="55"/>
        <v>100</v>
      </c>
      <c r="BI62" s="18">
        <f t="shared" si="32"/>
        <v>1</v>
      </c>
      <c r="BJ62" s="176"/>
      <c r="BK62" s="176"/>
      <c r="BL62" s="176"/>
      <c r="BM62" s="176"/>
      <c r="BN62" s="176"/>
      <c r="BO62" s="176"/>
      <c r="BP62" s="176"/>
      <c r="BQ62" s="176"/>
      <c r="BR62" s="176"/>
      <c r="BS62" s="176"/>
      <c r="BT62" s="176"/>
      <c r="BU62" s="176"/>
      <c r="BV62" s="176"/>
      <c r="BW62" s="176"/>
      <c r="BX62" s="176"/>
      <c r="BY62" s="176"/>
      <c r="BZ62" s="176"/>
      <c r="CA62" s="176"/>
    </row>
    <row r="63" spans="1:79" ht="27" customHeight="1" x14ac:dyDescent="0.15">
      <c r="A63" s="30" t="s">
        <v>555</v>
      </c>
      <c r="B63" s="31" t="str">
        <f>IF('環境条件(竣工時)'!B63="","",'環境条件(竣工時)'!B63)</f>
        <v/>
      </c>
      <c r="C63" s="31" t="str">
        <f>IF('環境条件(竣工時)'!C63="","",'環境条件(竣工時)'!C63)</f>
        <v/>
      </c>
      <c r="D63" s="31" t="str">
        <f>IF('環境条件(竣工時)'!D63="","",'環境条件(竣工時)'!D63)</f>
        <v/>
      </c>
      <c r="E63" s="31" t="str">
        <f>IF('環境条件(竣工時)'!E63="","",'環境条件(竣工時)'!E63)</f>
        <v/>
      </c>
      <c r="F63" s="30" t="str">
        <f>IF('環境条件(竣工時)'!F63="","",'環境条件(竣工時)'!F63)</f>
        <v/>
      </c>
      <c r="G63" s="21"/>
      <c r="H63" s="22"/>
      <c r="I63" s="22"/>
      <c r="J63" s="22"/>
      <c r="K63" s="23"/>
      <c r="L63" s="23"/>
      <c r="M63" s="23"/>
      <c r="N63" s="146"/>
      <c r="O63" s="40">
        <f t="shared" si="33"/>
        <v>0</v>
      </c>
      <c r="P63" s="183" t="str">
        <f t="shared" si="34"/>
        <v/>
      </c>
      <c r="S63" s="18">
        <f t="shared" si="31"/>
        <v>0</v>
      </c>
      <c r="T63" s="18">
        <f t="shared" si="1"/>
        <v>0</v>
      </c>
      <c r="U63" s="18">
        <f>IF(C63="人工面",0,IF(G63="",0,IF(D63="湿性環境",VLOOKUP(G63,環境タイプⅡによる点数DB!A:B,2,FALSE),IF(D63="樹林",VLOOKUP(G63,環境タイプⅡによる点数DB!A:C,3,FALSE),IF(D63="低木・草地",VLOOKUP(G63,環境タイプⅡによる点数DB!A:D,4,FALSE),0)))))</f>
        <v>0</v>
      </c>
      <c r="V63" s="24" t="str">
        <f>$H63&amp;"in"&amp;基本情報!$C$13</f>
        <v>in</v>
      </c>
      <c r="W63" s="24">
        <f t="shared" si="2"/>
        <v>0</v>
      </c>
      <c r="X63" s="24">
        <f>IF($H63="",0,IF($D63="樹林",IF(ISERROR(VLOOKUP($V63,市町村・植物種ごとの樹林点数DB!$A:$G,7,FALSE))=TRUE,20,VLOOKUP($V63,市町村・植物種ごとの樹林点数DB!$A:$G,7,FALSE)),IF($D63="低木・草地",IF($H63="【ススキ】・【ネザサ】・【チガヤ】",45,10),0)))</f>
        <v>0</v>
      </c>
      <c r="Y63" s="24">
        <f t="shared" si="35"/>
        <v>0</v>
      </c>
      <c r="Z63" s="24">
        <f t="shared" si="36"/>
        <v>1</v>
      </c>
      <c r="AA63" s="24">
        <f t="shared" si="37"/>
        <v>1</v>
      </c>
      <c r="AB63" s="24">
        <f t="shared" si="38"/>
        <v>0</v>
      </c>
      <c r="AC63" s="25">
        <f t="shared" si="39"/>
        <v>0</v>
      </c>
      <c r="AD63" s="25">
        <f t="shared" si="40"/>
        <v>0</v>
      </c>
      <c r="AE63" s="25">
        <f t="shared" si="41"/>
        <v>0</v>
      </c>
      <c r="AF63" s="25" t="str">
        <f t="shared" si="42"/>
        <v/>
      </c>
      <c r="AG63" s="25" t="str">
        <f t="shared" si="43"/>
        <v/>
      </c>
      <c r="AH63" s="25" t="str">
        <f t="shared" si="44"/>
        <v/>
      </c>
      <c r="AI63" s="25">
        <f>IF(ISERROR(VLOOKUP(K63,割合DB!$A:$B,2,FALSE))=TRUE,100,VLOOKUP(K63,割合DB!$A:$B,2,FALSE))</f>
        <v>100</v>
      </c>
      <c r="AJ63" s="25">
        <f>IF(ISERROR(VLOOKUP(L63,割合DB!$A:$B,2,FALSE))=TRUE,100,VLOOKUP(L63,割合DB!$A:$B,2,FALSE))</f>
        <v>100</v>
      </c>
      <c r="AK63" s="25">
        <f>IF(ISERROR(VLOOKUP(M63,割合DB!$A:$B,2,FALSE))=TRUE,100,VLOOKUP(M63,割合DB!$A:$B,2,FALSE))</f>
        <v>100</v>
      </c>
      <c r="AL63" s="25">
        <f t="shared" si="45"/>
        <v>0</v>
      </c>
      <c r="AM63" s="18">
        <f t="shared" si="46"/>
        <v>0</v>
      </c>
      <c r="AN63" s="18">
        <f t="shared" si="47"/>
        <v>0</v>
      </c>
      <c r="AO63" s="18">
        <f t="shared" si="16"/>
        <v>0</v>
      </c>
      <c r="AP63" s="18">
        <f>IF($C63="人工面",0,IF($G63="",70,IF($D63="湿性環境",VLOOKUP($G63,環境タイプⅡによる点数DB!$A:$B,2,FALSE),IF($D63="樹林",VLOOKUP($G63,環境タイプⅡによる点数DB!$A:$C,3,FALSE),IF($D63="低木・草地",VLOOKUP($G63,環境タイプⅡによる点数DB!$A:$D,4,FALSE),0)))))</f>
        <v>70</v>
      </c>
      <c r="AQ63" s="24" t="str">
        <f>$H63&amp;"in"&amp;基本情報!$C$13</f>
        <v>in</v>
      </c>
      <c r="AR63" s="24">
        <f t="shared" si="17"/>
        <v>0</v>
      </c>
      <c r="AS63" s="24">
        <f>IF($H63="",0,IF($D63="樹林",IF(ISERROR(VLOOKUP($V63,市町村・植物種ごとの樹林点数DB!$A:$F,6,FALSE))=TRUE,10,VLOOKUP($V63,市町村・植物種ごとの樹林点数DB!$A:$F,6,FALSE)),IF($D63="低木・草地",IF(OR($H63="【ススキ】・【ネザサ】・【チガヤ】",$H63="不明"),45,10),0)))</f>
        <v>0</v>
      </c>
      <c r="AT63" s="24">
        <f t="shared" si="18"/>
        <v>0</v>
      </c>
      <c r="AU63" s="24">
        <f t="shared" si="19"/>
        <v>1</v>
      </c>
      <c r="AV63" s="24">
        <f t="shared" si="20"/>
        <v>0</v>
      </c>
      <c r="AW63" s="24">
        <f t="shared" si="21"/>
        <v>1</v>
      </c>
      <c r="AX63" s="25">
        <f t="shared" si="48"/>
        <v>0</v>
      </c>
      <c r="AY63" s="25">
        <f t="shared" si="49"/>
        <v>0</v>
      </c>
      <c r="AZ63" s="25">
        <f t="shared" si="50"/>
        <v>0</v>
      </c>
      <c r="BA63" s="25" t="str">
        <f t="shared" si="51"/>
        <v/>
      </c>
      <c r="BB63" s="25" t="str">
        <f t="shared" si="52"/>
        <v/>
      </c>
      <c r="BC63" s="25" t="str">
        <f t="shared" si="53"/>
        <v/>
      </c>
      <c r="BD63" s="25">
        <f>IF(ISERROR(VLOOKUP($K63,割合DB!$A:$B,2,FALSE))=TRUE,0,VLOOKUP($K63,割合DB!$A:$B,2,FALSE))</f>
        <v>0</v>
      </c>
      <c r="BE63" s="25">
        <f>IF(ISERROR(VLOOKUP($L63,割合DB!$A:$B,2,FALSE))=TRUE,0,VLOOKUP($L63,割合DB!$A:$B,2,FALSE))</f>
        <v>0</v>
      </c>
      <c r="BF63" s="25">
        <f>IF(ISERROR(VLOOKUP($M63,割合DB!$A:$B,2,FALSE))=TRUE,0,VLOOKUP($M63,割合DB!$A:$B,2,FALSE))</f>
        <v>0</v>
      </c>
      <c r="BG63" s="25">
        <f t="shared" si="54"/>
        <v>100</v>
      </c>
      <c r="BH63" s="18">
        <f t="shared" si="55"/>
        <v>100</v>
      </c>
      <c r="BI63" s="18">
        <f t="shared" si="32"/>
        <v>1</v>
      </c>
      <c r="BJ63" s="176"/>
      <c r="BK63" s="176"/>
      <c r="BL63" s="176"/>
      <c r="BM63" s="176"/>
      <c r="BN63" s="176"/>
      <c r="BO63" s="176"/>
      <c r="BP63" s="176"/>
      <c r="BQ63" s="176"/>
      <c r="BR63" s="176"/>
      <c r="BS63" s="176"/>
      <c r="BT63" s="176"/>
      <c r="BU63" s="176"/>
      <c r="BV63" s="176"/>
      <c r="BW63" s="176"/>
      <c r="BX63" s="176"/>
      <c r="BY63" s="176"/>
      <c r="BZ63" s="176"/>
      <c r="CA63" s="176"/>
    </row>
    <row r="64" spans="1:79" ht="27" customHeight="1" x14ac:dyDescent="0.15">
      <c r="A64" s="30" t="s">
        <v>556</v>
      </c>
      <c r="B64" s="31" t="str">
        <f>IF('環境条件(竣工時)'!B64="","",'環境条件(竣工時)'!B64)</f>
        <v/>
      </c>
      <c r="C64" s="31" t="str">
        <f>IF('環境条件(竣工時)'!C64="","",'環境条件(竣工時)'!C64)</f>
        <v/>
      </c>
      <c r="D64" s="31" t="str">
        <f>IF('環境条件(竣工時)'!D64="","",'環境条件(竣工時)'!D64)</f>
        <v/>
      </c>
      <c r="E64" s="31" t="str">
        <f>IF('環境条件(竣工時)'!E64="","",'環境条件(竣工時)'!E64)</f>
        <v/>
      </c>
      <c r="F64" s="30" t="str">
        <f>IF('環境条件(竣工時)'!F64="","",'環境条件(竣工時)'!F64)</f>
        <v/>
      </c>
      <c r="G64" s="21"/>
      <c r="H64" s="22"/>
      <c r="I64" s="22"/>
      <c r="J64" s="22"/>
      <c r="K64" s="23"/>
      <c r="L64" s="23"/>
      <c r="M64" s="23"/>
      <c r="N64" s="146"/>
      <c r="O64" s="40">
        <f t="shared" si="33"/>
        <v>0</v>
      </c>
      <c r="P64" s="183" t="str">
        <f t="shared" si="34"/>
        <v/>
      </c>
      <c r="S64" s="18">
        <f t="shared" si="31"/>
        <v>0</v>
      </c>
      <c r="T64" s="18">
        <f t="shared" si="1"/>
        <v>0</v>
      </c>
      <c r="U64" s="18">
        <f>IF(C64="人工面",0,IF(G64="",0,IF(D64="湿性環境",VLOOKUP(G64,環境タイプⅡによる点数DB!A:B,2,FALSE),IF(D64="樹林",VLOOKUP(G64,環境タイプⅡによる点数DB!A:C,3,FALSE),IF(D64="低木・草地",VLOOKUP(G64,環境タイプⅡによる点数DB!A:D,4,FALSE),0)))))</f>
        <v>0</v>
      </c>
      <c r="V64" s="24" t="str">
        <f>$H64&amp;"in"&amp;基本情報!$C$13</f>
        <v>in</v>
      </c>
      <c r="W64" s="24">
        <f t="shared" si="2"/>
        <v>0</v>
      </c>
      <c r="X64" s="24">
        <f>IF($H64="",0,IF($D64="樹林",IF(ISERROR(VLOOKUP($V64,市町村・植物種ごとの樹林点数DB!$A:$G,7,FALSE))=TRUE,20,VLOOKUP($V64,市町村・植物種ごとの樹林点数DB!$A:$G,7,FALSE)),IF($D64="低木・草地",IF($H64="【ススキ】・【ネザサ】・【チガヤ】",45,10),0)))</f>
        <v>0</v>
      </c>
      <c r="Y64" s="24">
        <f t="shared" si="35"/>
        <v>0</v>
      </c>
      <c r="Z64" s="24">
        <f t="shared" si="36"/>
        <v>1</v>
      </c>
      <c r="AA64" s="24">
        <f t="shared" si="37"/>
        <v>1</v>
      </c>
      <c r="AB64" s="24">
        <f t="shared" si="38"/>
        <v>0</v>
      </c>
      <c r="AC64" s="25">
        <f t="shared" si="39"/>
        <v>0</v>
      </c>
      <c r="AD64" s="25">
        <f t="shared" si="40"/>
        <v>0</v>
      </c>
      <c r="AE64" s="25">
        <f t="shared" si="41"/>
        <v>0</v>
      </c>
      <c r="AF64" s="25" t="str">
        <f t="shared" si="42"/>
        <v/>
      </c>
      <c r="AG64" s="25" t="str">
        <f t="shared" si="43"/>
        <v/>
      </c>
      <c r="AH64" s="25" t="str">
        <f t="shared" si="44"/>
        <v/>
      </c>
      <c r="AI64" s="25">
        <f>IF(ISERROR(VLOOKUP(K64,割合DB!$A:$B,2,FALSE))=TRUE,100,VLOOKUP(K64,割合DB!$A:$B,2,FALSE))</f>
        <v>100</v>
      </c>
      <c r="AJ64" s="25">
        <f>IF(ISERROR(VLOOKUP(L64,割合DB!$A:$B,2,FALSE))=TRUE,100,VLOOKUP(L64,割合DB!$A:$B,2,FALSE))</f>
        <v>100</v>
      </c>
      <c r="AK64" s="25">
        <f>IF(ISERROR(VLOOKUP(M64,割合DB!$A:$B,2,FALSE))=TRUE,100,VLOOKUP(M64,割合DB!$A:$B,2,FALSE))</f>
        <v>100</v>
      </c>
      <c r="AL64" s="25">
        <f t="shared" si="45"/>
        <v>0</v>
      </c>
      <c r="AM64" s="18">
        <f t="shared" si="46"/>
        <v>0</v>
      </c>
      <c r="AN64" s="18">
        <f t="shared" si="47"/>
        <v>0</v>
      </c>
      <c r="AO64" s="18">
        <f t="shared" si="16"/>
        <v>0</v>
      </c>
      <c r="AP64" s="18">
        <f>IF($C64="人工面",0,IF($G64="",70,IF($D64="湿性環境",VLOOKUP($G64,環境タイプⅡによる点数DB!$A:$B,2,FALSE),IF($D64="樹林",VLOOKUP($G64,環境タイプⅡによる点数DB!$A:$C,3,FALSE),IF($D64="低木・草地",VLOOKUP($G64,環境タイプⅡによる点数DB!$A:$D,4,FALSE),0)))))</f>
        <v>70</v>
      </c>
      <c r="AQ64" s="24" t="str">
        <f>$H64&amp;"in"&amp;基本情報!$C$13</f>
        <v>in</v>
      </c>
      <c r="AR64" s="24">
        <f t="shared" si="17"/>
        <v>0</v>
      </c>
      <c r="AS64" s="24">
        <f>IF($H64="",0,IF($D64="樹林",IF(ISERROR(VLOOKUP($V64,市町村・植物種ごとの樹林点数DB!$A:$F,6,FALSE))=TRUE,10,VLOOKUP($V64,市町村・植物種ごとの樹林点数DB!$A:$F,6,FALSE)),IF($D64="低木・草地",IF(OR($H64="【ススキ】・【ネザサ】・【チガヤ】",$H64="不明"),45,10),0)))</f>
        <v>0</v>
      </c>
      <c r="AT64" s="24">
        <f t="shared" si="18"/>
        <v>0</v>
      </c>
      <c r="AU64" s="24">
        <f t="shared" si="19"/>
        <v>1</v>
      </c>
      <c r="AV64" s="24">
        <f t="shared" si="20"/>
        <v>0</v>
      </c>
      <c r="AW64" s="24">
        <f t="shared" si="21"/>
        <v>1</v>
      </c>
      <c r="AX64" s="25">
        <f t="shared" si="48"/>
        <v>0</v>
      </c>
      <c r="AY64" s="25">
        <f t="shared" si="49"/>
        <v>0</v>
      </c>
      <c r="AZ64" s="25">
        <f t="shared" si="50"/>
        <v>0</v>
      </c>
      <c r="BA64" s="25" t="str">
        <f t="shared" si="51"/>
        <v/>
      </c>
      <c r="BB64" s="25" t="str">
        <f t="shared" si="52"/>
        <v/>
      </c>
      <c r="BC64" s="25" t="str">
        <f t="shared" si="53"/>
        <v/>
      </c>
      <c r="BD64" s="25">
        <f>IF(ISERROR(VLOOKUP($K64,割合DB!$A:$B,2,FALSE))=TRUE,0,VLOOKUP($K64,割合DB!$A:$B,2,FALSE))</f>
        <v>0</v>
      </c>
      <c r="BE64" s="25">
        <f>IF(ISERROR(VLOOKUP($L64,割合DB!$A:$B,2,FALSE))=TRUE,0,VLOOKUP($L64,割合DB!$A:$B,2,FALSE))</f>
        <v>0</v>
      </c>
      <c r="BF64" s="25">
        <f>IF(ISERROR(VLOOKUP($M64,割合DB!$A:$B,2,FALSE))=TRUE,0,VLOOKUP($M64,割合DB!$A:$B,2,FALSE))</f>
        <v>0</v>
      </c>
      <c r="BG64" s="25">
        <f t="shared" si="54"/>
        <v>100</v>
      </c>
      <c r="BH64" s="18">
        <f t="shared" si="55"/>
        <v>100</v>
      </c>
      <c r="BI64" s="18">
        <f t="shared" si="32"/>
        <v>1</v>
      </c>
      <c r="BJ64" s="176"/>
      <c r="BK64" s="176"/>
      <c r="BL64" s="176"/>
      <c r="BM64" s="176"/>
      <c r="BN64" s="176"/>
      <c r="BO64" s="176"/>
      <c r="BP64" s="176"/>
      <c r="BQ64" s="176"/>
      <c r="BR64" s="176"/>
      <c r="BS64" s="176"/>
      <c r="BT64" s="176"/>
      <c r="BU64" s="176"/>
      <c r="BV64" s="176"/>
      <c r="BW64" s="176"/>
      <c r="BX64" s="176"/>
      <c r="BY64" s="176"/>
      <c r="BZ64" s="176"/>
      <c r="CA64" s="176"/>
    </row>
    <row r="65" spans="1:79" ht="27" customHeight="1" x14ac:dyDescent="0.15">
      <c r="A65" s="30" t="s">
        <v>557</v>
      </c>
      <c r="B65" s="31" t="str">
        <f>IF('環境条件(竣工時)'!B65="","",'環境条件(竣工時)'!B65)</f>
        <v/>
      </c>
      <c r="C65" s="31" t="str">
        <f>IF('環境条件(竣工時)'!C65="","",'環境条件(竣工時)'!C65)</f>
        <v/>
      </c>
      <c r="D65" s="31" t="str">
        <f>IF('環境条件(竣工時)'!D65="","",'環境条件(竣工時)'!D65)</f>
        <v/>
      </c>
      <c r="E65" s="31" t="str">
        <f>IF('環境条件(竣工時)'!E65="","",'環境条件(竣工時)'!E65)</f>
        <v/>
      </c>
      <c r="F65" s="30" t="str">
        <f>IF('環境条件(竣工時)'!F65="","",'環境条件(竣工時)'!F65)</f>
        <v/>
      </c>
      <c r="G65" s="21"/>
      <c r="H65" s="22"/>
      <c r="I65" s="22"/>
      <c r="J65" s="22"/>
      <c r="K65" s="23"/>
      <c r="L65" s="23"/>
      <c r="M65" s="23"/>
      <c r="N65" s="146"/>
      <c r="O65" s="40">
        <f t="shared" si="33"/>
        <v>0</v>
      </c>
      <c r="P65" s="183" t="str">
        <f t="shared" si="34"/>
        <v/>
      </c>
      <c r="S65" s="18">
        <f t="shared" si="31"/>
        <v>0</v>
      </c>
      <c r="T65" s="18">
        <f t="shared" si="1"/>
        <v>0</v>
      </c>
      <c r="U65" s="18">
        <f>IF(C65="人工面",0,IF(G65="",0,IF(D65="湿性環境",VLOOKUP(G65,環境タイプⅡによる点数DB!A:B,2,FALSE),IF(D65="樹林",VLOOKUP(G65,環境タイプⅡによる点数DB!A:C,3,FALSE),IF(D65="低木・草地",VLOOKUP(G65,環境タイプⅡによる点数DB!A:D,4,FALSE),0)))))</f>
        <v>0</v>
      </c>
      <c r="V65" s="24" t="str">
        <f>$H65&amp;"in"&amp;基本情報!$C$13</f>
        <v>in</v>
      </c>
      <c r="W65" s="24">
        <f t="shared" si="2"/>
        <v>0</v>
      </c>
      <c r="X65" s="24">
        <f>IF($H65="",0,IF($D65="樹林",IF(ISERROR(VLOOKUP($V65,市町村・植物種ごとの樹林点数DB!$A:$G,7,FALSE))=TRUE,20,VLOOKUP($V65,市町村・植物種ごとの樹林点数DB!$A:$G,7,FALSE)),IF($D65="低木・草地",IF($H65="【ススキ】・【ネザサ】・【チガヤ】",45,10),0)))</f>
        <v>0</v>
      </c>
      <c r="Y65" s="24">
        <f t="shared" si="35"/>
        <v>0</v>
      </c>
      <c r="Z65" s="24">
        <f t="shared" si="36"/>
        <v>1</v>
      </c>
      <c r="AA65" s="24">
        <f t="shared" si="37"/>
        <v>1</v>
      </c>
      <c r="AB65" s="24">
        <f t="shared" si="38"/>
        <v>0</v>
      </c>
      <c r="AC65" s="25">
        <f t="shared" si="39"/>
        <v>0</v>
      </c>
      <c r="AD65" s="25">
        <f t="shared" si="40"/>
        <v>0</v>
      </c>
      <c r="AE65" s="25">
        <f t="shared" si="41"/>
        <v>0</v>
      </c>
      <c r="AF65" s="25" t="str">
        <f t="shared" si="42"/>
        <v/>
      </c>
      <c r="AG65" s="25" t="str">
        <f t="shared" si="43"/>
        <v/>
      </c>
      <c r="AH65" s="25" t="str">
        <f t="shared" si="44"/>
        <v/>
      </c>
      <c r="AI65" s="25">
        <f>IF(ISERROR(VLOOKUP(K65,割合DB!$A:$B,2,FALSE))=TRUE,100,VLOOKUP(K65,割合DB!$A:$B,2,FALSE))</f>
        <v>100</v>
      </c>
      <c r="AJ65" s="25">
        <f>IF(ISERROR(VLOOKUP(L65,割合DB!$A:$B,2,FALSE))=TRUE,100,VLOOKUP(L65,割合DB!$A:$B,2,FALSE))</f>
        <v>100</v>
      </c>
      <c r="AK65" s="25">
        <f>IF(ISERROR(VLOOKUP(M65,割合DB!$A:$B,2,FALSE))=TRUE,100,VLOOKUP(M65,割合DB!$A:$B,2,FALSE))</f>
        <v>100</v>
      </c>
      <c r="AL65" s="25">
        <f t="shared" si="45"/>
        <v>0</v>
      </c>
      <c r="AM65" s="18">
        <f t="shared" si="46"/>
        <v>0</v>
      </c>
      <c r="AN65" s="18">
        <f t="shared" si="47"/>
        <v>0</v>
      </c>
      <c r="AO65" s="18">
        <f t="shared" si="16"/>
        <v>0</v>
      </c>
      <c r="AP65" s="18">
        <f>IF($C65="人工面",0,IF($G65="",70,IF($D65="湿性環境",VLOOKUP($G65,環境タイプⅡによる点数DB!$A:$B,2,FALSE),IF($D65="樹林",VLOOKUP($G65,環境タイプⅡによる点数DB!$A:$C,3,FALSE),IF($D65="低木・草地",VLOOKUP($G65,環境タイプⅡによる点数DB!$A:$D,4,FALSE),0)))))</f>
        <v>70</v>
      </c>
      <c r="AQ65" s="24" t="str">
        <f>$H65&amp;"in"&amp;基本情報!$C$13</f>
        <v>in</v>
      </c>
      <c r="AR65" s="24">
        <f t="shared" si="17"/>
        <v>0</v>
      </c>
      <c r="AS65" s="24">
        <f>IF($H65="",0,IF($D65="樹林",IF(ISERROR(VLOOKUP($V65,市町村・植物種ごとの樹林点数DB!$A:$F,6,FALSE))=TRUE,10,VLOOKUP($V65,市町村・植物種ごとの樹林点数DB!$A:$F,6,FALSE)),IF($D65="低木・草地",IF(OR($H65="【ススキ】・【ネザサ】・【チガヤ】",$H65="不明"),45,10),0)))</f>
        <v>0</v>
      </c>
      <c r="AT65" s="24">
        <f t="shared" si="18"/>
        <v>0</v>
      </c>
      <c r="AU65" s="24">
        <f t="shared" si="19"/>
        <v>1</v>
      </c>
      <c r="AV65" s="24">
        <f t="shared" si="20"/>
        <v>0</v>
      </c>
      <c r="AW65" s="24">
        <f t="shared" si="21"/>
        <v>1</v>
      </c>
      <c r="AX65" s="25">
        <f t="shared" si="48"/>
        <v>0</v>
      </c>
      <c r="AY65" s="25">
        <f t="shared" si="49"/>
        <v>0</v>
      </c>
      <c r="AZ65" s="25">
        <f t="shared" si="50"/>
        <v>0</v>
      </c>
      <c r="BA65" s="25" t="str">
        <f t="shared" si="51"/>
        <v/>
      </c>
      <c r="BB65" s="25" t="str">
        <f t="shared" si="52"/>
        <v/>
      </c>
      <c r="BC65" s="25" t="str">
        <f t="shared" si="53"/>
        <v/>
      </c>
      <c r="BD65" s="25">
        <f>IF(ISERROR(VLOOKUP($K65,割合DB!$A:$B,2,FALSE))=TRUE,0,VLOOKUP($K65,割合DB!$A:$B,2,FALSE))</f>
        <v>0</v>
      </c>
      <c r="BE65" s="25">
        <f>IF(ISERROR(VLOOKUP($L65,割合DB!$A:$B,2,FALSE))=TRUE,0,VLOOKUP($L65,割合DB!$A:$B,2,FALSE))</f>
        <v>0</v>
      </c>
      <c r="BF65" s="25">
        <f>IF(ISERROR(VLOOKUP($M65,割合DB!$A:$B,2,FALSE))=TRUE,0,VLOOKUP($M65,割合DB!$A:$B,2,FALSE))</f>
        <v>0</v>
      </c>
      <c r="BG65" s="25">
        <f t="shared" si="54"/>
        <v>100</v>
      </c>
      <c r="BH65" s="18">
        <f t="shared" si="55"/>
        <v>100</v>
      </c>
      <c r="BI65" s="18">
        <f t="shared" si="32"/>
        <v>1</v>
      </c>
      <c r="BJ65" s="176"/>
      <c r="BK65" s="176"/>
      <c r="BL65" s="176"/>
      <c r="BM65" s="176"/>
      <c r="BN65" s="176"/>
      <c r="BO65" s="176"/>
      <c r="BP65" s="176"/>
      <c r="BQ65" s="176"/>
      <c r="BR65" s="176"/>
      <c r="BS65" s="176"/>
      <c r="BT65" s="176"/>
      <c r="BU65" s="176"/>
      <c r="BV65" s="176"/>
      <c r="BW65" s="176"/>
      <c r="BX65" s="176"/>
      <c r="BY65" s="176"/>
      <c r="BZ65" s="176"/>
      <c r="CA65" s="176"/>
    </row>
    <row r="66" spans="1:79" ht="27" customHeight="1" x14ac:dyDescent="0.15">
      <c r="A66" s="30" t="s">
        <v>558</v>
      </c>
      <c r="B66" s="31" t="str">
        <f>IF('環境条件(竣工時)'!B66="","",'環境条件(竣工時)'!B66)</f>
        <v/>
      </c>
      <c r="C66" s="31" t="str">
        <f>IF('環境条件(竣工時)'!C66="","",'環境条件(竣工時)'!C66)</f>
        <v/>
      </c>
      <c r="D66" s="31" t="str">
        <f>IF('環境条件(竣工時)'!D66="","",'環境条件(竣工時)'!D66)</f>
        <v/>
      </c>
      <c r="E66" s="31" t="str">
        <f>IF('環境条件(竣工時)'!E66="","",'環境条件(竣工時)'!E66)</f>
        <v/>
      </c>
      <c r="F66" s="30" t="str">
        <f>IF('環境条件(竣工時)'!F66="","",'環境条件(竣工時)'!F66)</f>
        <v/>
      </c>
      <c r="G66" s="21"/>
      <c r="H66" s="22"/>
      <c r="I66" s="22"/>
      <c r="J66" s="22"/>
      <c r="K66" s="23"/>
      <c r="L66" s="23"/>
      <c r="M66" s="23"/>
      <c r="N66" s="146"/>
      <c r="O66" s="40">
        <f t="shared" si="33"/>
        <v>0</v>
      </c>
      <c r="P66" s="183" t="str">
        <f t="shared" si="34"/>
        <v/>
      </c>
      <c r="S66" s="18">
        <f t="shared" si="31"/>
        <v>0</v>
      </c>
      <c r="T66" s="18">
        <f t="shared" si="1"/>
        <v>0</v>
      </c>
      <c r="U66" s="18">
        <f>IF(C66="人工面",0,IF(G66="",0,IF(D66="湿性環境",VLOOKUP(G66,環境タイプⅡによる点数DB!A:B,2,FALSE),IF(D66="樹林",VLOOKUP(G66,環境タイプⅡによる点数DB!A:C,3,FALSE),IF(D66="低木・草地",VLOOKUP(G66,環境タイプⅡによる点数DB!A:D,4,FALSE),0)))))</f>
        <v>0</v>
      </c>
      <c r="V66" s="24" t="str">
        <f>$H66&amp;"in"&amp;基本情報!$C$13</f>
        <v>in</v>
      </c>
      <c r="W66" s="24">
        <f t="shared" si="2"/>
        <v>0</v>
      </c>
      <c r="X66" s="24">
        <f>IF($H66="",0,IF($D66="樹林",IF(ISERROR(VLOOKUP($V66,市町村・植物種ごとの樹林点数DB!$A:$G,7,FALSE))=TRUE,20,VLOOKUP($V66,市町村・植物種ごとの樹林点数DB!$A:$G,7,FALSE)),IF($D66="低木・草地",IF($H66="【ススキ】・【ネザサ】・【チガヤ】",45,10),0)))</f>
        <v>0</v>
      </c>
      <c r="Y66" s="24">
        <f t="shared" si="35"/>
        <v>0</v>
      </c>
      <c r="Z66" s="24">
        <f t="shared" si="36"/>
        <v>1</v>
      </c>
      <c r="AA66" s="24">
        <f t="shared" si="37"/>
        <v>1</v>
      </c>
      <c r="AB66" s="24">
        <f t="shared" si="38"/>
        <v>0</v>
      </c>
      <c r="AC66" s="25">
        <f t="shared" si="39"/>
        <v>0</v>
      </c>
      <c r="AD66" s="25">
        <f t="shared" si="40"/>
        <v>0</v>
      </c>
      <c r="AE66" s="25">
        <f t="shared" si="41"/>
        <v>0</v>
      </c>
      <c r="AF66" s="25" t="str">
        <f t="shared" si="42"/>
        <v/>
      </c>
      <c r="AG66" s="25" t="str">
        <f t="shared" si="43"/>
        <v/>
      </c>
      <c r="AH66" s="25" t="str">
        <f t="shared" si="44"/>
        <v/>
      </c>
      <c r="AI66" s="25">
        <f>IF(ISERROR(VLOOKUP(K66,割合DB!$A:$B,2,FALSE))=TRUE,100,VLOOKUP(K66,割合DB!$A:$B,2,FALSE))</f>
        <v>100</v>
      </c>
      <c r="AJ66" s="25">
        <f>IF(ISERROR(VLOOKUP(L66,割合DB!$A:$B,2,FALSE))=TRUE,100,VLOOKUP(L66,割合DB!$A:$B,2,FALSE))</f>
        <v>100</v>
      </c>
      <c r="AK66" s="25">
        <f>IF(ISERROR(VLOOKUP(M66,割合DB!$A:$B,2,FALSE))=TRUE,100,VLOOKUP(M66,割合DB!$A:$B,2,FALSE))</f>
        <v>100</v>
      </c>
      <c r="AL66" s="25">
        <f t="shared" si="45"/>
        <v>0</v>
      </c>
      <c r="AM66" s="18">
        <f t="shared" si="46"/>
        <v>0</v>
      </c>
      <c r="AN66" s="18">
        <f t="shared" si="47"/>
        <v>0</v>
      </c>
      <c r="AO66" s="18">
        <f t="shared" si="16"/>
        <v>0</v>
      </c>
      <c r="AP66" s="18">
        <f>IF($C66="人工面",0,IF($G66="",70,IF($D66="湿性環境",VLOOKUP($G66,環境タイプⅡによる点数DB!$A:$B,2,FALSE),IF($D66="樹林",VLOOKUP($G66,環境タイプⅡによる点数DB!$A:$C,3,FALSE),IF($D66="低木・草地",VLOOKUP($G66,環境タイプⅡによる点数DB!$A:$D,4,FALSE),0)))))</f>
        <v>70</v>
      </c>
      <c r="AQ66" s="24" t="str">
        <f>$H66&amp;"in"&amp;基本情報!$C$13</f>
        <v>in</v>
      </c>
      <c r="AR66" s="24">
        <f t="shared" si="17"/>
        <v>0</v>
      </c>
      <c r="AS66" s="24">
        <f>IF($H66="",0,IF($D66="樹林",IF(ISERROR(VLOOKUP($V66,市町村・植物種ごとの樹林点数DB!$A:$F,6,FALSE))=TRUE,10,VLOOKUP($V66,市町村・植物種ごとの樹林点数DB!$A:$F,6,FALSE)),IF($D66="低木・草地",IF(OR($H66="【ススキ】・【ネザサ】・【チガヤ】",$H66="不明"),45,10),0)))</f>
        <v>0</v>
      </c>
      <c r="AT66" s="24">
        <f t="shared" si="18"/>
        <v>0</v>
      </c>
      <c r="AU66" s="24">
        <f t="shared" si="19"/>
        <v>1</v>
      </c>
      <c r="AV66" s="24">
        <f t="shared" si="20"/>
        <v>0</v>
      </c>
      <c r="AW66" s="24">
        <f t="shared" si="21"/>
        <v>1</v>
      </c>
      <c r="AX66" s="25">
        <f t="shared" si="48"/>
        <v>0</v>
      </c>
      <c r="AY66" s="25">
        <f t="shared" si="49"/>
        <v>0</v>
      </c>
      <c r="AZ66" s="25">
        <f t="shared" si="50"/>
        <v>0</v>
      </c>
      <c r="BA66" s="25" t="str">
        <f t="shared" si="51"/>
        <v/>
      </c>
      <c r="BB66" s="25" t="str">
        <f t="shared" si="52"/>
        <v/>
      </c>
      <c r="BC66" s="25" t="str">
        <f t="shared" si="53"/>
        <v/>
      </c>
      <c r="BD66" s="25">
        <f>IF(ISERROR(VLOOKUP($K66,割合DB!$A:$B,2,FALSE))=TRUE,0,VLOOKUP($K66,割合DB!$A:$B,2,FALSE))</f>
        <v>0</v>
      </c>
      <c r="BE66" s="25">
        <f>IF(ISERROR(VLOOKUP($L66,割合DB!$A:$B,2,FALSE))=TRUE,0,VLOOKUP($L66,割合DB!$A:$B,2,FALSE))</f>
        <v>0</v>
      </c>
      <c r="BF66" s="25">
        <f>IF(ISERROR(VLOOKUP($M66,割合DB!$A:$B,2,FALSE))=TRUE,0,VLOOKUP($M66,割合DB!$A:$B,2,FALSE))</f>
        <v>0</v>
      </c>
      <c r="BG66" s="25">
        <f t="shared" si="54"/>
        <v>100</v>
      </c>
      <c r="BH66" s="18">
        <f t="shared" si="55"/>
        <v>100</v>
      </c>
      <c r="BI66" s="18">
        <f t="shared" si="32"/>
        <v>1</v>
      </c>
      <c r="BJ66" s="176"/>
      <c r="BK66" s="176"/>
      <c r="BL66" s="176"/>
      <c r="BM66" s="176"/>
      <c r="BN66" s="176"/>
      <c r="BO66" s="176"/>
      <c r="BP66" s="176"/>
      <c r="BQ66" s="176"/>
      <c r="BR66" s="176"/>
      <c r="BS66" s="176"/>
      <c r="BT66" s="176"/>
      <c r="BU66" s="176"/>
      <c r="BV66" s="176"/>
      <c r="BW66" s="176"/>
      <c r="BX66" s="176"/>
      <c r="BY66" s="176"/>
      <c r="BZ66" s="176"/>
      <c r="CA66" s="176"/>
    </row>
    <row r="67" spans="1:79" ht="27" customHeight="1" x14ac:dyDescent="0.15">
      <c r="A67" s="30" t="s">
        <v>559</v>
      </c>
      <c r="B67" s="31" t="str">
        <f>IF('環境条件(竣工時)'!B67="","",'環境条件(竣工時)'!B67)</f>
        <v/>
      </c>
      <c r="C67" s="31" t="str">
        <f>IF('環境条件(竣工時)'!C67="","",'環境条件(竣工時)'!C67)</f>
        <v/>
      </c>
      <c r="D67" s="31" t="str">
        <f>IF('環境条件(竣工時)'!D67="","",'環境条件(竣工時)'!D67)</f>
        <v/>
      </c>
      <c r="E67" s="31" t="str">
        <f>IF('環境条件(竣工時)'!E67="","",'環境条件(竣工時)'!E67)</f>
        <v/>
      </c>
      <c r="F67" s="30" t="str">
        <f>IF('環境条件(竣工時)'!F67="","",'環境条件(竣工時)'!F67)</f>
        <v/>
      </c>
      <c r="G67" s="21"/>
      <c r="H67" s="22"/>
      <c r="I67" s="22"/>
      <c r="J67" s="22"/>
      <c r="K67" s="23"/>
      <c r="L67" s="23"/>
      <c r="M67" s="23"/>
      <c r="N67" s="146"/>
      <c r="O67" s="40">
        <f t="shared" si="33"/>
        <v>0</v>
      </c>
      <c r="P67" s="183" t="str">
        <f t="shared" si="34"/>
        <v/>
      </c>
      <c r="S67" s="18">
        <f t="shared" si="31"/>
        <v>0</v>
      </c>
      <c r="T67" s="18">
        <f t="shared" si="1"/>
        <v>0</v>
      </c>
      <c r="U67" s="18">
        <f>IF(C67="人工面",0,IF(G67="",0,IF(D67="湿性環境",VLOOKUP(G67,環境タイプⅡによる点数DB!A:B,2,FALSE),IF(D67="樹林",VLOOKUP(G67,環境タイプⅡによる点数DB!A:C,3,FALSE),IF(D67="低木・草地",VLOOKUP(G67,環境タイプⅡによる点数DB!A:D,4,FALSE),0)))))</f>
        <v>0</v>
      </c>
      <c r="V67" s="24" t="str">
        <f>$H67&amp;"in"&amp;基本情報!$C$13</f>
        <v>in</v>
      </c>
      <c r="W67" s="24">
        <f t="shared" si="2"/>
        <v>0</v>
      </c>
      <c r="X67" s="24">
        <f>IF($H67="",0,IF($D67="樹林",IF(ISERROR(VLOOKUP($V67,市町村・植物種ごとの樹林点数DB!$A:$G,7,FALSE))=TRUE,20,VLOOKUP($V67,市町村・植物種ごとの樹林点数DB!$A:$G,7,FALSE)),IF($D67="低木・草地",IF($H67="【ススキ】・【ネザサ】・【チガヤ】",45,10),0)))</f>
        <v>0</v>
      </c>
      <c r="Y67" s="24">
        <f t="shared" si="35"/>
        <v>0</v>
      </c>
      <c r="Z67" s="24">
        <f t="shared" si="36"/>
        <v>1</v>
      </c>
      <c r="AA67" s="24">
        <f t="shared" si="37"/>
        <v>1</v>
      </c>
      <c r="AB67" s="24">
        <f t="shared" si="38"/>
        <v>0</v>
      </c>
      <c r="AC67" s="25">
        <f t="shared" si="39"/>
        <v>0</v>
      </c>
      <c r="AD67" s="25">
        <f t="shared" si="40"/>
        <v>0</v>
      </c>
      <c r="AE67" s="25">
        <f t="shared" si="41"/>
        <v>0</v>
      </c>
      <c r="AF67" s="25" t="str">
        <f t="shared" si="42"/>
        <v/>
      </c>
      <c r="AG67" s="25" t="str">
        <f t="shared" si="43"/>
        <v/>
      </c>
      <c r="AH67" s="25" t="str">
        <f t="shared" si="44"/>
        <v/>
      </c>
      <c r="AI67" s="25">
        <f>IF(ISERROR(VLOOKUP(K67,割合DB!$A:$B,2,FALSE))=TRUE,100,VLOOKUP(K67,割合DB!$A:$B,2,FALSE))</f>
        <v>100</v>
      </c>
      <c r="AJ67" s="25">
        <f>IF(ISERROR(VLOOKUP(L67,割合DB!$A:$B,2,FALSE))=TRUE,100,VLOOKUP(L67,割合DB!$A:$B,2,FALSE))</f>
        <v>100</v>
      </c>
      <c r="AK67" s="25">
        <f>IF(ISERROR(VLOOKUP(M67,割合DB!$A:$B,2,FALSE))=TRUE,100,VLOOKUP(M67,割合DB!$A:$B,2,FALSE))</f>
        <v>100</v>
      </c>
      <c r="AL67" s="25">
        <f t="shared" si="45"/>
        <v>0</v>
      </c>
      <c r="AM67" s="18">
        <f t="shared" si="46"/>
        <v>0</v>
      </c>
      <c r="AN67" s="18">
        <f t="shared" si="47"/>
        <v>0</v>
      </c>
      <c r="AO67" s="18">
        <f t="shared" si="16"/>
        <v>0</v>
      </c>
      <c r="AP67" s="18">
        <f>IF($C67="人工面",0,IF($G67="",70,IF($D67="湿性環境",VLOOKUP($G67,環境タイプⅡによる点数DB!$A:$B,2,FALSE),IF($D67="樹林",VLOOKUP($G67,環境タイプⅡによる点数DB!$A:$C,3,FALSE),IF($D67="低木・草地",VLOOKUP($G67,環境タイプⅡによる点数DB!$A:$D,4,FALSE),0)))))</f>
        <v>70</v>
      </c>
      <c r="AQ67" s="24" t="str">
        <f>$H67&amp;"in"&amp;基本情報!$C$13</f>
        <v>in</v>
      </c>
      <c r="AR67" s="24">
        <f t="shared" si="17"/>
        <v>0</v>
      </c>
      <c r="AS67" s="24">
        <f>IF($H67="",0,IF($D67="樹林",IF(ISERROR(VLOOKUP($V67,市町村・植物種ごとの樹林点数DB!$A:$F,6,FALSE))=TRUE,10,VLOOKUP($V67,市町村・植物種ごとの樹林点数DB!$A:$F,6,FALSE)),IF($D67="低木・草地",IF(OR($H67="【ススキ】・【ネザサ】・【チガヤ】",$H67="不明"),45,10),0)))</f>
        <v>0</v>
      </c>
      <c r="AT67" s="24">
        <f t="shared" si="18"/>
        <v>0</v>
      </c>
      <c r="AU67" s="24">
        <f t="shared" si="19"/>
        <v>1</v>
      </c>
      <c r="AV67" s="24">
        <f t="shared" si="20"/>
        <v>0</v>
      </c>
      <c r="AW67" s="24">
        <f t="shared" si="21"/>
        <v>1</v>
      </c>
      <c r="AX67" s="25">
        <f t="shared" si="48"/>
        <v>0</v>
      </c>
      <c r="AY67" s="25">
        <f t="shared" si="49"/>
        <v>0</v>
      </c>
      <c r="AZ67" s="25">
        <f t="shared" si="50"/>
        <v>0</v>
      </c>
      <c r="BA67" s="25" t="str">
        <f t="shared" si="51"/>
        <v/>
      </c>
      <c r="BB67" s="25" t="str">
        <f t="shared" si="52"/>
        <v/>
      </c>
      <c r="BC67" s="25" t="str">
        <f t="shared" si="53"/>
        <v/>
      </c>
      <c r="BD67" s="25">
        <f>IF(ISERROR(VLOOKUP($K67,割合DB!$A:$B,2,FALSE))=TRUE,0,VLOOKUP($K67,割合DB!$A:$B,2,FALSE))</f>
        <v>0</v>
      </c>
      <c r="BE67" s="25">
        <f>IF(ISERROR(VLOOKUP($L67,割合DB!$A:$B,2,FALSE))=TRUE,0,VLOOKUP($L67,割合DB!$A:$B,2,FALSE))</f>
        <v>0</v>
      </c>
      <c r="BF67" s="25">
        <f>IF(ISERROR(VLOOKUP($M67,割合DB!$A:$B,2,FALSE))=TRUE,0,VLOOKUP($M67,割合DB!$A:$B,2,FALSE))</f>
        <v>0</v>
      </c>
      <c r="BG67" s="25">
        <f t="shared" si="54"/>
        <v>100</v>
      </c>
      <c r="BH67" s="18">
        <f t="shared" si="55"/>
        <v>100</v>
      </c>
      <c r="BI67" s="18">
        <f t="shared" si="32"/>
        <v>1</v>
      </c>
      <c r="BJ67" s="176"/>
      <c r="BK67" s="176"/>
      <c r="BL67" s="176"/>
      <c r="BM67" s="176"/>
      <c r="BN67" s="176"/>
      <c r="BO67" s="176"/>
      <c r="BP67" s="176"/>
      <c r="BQ67" s="176"/>
      <c r="BR67" s="176"/>
      <c r="BS67" s="176"/>
      <c r="BT67" s="176"/>
      <c r="BU67" s="176"/>
      <c r="BV67" s="176"/>
      <c r="BW67" s="176"/>
      <c r="BX67" s="176"/>
      <c r="BY67" s="176"/>
      <c r="BZ67" s="176"/>
      <c r="CA67" s="176"/>
    </row>
    <row r="68" spans="1:79" ht="27" customHeight="1" x14ac:dyDescent="0.15">
      <c r="A68" s="30" t="s">
        <v>560</v>
      </c>
      <c r="B68" s="31" t="str">
        <f>IF('環境条件(竣工時)'!B68="","",'環境条件(竣工時)'!B68)</f>
        <v/>
      </c>
      <c r="C68" s="31" t="str">
        <f>IF('環境条件(竣工時)'!C68="","",'環境条件(竣工時)'!C68)</f>
        <v/>
      </c>
      <c r="D68" s="31" t="str">
        <f>IF('環境条件(竣工時)'!D68="","",'環境条件(竣工時)'!D68)</f>
        <v/>
      </c>
      <c r="E68" s="31" t="str">
        <f>IF('環境条件(竣工時)'!E68="","",'環境条件(竣工時)'!E68)</f>
        <v/>
      </c>
      <c r="F68" s="30" t="str">
        <f>IF('環境条件(竣工時)'!F68="","",'環境条件(竣工時)'!F68)</f>
        <v/>
      </c>
      <c r="G68" s="21"/>
      <c r="H68" s="22"/>
      <c r="I68" s="22"/>
      <c r="J68" s="22"/>
      <c r="K68" s="23"/>
      <c r="L68" s="23"/>
      <c r="M68" s="23"/>
      <c r="N68" s="146"/>
      <c r="O68" s="40">
        <f t="shared" si="33"/>
        <v>0</v>
      </c>
      <c r="P68" s="183" t="str">
        <f t="shared" si="34"/>
        <v/>
      </c>
      <c r="S68" s="18">
        <f t="shared" si="31"/>
        <v>0</v>
      </c>
      <c r="T68" s="18">
        <f t="shared" ref="T68:T73" si="56">IF(OR($C68="人工面",$C68=""),0,IF($C68=$D68,70,IF(AND($C68="低木・竹・草地",$D68="低木・草地"),70,IF(AND($C68="湿性環境",$D68="低木・草地",$G68="整備水田"),10,0))))</f>
        <v>0</v>
      </c>
      <c r="U68" s="18">
        <f>IF(C68="人工面",0,IF(G68="",0,IF(D68="湿性環境",VLOOKUP(G68,環境タイプⅡによる点数DB!A:B,2,FALSE),IF(D68="樹林",VLOOKUP(G68,環境タイプⅡによる点数DB!A:C,3,FALSE),IF(D68="低木・草地",VLOOKUP(G68,環境タイプⅡによる点数DB!A:D,4,FALSE),0)))))</f>
        <v>0</v>
      </c>
      <c r="V68" s="24" t="str">
        <f>$H68&amp;"in"&amp;基本情報!$C$13</f>
        <v>in</v>
      </c>
      <c r="W68" s="24">
        <f t="shared" ref="W68:W73" si="57">IF($G68="乾性草地",1,IF($G68="高さ8m以上の木",1,IF($G68="高さ3.5m以上8m未満の木",0.375,0)))</f>
        <v>0</v>
      </c>
      <c r="X68" s="24">
        <f>IF($H68="",0,IF($D68="樹林",IF(ISERROR(VLOOKUP($V68,市町村・植物種ごとの樹林点数DB!$A:$G,7,FALSE))=TRUE,20,VLOOKUP($V68,市町村・植物種ごとの樹林点数DB!$A:$G,7,FALSE)),IF($D68="低木・草地",IF($H68="【ススキ】・【ネザサ】・【チガヤ】",45,10),0)))</f>
        <v>0</v>
      </c>
      <c r="Y68" s="24">
        <f t="shared" si="35"/>
        <v>0</v>
      </c>
      <c r="Z68" s="24">
        <f t="shared" si="36"/>
        <v>1</v>
      </c>
      <c r="AA68" s="24">
        <f t="shared" si="37"/>
        <v>1</v>
      </c>
      <c r="AB68" s="24">
        <f t="shared" si="38"/>
        <v>0</v>
      </c>
      <c r="AC68" s="25">
        <f t="shared" si="39"/>
        <v>0</v>
      </c>
      <c r="AD68" s="25">
        <f t="shared" si="40"/>
        <v>0</v>
      </c>
      <c r="AE68" s="25">
        <f t="shared" si="41"/>
        <v>0</v>
      </c>
      <c r="AF68" s="25" t="str">
        <f t="shared" si="42"/>
        <v/>
      </c>
      <c r="AG68" s="25" t="str">
        <f t="shared" si="43"/>
        <v/>
      </c>
      <c r="AH68" s="25" t="str">
        <f t="shared" si="44"/>
        <v/>
      </c>
      <c r="AI68" s="25">
        <f>IF(ISERROR(VLOOKUP(K68,割合DB!$A:$B,2,FALSE))=TRUE,100,VLOOKUP(K68,割合DB!$A:$B,2,FALSE))</f>
        <v>100</v>
      </c>
      <c r="AJ68" s="25">
        <f>IF(ISERROR(VLOOKUP(L68,割合DB!$A:$B,2,FALSE))=TRUE,100,VLOOKUP(L68,割合DB!$A:$B,2,FALSE))</f>
        <v>100</v>
      </c>
      <c r="AK68" s="25">
        <f>IF(ISERROR(VLOOKUP(M68,割合DB!$A:$B,2,FALSE))=TRUE,100,VLOOKUP(M68,割合DB!$A:$B,2,FALSE))</f>
        <v>100</v>
      </c>
      <c r="AL68" s="25">
        <f t="shared" si="45"/>
        <v>0</v>
      </c>
      <c r="AM68" s="18">
        <f t="shared" si="46"/>
        <v>0</v>
      </c>
      <c r="AN68" s="18">
        <f t="shared" si="47"/>
        <v>0</v>
      </c>
      <c r="AO68" s="18">
        <f t="shared" ref="AO68:AO73" si="58">IF(OR($C68="人工面",$C68=""),0,IF($C68=$D68,70,IF(AND($C68="低木・竹・草地",$D68="低木・草地"),70,IF(AND($C68="湿性環境",$D68="低木・草地",$G68="整備水田"),10,0))))</f>
        <v>0</v>
      </c>
      <c r="AP68" s="18">
        <f>IF($C68="人工面",0,IF($G68="",70,IF($D68="湿性環境",VLOOKUP($G68,環境タイプⅡによる点数DB!$A:$B,2,FALSE),IF($D68="樹林",VLOOKUP($G68,環境タイプⅡによる点数DB!$A:$C,3,FALSE),IF($D68="低木・草地",VLOOKUP($G68,環境タイプⅡによる点数DB!$A:$D,4,FALSE),0)))))</f>
        <v>70</v>
      </c>
      <c r="AQ68" s="24" t="str">
        <f>$H68&amp;"in"&amp;基本情報!$C$13</f>
        <v>in</v>
      </c>
      <c r="AR68" s="24">
        <f t="shared" ref="AR68:AR73" si="59">IF($G68="乾性草地",1,IF($G68="高さ8m以上の木",1,IF($G68="高さ3.5m以上8m未満の木",0.375,0)))</f>
        <v>0</v>
      </c>
      <c r="AS68" s="24">
        <f>IF($H68="",0,IF($D68="樹林",IF(ISERROR(VLOOKUP($V68,市町村・植物種ごとの樹林点数DB!$A:$F,6,FALSE))=TRUE,10,VLOOKUP($V68,市町村・植物種ごとの樹林点数DB!$A:$F,6,FALSE)),IF($D68="低木・草地",IF(OR($H68="【ススキ】・【ネザサ】・【チガヤ】",$H68="不明"),45,10),0)))</f>
        <v>0</v>
      </c>
      <c r="AT68" s="24">
        <f t="shared" ref="AT68:AT73" si="60">IF($D68="樹林",IF($H68="",40,0),IF($D68="低木・草地",IF($H68="",45,0),0))</f>
        <v>0</v>
      </c>
      <c r="AU68" s="24">
        <f t="shared" ref="AU68:AU73" si="61">IF(OR($H68="その他の低木・草",$H68="【ススキ】・【ネザサ】・【チガヤ】"),0,1)</f>
        <v>1</v>
      </c>
      <c r="AV68" s="24">
        <f t="shared" ref="AV68:AV73" si="62">IF($I68="ほぼ無し",0,IF($I68="1/4程度",0.25,IF($I68="1/2程度",0.5,IF($I68="3/4程度",0.75,IF($I68="ほぼ全て",1,0)))))</f>
        <v>0</v>
      </c>
      <c r="AW68" s="24">
        <f t="shared" ref="AW68:AW73" si="63">IF($J68="無し",0,IF($J68="有り",1,IF($J68="不明",1,1)))</f>
        <v>1</v>
      </c>
      <c r="AX68" s="25">
        <f t="shared" si="48"/>
        <v>0</v>
      </c>
      <c r="AY68" s="25">
        <f t="shared" si="49"/>
        <v>0</v>
      </c>
      <c r="AZ68" s="25">
        <f t="shared" si="50"/>
        <v>0</v>
      </c>
      <c r="BA68" s="25" t="str">
        <f t="shared" si="51"/>
        <v/>
      </c>
      <c r="BB68" s="25" t="str">
        <f t="shared" si="52"/>
        <v/>
      </c>
      <c r="BC68" s="25" t="str">
        <f t="shared" si="53"/>
        <v/>
      </c>
      <c r="BD68" s="25">
        <f>IF(ISERROR(VLOOKUP($K68,割合DB!$A:$B,2,FALSE))=TRUE,0,VLOOKUP($K68,割合DB!$A:$B,2,FALSE))</f>
        <v>0</v>
      </c>
      <c r="BE68" s="25">
        <f>IF(ISERROR(VLOOKUP($L68,割合DB!$A:$B,2,FALSE))=TRUE,0,VLOOKUP($L68,割合DB!$A:$B,2,FALSE))</f>
        <v>0</v>
      </c>
      <c r="BF68" s="25">
        <f>IF(ISERROR(VLOOKUP($M68,割合DB!$A:$B,2,FALSE))=TRUE,0,VLOOKUP($M68,割合DB!$A:$B,2,FALSE))</f>
        <v>0</v>
      </c>
      <c r="BG68" s="25">
        <f t="shared" si="54"/>
        <v>100</v>
      </c>
      <c r="BH68" s="18">
        <f t="shared" si="55"/>
        <v>100</v>
      </c>
      <c r="BI68" s="18">
        <f t="shared" si="32"/>
        <v>1</v>
      </c>
      <c r="BJ68" s="176"/>
      <c r="BK68" s="176"/>
      <c r="BL68" s="176"/>
      <c r="BM68" s="176"/>
      <c r="BN68" s="176"/>
      <c r="BO68" s="176"/>
      <c r="BP68" s="176"/>
      <c r="BQ68" s="176"/>
      <c r="BR68" s="176"/>
      <c r="BS68" s="176"/>
      <c r="BT68" s="176"/>
      <c r="BU68" s="176"/>
      <c r="BV68" s="176"/>
      <c r="BW68" s="176"/>
      <c r="BX68" s="176"/>
      <c r="BY68" s="176"/>
      <c r="BZ68" s="176"/>
      <c r="CA68" s="176"/>
    </row>
    <row r="69" spans="1:79" ht="27" customHeight="1" x14ac:dyDescent="0.15">
      <c r="A69" s="30" t="s">
        <v>561</v>
      </c>
      <c r="B69" s="31" t="str">
        <f>IF('環境条件(竣工時)'!B69="","",'環境条件(竣工時)'!B69)</f>
        <v/>
      </c>
      <c r="C69" s="31" t="str">
        <f>IF('環境条件(竣工時)'!C69="","",'環境条件(竣工時)'!C69)</f>
        <v/>
      </c>
      <c r="D69" s="31" t="str">
        <f>IF('環境条件(竣工時)'!D69="","",'環境条件(竣工時)'!D69)</f>
        <v/>
      </c>
      <c r="E69" s="31" t="str">
        <f>IF('環境条件(竣工時)'!E69="","",'環境条件(竣工時)'!E69)</f>
        <v/>
      </c>
      <c r="F69" s="30" t="str">
        <f>IF('環境条件(竣工時)'!F69="","",'環境条件(竣工時)'!F69)</f>
        <v/>
      </c>
      <c r="G69" s="21"/>
      <c r="H69" s="22"/>
      <c r="I69" s="22"/>
      <c r="J69" s="22"/>
      <c r="K69" s="23"/>
      <c r="L69" s="23"/>
      <c r="M69" s="23"/>
      <c r="N69" s="146"/>
      <c r="O69" s="40">
        <f t="shared" si="33"/>
        <v>0</v>
      </c>
      <c r="P69" s="183" t="str">
        <f t="shared" si="34"/>
        <v/>
      </c>
      <c r="S69" s="18">
        <f t="shared" ref="S69:S73" si="64">IF(T69=0,0,IF(U69="点数特定できず",SUM(AF69:AH69),U69))*BI69</f>
        <v>0</v>
      </c>
      <c r="T69" s="18">
        <f t="shared" si="56"/>
        <v>0</v>
      </c>
      <c r="U69" s="18">
        <f>IF(C69="人工面",0,IF(G69="",0,IF(D69="湿性環境",VLOOKUP(G69,環境タイプⅡによる点数DB!A:B,2,FALSE),IF(D69="樹林",VLOOKUP(G69,環境タイプⅡによる点数DB!A:C,3,FALSE),IF(D69="低木・草地",VLOOKUP(G69,環境タイプⅡによる点数DB!A:D,4,FALSE),0)))))</f>
        <v>0</v>
      </c>
      <c r="V69" s="24" t="str">
        <f>$H69&amp;"in"&amp;基本情報!$C$13</f>
        <v>in</v>
      </c>
      <c r="W69" s="24">
        <f t="shared" si="57"/>
        <v>0</v>
      </c>
      <c r="X69" s="24">
        <f>IF($H69="",0,IF($D69="樹林",IF(ISERROR(VLOOKUP($V69,市町村・植物種ごとの樹林点数DB!$A:$G,7,FALSE))=TRUE,20,VLOOKUP($V69,市町村・植物種ごとの樹林点数DB!$A:$G,7,FALSE)),IF($D69="低木・草地",IF($H69="【ススキ】・【ネザサ】・【チガヤ】",45,10),0)))</f>
        <v>0</v>
      </c>
      <c r="Y69" s="24">
        <f t="shared" si="35"/>
        <v>0</v>
      </c>
      <c r="Z69" s="24">
        <f t="shared" si="36"/>
        <v>1</v>
      </c>
      <c r="AA69" s="24">
        <f t="shared" si="37"/>
        <v>1</v>
      </c>
      <c r="AB69" s="24">
        <f t="shared" si="38"/>
        <v>0</v>
      </c>
      <c r="AC69" s="25">
        <f t="shared" si="39"/>
        <v>0</v>
      </c>
      <c r="AD69" s="25">
        <f t="shared" si="40"/>
        <v>0</v>
      </c>
      <c r="AE69" s="25">
        <f t="shared" si="41"/>
        <v>0</v>
      </c>
      <c r="AF69" s="25" t="str">
        <f t="shared" si="42"/>
        <v/>
      </c>
      <c r="AG69" s="25" t="str">
        <f t="shared" si="43"/>
        <v/>
      </c>
      <c r="AH69" s="25" t="str">
        <f t="shared" si="44"/>
        <v/>
      </c>
      <c r="AI69" s="25">
        <f>IF(ISERROR(VLOOKUP(K69,割合DB!$A:$B,2,FALSE))=TRUE,100,VLOOKUP(K69,割合DB!$A:$B,2,FALSE))</f>
        <v>100</v>
      </c>
      <c r="AJ69" s="25">
        <f>IF(ISERROR(VLOOKUP(L69,割合DB!$A:$B,2,FALSE))=TRUE,100,VLOOKUP(L69,割合DB!$A:$B,2,FALSE))</f>
        <v>100</v>
      </c>
      <c r="AK69" s="25">
        <f>IF(ISERROR(VLOOKUP(M69,割合DB!$A:$B,2,FALSE))=TRUE,100,VLOOKUP(M69,割合DB!$A:$B,2,FALSE))</f>
        <v>100</v>
      </c>
      <c r="AL69" s="25">
        <f t="shared" si="45"/>
        <v>0</v>
      </c>
      <c r="AM69" s="18">
        <f t="shared" si="46"/>
        <v>0</v>
      </c>
      <c r="AN69" s="18">
        <f t="shared" si="47"/>
        <v>0</v>
      </c>
      <c r="AO69" s="18">
        <f t="shared" si="58"/>
        <v>0</v>
      </c>
      <c r="AP69" s="18">
        <f>IF($C69="人工面",0,IF($G69="",70,IF($D69="湿性環境",VLOOKUP($G69,環境タイプⅡによる点数DB!$A:$B,2,FALSE),IF($D69="樹林",VLOOKUP($G69,環境タイプⅡによる点数DB!$A:$C,3,FALSE),IF($D69="低木・草地",VLOOKUP($G69,環境タイプⅡによる点数DB!$A:$D,4,FALSE),0)))))</f>
        <v>70</v>
      </c>
      <c r="AQ69" s="24" t="str">
        <f>$H69&amp;"in"&amp;基本情報!$C$13</f>
        <v>in</v>
      </c>
      <c r="AR69" s="24">
        <f t="shared" si="59"/>
        <v>0</v>
      </c>
      <c r="AS69" s="24">
        <f>IF($H69="",0,IF($D69="樹林",IF(ISERROR(VLOOKUP($V69,市町村・植物種ごとの樹林点数DB!$A:$F,6,FALSE))=TRUE,10,VLOOKUP($V69,市町村・植物種ごとの樹林点数DB!$A:$F,6,FALSE)),IF($D69="低木・草地",IF(OR($H69="【ススキ】・【ネザサ】・【チガヤ】",$H69="不明"),45,10),0)))</f>
        <v>0</v>
      </c>
      <c r="AT69" s="24">
        <f t="shared" si="60"/>
        <v>0</v>
      </c>
      <c r="AU69" s="24">
        <f t="shared" si="61"/>
        <v>1</v>
      </c>
      <c r="AV69" s="24">
        <f t="shared" si="62"/>
        <v>0</v>
      </c>
      <c r="AW69" s="24">
        <f t="shared" si="63"/>
        <v>1</v>
      </c>
      <c r="AX69" s="25">
        <f t="shared" si="48"/>
        <v>0</v>
      </c>
      <c r="AY69" s="25">
        <f t="shared" si="49"/>
        <v>0</v>
      </c>
      <c r="AZ69" s="25">
        <f t="shared" si="50"/>
        <v>0</v>
      </c>
      <c r="BA69" s="25" t="str">
        <f t="shared" si="51"/>
        <v/>
      </c>
      <c r="BB69" s="25" t="str">
        <f t="shared" si="52"/>
        <v/>
      </c>
      <c r="BC69" s="25" t="str">
        <f t="shared" si="53"/>
        <v/>
      </c>
      <c r="BD69" s="25">
        <f>IF(ISERROR(VLOOKUP($K69,割合DB!$A:$B,2,FALSE))=TRUE,0,VLOOKUP($K69,割合DB!$A:$B,2,FALSE))</f>
        <v>0</v>
      </c>
      <c r="BE69" s="25">
        <f>IF(ISERROR(VLOOKUP($L69,割合DB!$A:$B,2,FALSE))=TRUE,0,VLOOKUP($L69,割合DB!$A:$B,2,FALSE))</f>
        <v>0</v>
      </c>
      <c r="BF69" s="25">
        <f>IF(ISERROR(VLOOKUP($M69,割合DB!$A:$B,2,FALSE))=TRUE,0,VLOOKUP($M69,割合DB!$A:$B,2,FALSE))</f>
        <v>0</v>
      </c>
      <c r="BG69" s="25">
        <f t="shared" si="54"/>
        <v>100</v>
      </c>
      <c r="BH69" s="18">
        <f t="shared" si="55"/>
        <v>100</v>
      </c>
      <c r="BI69" s="18">
        <f t="shared" ref="BI69:BI73" si="65">IF(N69="",1,IF(N69="CR",30,IF(N69="EN",20,IF(N69="VU",5,1))))</f>
        <v>1</v>
      </c>
      <c r="BJ69" s="176"/>
      <c r="BK69" s="176"/>
      <c r="BL69" s="176"/>
      <c r="BM69" s="176"/>
      <c r="BN69" s="176"/>
      <c r="BO69" s="176"/>
      <c r="BP69" s="176"/>
      <c r="BQ69" s="176"/>
      <c r="BR69" s="176"/>
      <c r="BS69" s="176"/>
      <c r="BT69" s="176"/>
      <c r="BU69" s="176"/>
      <c r="BV69" s="176"/>
      <c r="BW69" s="176"/>
      <c r="BX69" s="176"/>
      <c r="BY69" s="176"/>
      <c r="BZ69" s="176"/>
      <c r="CA69" s="176"/>
    </row>
    <row r="70" spans="1:79" ht="27" customHeight="1" x14ac:dyDescent="0.15">
      <c r="A70" s="30" t="s">
        <v>562</v>
      </c>
      <c r="B70" s="31" t="str">
        <f>IF('環境条件(竣工時)'!B70="","",'環境条件(竣工時)'!B70)</f>
        <v/>
      </c>
      <c r="C70" s="31" t="str">
        <f>IF('環境条件(竣工時)'!C70="","",'環境条件(竣工時)'!C70)</f>
        <v/>
      </c>
      <c r="D70" s="31" t="str">
        <f>IF('環境条件(竣工時)'!D70="","",'環境条件(竣工時)'!D70)</f>
        <v/>
      </c>
      <c r="E70" s="31" t="str">
        <f>IF('環境条件(竣工時)'!E70="","",'環境条件(竣工時)'!E70)</f>
        <v/>
      </c>
      <c r="F70" s="30" t="str">
        <f>IF('環境条件(竣工時)'!F70="","",'環境条件(竣工時)'!F70)</f>
        <v/>
      </c>
      <c r="G70" s="21"/>
      <c r="H70" s="22"/>
      <c r="I70" s="22"/>
      <c r="J70" s="22"/>
      <c r="K70" s="23"/>
      <c r="L70" s="23"/>
      <c r="M70" s="23"/>
      <c r="N70" s="146"/>
      <c r="O70" s="40">
        <f t="shared" si="33"/>
        <v>0</v>
      </c>
      <c r="P70" s="183" t="str">
        <f t="shared" si="34"/>
        <v/>
      </c>
      <c r="S70" s="18">
        <f t="shared" si="64"/>
        <v>0</v>
      </c>
      <c r="T70" s="18">
        <f t="shared" si="56"/>
        <v>0</v>
      </c>
      <c r="U70" s="18">
        <f>IF(C70="人工面",0,IF(G70="",0,IF(D70="湿性環境",VLOOKUP(G70,環境タイプⅡによる点数DB!A:B,2,FALSE),IF(D70="樹林",VLOOKUP(G70,環境タイプⅡによる点数DB!A:C,3,FALSE),IF(D70="低木・草地",VLOOKUP(G70,環境タイプⅡによる点数DB!A:D,4,FALSE),0)))))</f>
        <v>0</v>
      </c>
      <c r="V70" s="24" t="str">
        <f>$H70&amp;"in"&amp;基本情報!$C$13</f>
        <v>in</v>
      </c>
      <c r="W70" s="24">
        <f t="shared" si="57"/>
        <v>0</v>
      </c>
      <c r="X70" s="24">
        <f>IF($H70="",0,IF($D70="樹林",IF(ISERROR(VLOOKUP($V70,市町村・植物種ごとの樹林点数DB!$A:$G,7,FALSE))=TRUE,20,VLOOKUP($V70,市町村・植物種ごとの樹林点数DB!$A:$G,7,FALSE)),IF($D70="低木・草地",IF($H70="【ススキ】・【ネザサ】・【チガヤ】",45,10),0)))</f>
        <v>0</v>
      </c>
      <c r="Y70" s="24">
        <f t="shared" si="35"/>
        <v>0</v>
      </c>
      <c r="Z70" s="24">
        <f t="shared" si="36"/>
        <v>1</v>
      </c>
      <c r="AA70" s="24">
        <f t="shared" si="37"/>
        <v>1</v>
      </c>
      <c r="AB70" s="24">
        <f t="shared" si="38"/>
        <v>0</v>
      </c>
      <c r="AC70" s="25">
        <f t="shared" si="39"/>
        <v>0</v>
      </c>
      <c r="AD70" s="25">
        <f t="shared" si="40"/>
        <v>0</v>
      </c>
      <c r="AE70" s="25">
        <f t="shared" si="41"/>
        <v>0</v>
      </c>
      <c r="AF70" s="25" t="str">
        <f t="shared" si="42"/>
        <v/>
      </c>
      <c r="AG70" s="25" t="str">
        <f t="shared" si="43"/>
        <v/>
      </c>
      <c r="AH70" s="25" t="str">
        <f t="shared" si="44"/>
        <v/>
      </c>
      <c r="AI70" s="25">
        <f>IF(ISERROR(VLOOKUP(K70,割合DB!$A:$B,2,FALSE))=TRUE,100,VLOOKUP(K70,割合DB!$A:$B,2,FALSE))</f>
        <v>100</v>
      </c>
      <c r="AJ70" s="25">
        <f>IF(ISERROR(VLOOKUP(L70,割合DB!$A:$B,2,FALSE))=TRUE,100,VLOOKUP(L70,割合DB!$A:$B,2,FALSE))</f>
        <v>100</v>
      </c>
      <c r="AK70" s="25">
        <f>IF(ISERROR(VLOOKUP(M70,割合DB!$A:$B,2,FALSE))=TRUE,100,VLOOKUP(M70,割合DB!$A:$B,2,FALSE))</f>
        <v>100</v>
      </c>
      <c r="AL70" s="25">
        <f t="shared" si="45"/>
        <v>0</v>
      </c>
      <c r="AM70" s="18">
        <f t="shared" si="46"/>
        <v>0</v>
      </c>
      <c r="AN70" s="18">
        <f t="shared" si="47"/>
        <v>0</v>
      </c>
      <c r="AO70" s="18">
        <f t="shared" si="58"/>
        <v>0</v>
      </c>
      <c r="AP70" s="18">
        <f>IF($C70="人工面",0,IF($G70="",70,IF($D70="湿性環境",VLOOKUP($G70,環境タイプⅡによる点数DB!$A:$B,2,FALSE),IF($D70="樹林",VLOOKUP($G70,環境タイプⅡによる点数DB!$A:$C,3,FALSE),IF($D70="低木・草地",VLOOKUP($G70,環境タイプⅡによる点数DB!$A:$D,4,FALSE),0)))))</f>
        <v>70</v>
      </c>
      <c r="AQ70" s="24" t="str">
        <f>$H70&amp;"in"&amp;基本情報!$C$13</f>
        <v>in</v>
      </c>
      <c r="AR70" s="24">
        <f t="shared" si="59"/>
        <v>0</v>
      </c>
      <c r="AS70" s="24">
        <f>IF($H70="",0,IF($D70="樹林",IF(ISERROR(VLOOKUP($V70,市町村・植物種ごとの樹林点数DB!$A:$F,6,FALSE))=TRUE,10,VLOOKUP($V70,市町村・植物種ごとの樹林点数DB!$A:$F,6,FALSE)),IF($D70="低木・草地",IF(OR($H70="【ススキ】・【ネザサ】・【チガヤ】",$H70="不明"),45,10),0)))</f>
        <v>0</v>
      </c>
      <c r="AT70" s="24">
        <f t="shared" si="60"/>
        <v>0</v>
      </c>
      <c r="AU70" s="24">
        <f t="shared" si="61"/>
        <v>1</v>
      </c>
      <c r="AV70" s="24">
        <f t="shared" si="62"/>
        <v>0</v>
      </c>
      <c r="AW70" s="24">
        <f t="shared" si="63"/>
        <v>1</v>
      </c>
      <c r="AX70" s="25">
        <f t="shared" si="48"/>
        <v>0</v>
      </c>
      <c r="AY70" s="25">
        <f t="shared" si="49"/>
        <v>0</v>
      </c>
      <c r="AZ70" s="25">
        <f t="shared" si="50"/>
        <v>0</v>
      </c>
      <c r="BA70" s="25" t="str">
        <f t="shared" si="51"/>
        <v/>
      </c>
      <c r="BB70" s="25" t="str">
        <f t="shared" si="52"/>
        <v/>
      </c>
      <c r="BC70" s="25" t="str">
        <f t="shared" si="53"/>
        <v/>
      </c>
      <c r="BD70" s="25">
        <f>IF(ISERROR(VLOOKUP($K70,割合DB!$A:$B,2,FALSE))=TRUE,0,VLOOKUP($K70,割合DB!$A:$B,2,FALSE))</f>
        <v>0</v>
      </c>
      <c r="BE70" s="25">
        <f>IF(ISERROR(VLOOKUP($L70,割合DB!$A:$B,2,FALSE))=TRUE,0,VLOOKUP($L70,割合DB!$A:$B,2,FALSE))</f>
        <v>0</v>
      </c>
      <c r="BF70" s="25">
        <f>IF(ISERROR(VLOOKUP($M70,割合DB!$A:$B,2,FALSE))=TRUE,0,VLOOKUP($M70,割合DB!$A:$B,2,FALSE))</f>
        <v>0</v>
      </c>
      <c r="BG70" s="25">
        <f t="shared" si="54"/>
        <v>100</v>
      </c>
      <c r="BH70" s="18">
        <f t="shared" si="55"/>
        <v>100</v>
      </c>
      <c r="BI70" s="18">
        <f t="shared" si="65"/>
        <v>1</v>
      </c>
      <c r="BJ70" s="176"/>
      <c r="BK70" s="176"/>
      <c r="BL70" s="176"/>
      <c r="BM70" s="176"/>
      <c r="BN70" s="176"/>
      <c r="BO70" s="176"/>
      <c r="BP70" s="176"/>
      <c r="BQ70" s="176"/>
      <c r="BR70" s="176"/>
      <c r="BS70" s="176"/>
      <c r="BT70" s="176"/>
      <c r="BU70" s="176"/>
      <c r="BV70" s="176"/>
      <c r="BW70" s="176"/>
      <c r="BX70" s="176"/>
      <c r="BY70" s="176"/>
      <c r="BZ70" s="176"/>
      <c r="CA70" s="176"/>
    </row>
    <row r="71" spans="1:79" ht="27" customHeight="1" x14ac:dyDescent="0.15">
      <c r="A71" s="30" t="s">
        <v>563</v>
      </c>
      <c r="B71" s="31" t="str">
        <f>IF('環境条件(竣工時)'!B71="","",'環境条件(竣工時)'!B71)</f>
        <v/>
      </c>
      <c r="C71" s="31" t="str">
        <f>IF('環境条件(竣工時)'!C71="","",'環境条件(竣工時)'!C71)</f>
        <v/>
      </c>
      <c r="D71" s="31" t="str">
        <f>IF('環境条件(竣工時)'!D71="","",'環境条件(竣工時)'!D71)</f>
        <v/>
      </c>
      <c r="E71" s="31" t="str">
        <f>IF('環境条件(竣工時)'!E71="","",'環境条件(竣工時)'!E71)</f>
        <v/>
      </c>
      <c r="F71" s="30" t="str">
        <f>IF('環境条件(竣工時)'!F71="","",'環境条件(竣工時)'!F71)</f>
        <v/>
      </c>
      <c r="G71" s="21"/>
      <c r="H71" s="22"/>
      <c r="I71" s="22"/>
      <c r="J71" s="22"/>
      <c r="K71" s="23"/>
      <c r="L71" s="23"/>
      <c r="M71" s="23"/>
      <c r="N71" s="146"/>
      <c r="O71" s="40">
        <f t="shared" si="33"/>
        <v>0</v>
      </c>
      <c r="P71" s="183" t="str">
        <f t="shared" si="34"/>
        <v/>
      </c>
      <c r="S71" s="18">
        <f t="shared" si="64"/>
        <v>0</v>
      </c>
      <c r="T71" s="18">
        <f t="shared" si="56"/>
        <v>0</v>
      </c>
      <c r="U71" s="18">
        <f>IF(C71="人工面",0,IF(G71="",0,IF(D71="湿性環境",VLOOKUP(G71,環境タイプⅡによる点数DB!A:B,2,FALSE),IF(D71="樹林",VLOOKUP(G71,環境タイプⅡによる点数DB!A:C,3,FALSE),IF(D71="低木・草地",VLOOKUP(G71,環境タイプⅡによる点数DB!A:D,4,FALSE),0)))))</f>
        <v>0</v>
      </c>
      <c r="V71" s="24" t="str">
        <f>$H71&amp;"in"&amp;基本情報!$C$13</f>
        <v>in</v>
      </c>
      <c r="W71" s="24">
        <f t="shared" si="57"/>
        <v>0</v>
      </c>
      <c r="X71" s="24">
        <f>IF($H71="",0,IF($D71="樹林",IF(ISERROR(VLOOKUP($V71,市町村・植物種ごとの樹林点数DB!$A:$G,7,FALSE))=TRUE,20,VLOOKUP($V71,市町村・植物種ごとの樹林点数DB!$A:$G,7,FALSE)),IF($D71="低木・草地",IF($H71="【ススキ】・【ネザサ】・【チガヤ】",45,10),0)))</f>
        <v>0</v>
      </c>
      <c r="Y71" s="24">
        <f t="shared" si="35"/>
        <v>0</v>
      </c>
      <c r="Z71" s="24">
        <f t="shared" si="36"/>
        <v>1</v>
      </c>
      <c r="AA71" s="24">
        <f t="shared" si="37"/>
        <v>1</v>
      </c>
      <c r="AB71" s="24">
        <f t="shared" si="38"/>
        <v>0</v>
      </c>
      <c r="AC71" s="25">
        <f t="shared" si="39"/>
        <v>0</v>
      </c>
      <c r="AD71" s="25">
        <f t="shared" si="40"/>
        <v>0</v>
      </c>
      <c r="AE71" s="25">
        <f t="shared" si="41"/>
        <v>0</v>
      </c>
      <c r="AF71" s="25" t="str">
        <f t="shared" si="42"/>
        <v/>
      </c>
      <c r="AG71" s="25" t="str">
        <f t="shared" si="43"/>
        <v/>
      </c>
      <c r="AH71" s="25" t="str">
        <f t="shared" si="44"/>
        <v/>
      </c>
      <c r="AI71" s="25">
        <f>IF(ISERROR(VLOOKUP(K71,割合DB!$A:$B,2,FALSE))=TRUE,100,VLOOKUP(K71,割合DB!$A:$B,2,FALSE))</f>
        <v>100</v>
      </c>
      <c r="AJ71" s="25">
        <f>IF(ISERROR(VLOOKUP(L71,割合DB!$A:$B,2,FALSE))=TRUE,100,VLOOKUP(L71,割合DB!$A:$B,2,FALSE))</f>
        <v>100</v>
      </c>
      <c r="AK71" s="25">
        <f>IF(ISERROR(VLOOKUP(M71,割合DB!$A:$B,2,FALSE))=TRUE,100,VLOOKUP(M71,割合DB!$A:$B,2,FALSE))</f>
        <v>100</v>
      </c>
      <c r="AL71" s="25">
        <f t="shared" si="45"/>
        <v>0</v>
      </c>
      <c r="AM71" s="18">
        <f t="shared" si="46"/>
        <v>0</v>
      </c>
      <c r="AN71" s="18">
        <f t="shared" si="47"/>
        <v>0</v>
      </c>
      <c r="AO71" s="18">
        <f t="shared" si="58"/>
        <v>0</v>
      </c>
      <c r="AP71" s="18">
        <f>IF($C71="人工面",0,IF($G71="",70,IF($D71="湿性環境",VLOOKUP($G71,環境タイプⅡによる点数DB!$A:$B,2,FALSE),IF($D71="樹林",VLOOKUP($G71,環境タイプⅡによる点数DB!$A:$C,3,FALSE),IF($D71="低木・草地",VLOOKUP($G71,環境タイプⅡによる点数DB!$A:$D,4,FALSE),0)))))</f>
        <v>70</v>
      </c>
      <c r="AQ71" s="24" t="str">
        <f>$H71&amp;"in"&amp;基本情報!$C$13</f>
        <v>in</v>
      </c>
      <c r="AR71" s="24">
        <f t="shared" si="59"/>
        <v>0</v>
      </c>
      <c r="AS71" s="24">
        <f>IF($H71="",0,IF($D71="樹林",IF(ISERROR(VLOOKUP($V71,市町村・植物種ごとの樹林点数DB!$A:$F,6,FALSE))=TRUE,10,VLOOKUP($V71,市町村・植物種ごとの樹林点数DB!$A:$F,6,FALSE)),IF($D71="低木・草地",IF(OR($H71="【ススキ】・【ネザサ】・【チガヤ】",$H71="不明"),45,10),0)))</f>
        <v>0</v>
      </c>
      <c r="AT71" s="24">
        <f t="shared" si="60"/>
        <v>0</v>
      </c>
      <c r="AU71" s="24">
        <f t="shared" si="61"/>
        <v>1</v>
      </c>
      <c r="AV71" s="24">
        <f t="shared" si="62"/>
        <v>0</v>
      </c>
      <c r="AW71" s="24">
        <f t="shared" si="63"/>
        <v>1</v>
      </c>
      <c r="AX71" s="25">
        <f t="shared" si="48"/>
        <v>0</v>
      </c>
      <c r="AY71" s="25">
        <f t="shared" si="49"/>
        <v>0</v>
      </c>
      <c r="AZ71" s="25">
        <f t="shared" si="50"/>
        <v>0</v>
      </c>
      <c r="BA71" s="25" t="str">
        <f t="shared" si="51"/>
        <v/>
      </c>
      <c r="BB71" s="25" t="str">
        <f t="shared" si="52"/>
        <v/>
      </c>
      <c r="BC71" s="25" t="str">
        <f t="shared" si="53"/>
        <v/>
      </c>
      <c r="BD71" s="25">
        <f>IF(ISERROR(VLOOKUP($K71,割合DB!$A:$B,2,FALSE))=TRUE,0,VLOOKUP($K71,割合DB!$A:$B,2,FALSE))</f>
        <v>0</v>
      </c>
      <c r="BE71" s="25">
        <f>IF(ISERROR(VLOOKUP($L71,割合DB!$A:$B,2,FALSE))=TRUE,0,VLOOKUP($L71,割合DB!$A:$B,2,FALSE))</f>
        <v>0</v>
      </c>
      <c r="BF71" s="25">
        <f>IF(ISERROR(VLOOKUP($M71,割合DB!$A:$B,2,FALSE))=TRUE,0,VLOOKUP($M71,割合DB!$A:$B,2,FALSE))</f>
        <v>0</v>
      </c>
      <c r="BG71" s="25">
        <f t="shared" si="54"/>
        <v>100</v>
      </c>
      <c r="BH71" s="18">
        <f t="shared" si="55"/>
        <v>100</v>
      </c>
      <c r="BI71" s="18">
        <f t="shared" si="65"/>
        <v>1</v>
      </c>
      <c r="BJ71" s="176"/>
      <c r="BK71" s="176"/>
      <c r="BL71" s="176"/>
      <c r="BM71" s="176"/>
      <c r="BN71" s="176"/>
      <c r="BO71" s="176"/>
      <c r="BP71" s="176"/>
      <c r="BQ71" s="176"/>
      <c r="BR71" s="176"/>
      <c r="BS71" s="176"/>
      <c r="BT71" s="176"/>
      <c r="BU71" s="176"/>
      <c r="BV71" s="176"/>
      <c r="BW71" s="176"/>
      <c r="BX71" s="176"/>
      <c r="BY71" s="176"/>
      <c r="BZ71" s="176"/>
      <c r="CA71" s="176"/>
    </row>
    <row r="72" spans="1:79" ht="27" customHeight="1" x14ac:dyDescent="0.15">
      <c r="A72" s="30" t="s">
        <v>564</v>
      </c>
      <c r="B72" s="31" t="str">
        <f>IF('環境条件(竣工時)'!B72="","",'環境条件(竣工時)'!B72)</f>
        <v/>
      </c>
      <c r="C72" s="31" t="str">
        <f>IF('環境条件(竣工時)'!C72="","",'環境条件(竣工時)'!C72)</f>
        <v/>
      </c>
      <c r="D72" s="31" t="str">
        <f>IF('環境条件(竣工時)'!D72="","",'環境条件(竣工時)'!D72)</f>
        <v/>
      </c>
      <c r="E72" s="31" t="str">
        <f>IF('環境条件(竣工時)'!E72="","",'環境条件(竣工時)'!E72)</f>
        <v/>
      </c>
      <c r="F72" s="30" t="str">
        <f>IF('環境条件(竣工時)'!F72="","",'環境条件(竣工時)'!F72)</f>
        <v/>
      </c>
      <c r="G72" s="21"/>
      <c r="H72" s="22"/>
      <c r="I72" s="22"/>
      <c r="J72" s="22"/>
      <c r="K72" s="23"/>
      <c r="L72" s="23"/>
      <c r="M72" s="23"/>
      <c r="N72" s="146"/>
      <c r="O72" s="40">
        <f t="shared" si="33"/>
        <v>0</v>
      </c>
      <c r="P72" s="183" t="str">
        <f t="shared" si="34"/>
        <v/>
      </c>
      <c r="S72" s="18">
        <f t="shared" si="64"/>
        <v>0</v>
      </c>
      <c r="T72" s="18">
        <f t="shared" si="56"/>
        <v>0</v>
      </c>
      <c r="U72" s="18">
        <f>IF(C72="人工面",0,IF(G72="",0,IF(D72="湿性環境",VLOOKUP(G72,環境タイプⅡによる点数DB!A:B,2,FALSE),IF(D72="樹林",VLOOKUP(G72,環境タイプⅡによる点数DB!A:C,3,FALSE),IF(D72="低木・草地",VLOOKUP(G72,環境タイプⅡによる点数DB!A:D,4,FALSE),0)))))</f>
        <v>0</v>
      </c>
      <c r="V72" s="24" t="str">
        <f>$H72&amp;"in"&amp;基本情報!$C$13</f>
        <v>in</v>
      </c>
      <c r="W72" s="24">
        <f t="shared" si="57"/>
        <v>0</v>
      </c>
      <c r="X72" s="24">
        <f>IF($H72="",0,IF($D72="樹林",IF(ISERROR(VLOOKUP($V72,市町村・植物種ごとの樹林点数DB!$A:$G,7,FALSE))=TRUE,20,VLOOKUP($V72,市町村・植物種ごとの樹林点数DB!$A:$G,7,FALSE)),IF($D72="低木・草地",IF($H72="【ススキ】・【ネザサ】・【チガヤ】",45,10),0)))</f>
        <v>0</v>
      </c>
      <c r="Y72" s="24">
        <f t="shared" si="35"/>
        <v>0</v>
      </c>
      <c r="Z72" s="24">
        <f t="shared" si="36"/>
        <v>1</v>
      </c>
      <c r="AA72" s="24">
        <f t="shared" si="37"/>
        <v>1</v>
      </c>
      <c r="AB72" s="24">
        <f t="shared" si="38"/>
        <v>0</v>
      </c>
      <c r="AC72" s="25">
        <f t="shared" si="39"/>
        <v>0</v>
      </c>
      <c r="AD72" s="25">
        <f t="shared" si="40"/>
        <v>0</v>
      </c>
      <c r="AE72" s="25">
        <f t="shared" si="41"/>
        <v>0</v>
      </c>
      <c r="AF72" s="25" t="str">
        <f t="shared" si="42"/>
        <v/>
      </c>
      <c r="AG72" s="25" t="str">
        <f t="shared" si="43"/>
        <v/>
      </c>
      <c r="AH72" s="25" t="str">
        <f t="shared" si="44"/>
        <v/>
      </c>
      <c r="AI72" s="25">
        <f>IF(ISERROR(VLOOKUP(K72,割合DB!$A:$B,2,FALSE))=TRUE,100,VLOOKUP(K72,割合DB!$A:$B,2,FALSE))</f>
        <v>100</v>
      </c>
      <c r="AJ72" s="25">
        <f>IF(ISERROR(VLOOKUP(L72,割合DB!$A:$B,2,FALSE))=TRUE,100,VLOOKUP(L72,割合DB!$A:$B,2,FALSE))</f>
        <v>100</v>
      </c>
      <c r="AK72" s="25">
        <f>IF(ISERROR(VLOOKUP(M72,割合DB!$A:$B,2,FALSE))=TRUE,100,VLOOKUP(M72,割合DB!$A:$B,2,FALSE))</f>
        <v>100</v>
      </c>
      <c r="AL72" s="25">
        <f t="shared" si="45"/>
        <v>0</v>
      </c>
      <c r="AM72" s="18">
        <f t="shared" si="46"/>
        <v>0</v>
      </c>
      <c r="AN72" s="18">
        <f t="shared" si="47"/>
        <v>0</v>
      </c>
      <c r="AO72" s="18">
        <f t="shared" si="58"/>
        <v>0</v>
      </c>
      <c r="AP72" s="18">
        <f>IF($C72="人工面",0,IF($G72="",70,IF($D72="湿性環境",VLOOKUP($G72,環境タイプⅡによる点数DB!$A:$B,2,FALSE),IF($D72="樹林",VLOOKUP($G72,環境タイプⅡによる点数DB!$A:$C,3,FALSE),IF($D72="低木・草地",VLOOKUP($G72,環境タイプⅡによる点数DB!$A:$D,4,FALSE),0)))))</f>
        <v>70</v>
      </c>
      <c r="AQ72" s="24" t="str">
        <f>$H72&amp;"in"&amp;基本情報!$C$13</f>
        <v>in</v>
      </c>
      <c r="AR72" s="24">
        <f t="shared" si="59"/>
        <v>0</v>
      </c>
      <c r="AS72" s="24">
        <f>IF($H72="",0,IF($D72="樹林",IF(ISERROR(VLOOKUP($V72,市町村・植物種ごとの樹林点数DB!$A:$F,6,FALSE))=TRUE,10,VLOOKUP($V72,市町村・植物種ごとの樹林点数DB!$A:$F,6,FALSE)),IF($D72="低木・草地",IF(OR($H72="【ススキ】・【ネザサ】・【チガヤ】",$H72="不明"),45,10),0)))</f>
        <v>0</v>
      </c>
      <c r="AT72" s="24">
        <f t="shared" si="60"/>
        <v>0</v>
      </c>
      <c r="AU72" s="24">
        <f t="shared" si="61"/>
        <v>1</v>
      </c>
      <c r="AV72" s="24">
        <f t="shared" si="62"/>
        <v>0</v>
      </c>
      <c r="AW72" s="24">
        <f t="shared" si="63"/>
        <v>1</v>
      </c>
      <c r="AX72" s="25">
        <f t="shared" si="48"/>
        <v>0</v>
      </c>
      <c r="AY72" s="25">
        <f t="shared" si="49"/>
        <v>0</v>
      </c>
      <c r="AZ72" s="25">
        <f t="shared" si="50"/>
        <v>0</v>
      </c>
      <c r="BA72" s="25" t="str">
        <f t="shared" si="51"/>
        <v/>
      </c>
      <c r="BB72" s="25" t="str">
        <f t="shared" si="52"/>
        <v/>
      </c>
      <c r="BC72" s="25" t="str">
        <f t="shared" si="53"/>
        <v/>
      </c>
      <c r="BD72" s="25">
        <f>IF(ISERROR(VLOOKUP($K72,割合DB!$A:$B,2,FALSE))=TRUE,0,VLOOKUP($K72,割合DB!$A:$B,2,FALSE))</f>
        <v>0</v>
      </c>
      <c r="BE72" s="25">
        <f>IF(ISERROR(VLOOKUP($L72,割合DB!$A:$B,2,FALSE))=TRUE,0,VLOOKUP($L72,割合DB!$A:$B,2,FALSE))</f>
        <v>0</v>
      </c>
      <c r="BF72" s="25">
        <f>IF(ISERROR(VLOOKUP($M72,割合DB!$A:$B,2,FALSE))=TRUE,0,VLOOKUP($M72,割合DB!$A:$B,2,FALSE))</f>
        <v>0</v>
      </c>
      <c r="BG72" s="25">
        <f t="shared" si="54"/>
        <v>100</v>
      </c>
      <c r="BH72" s="18">
        <f t="shared" si="55"/>
        <v>100</v>
      </c>
      <c r="BI72" s="18">
        <f t="shared" si="65"/>
        <v>1</v>
      </c>
      <c r="BJ72" s="176"/>
      <c r="BK72" s="176"/>
      <c r="BL72" s="176"/>
      <c r="BM72" s="176"/>
      <c r="BN72" s="176"/>
      <c r="BO72" s="176"/>
      <c r="BP72" s="176"/>
      <c r="BQ72" s="176"/>
      <c r="BR72" s="176"/>
      <c r="BS72" s="176"/>
      <c r="BT72" s="176"/>
      <c r="BU72" s="176"/>
      <c r="BV72" s="176"/>
      <c r="BW72" s="176"/>
      <c r="BX72" s="176"/>
      <c r="BY72" s="176"/>
      <c r="BZ72" s="176"/>
      <c r="CA72" s="176"/>
    </row>
    <row r="73" spans="1:79" ht="27" customHeight="1" x14ac:dyDescent="0.15">
      <c r="A73" s="30" t="s">
        <v>565</v>
      </c>
      <c r="B73" s="31" t="str">
        <f>IF('環境条件(竣工時)'!B73="","",'環境条件(竣工時)'!B73)</f>
        <v/>
      </c>
      <c r="C73" s="31" t="str">
        <f>IF('環境条件(竣工時)'!C73="","",'環境条件(竣工時)'!C73)</f>
        <v/>
      </c>
      <c r="D73" s="31" t="str">
        <f>IF('環境条件(竣工時)'!D73="","",'環境条件(竣工時)'!D73)</f>
        <v/>
      </c>
      <c r="E73" s="31" t="str">
        <f>IF('環境条件(竣工時)'!E73="","",'環境条件(竣工時)'!E73)</f>
        <v/>
      </c>
      <c r="F73" s="30" t="str">
        <f>IF('環境条件(竣工時)'!F73="","",'環境条件(竣工時)'!F73)</f>
        <v/>
      </c>
      <c r="G73" s="21"/>
      <c r="H73" s="22"/>
      <c r="I73" s="22"/>
      <c r="J73" s="22"/>
      <c r="K73" s="23"/>
      <c r="L73" s="23"/>
      <c r="M73" s="23"/>
      <c r="N73" s="146"/>
      <c r="O73" s="40">
        <f t="shared" ref="O73" si="66">IF(F73="該当",AN73,S73)</f>
        <v>0</v>
      </c>
      <c r="P73" s="183" t="str">
        <f t="shared" ref="P73" si="67">IF(B73="","",B73*O73)</f>
        <v/>
      </c>
      <c r="S73" s="18">
        <f t="shared" si="64"/>
        <v>0</v>
      </c>
      <c r="T73" s="18">
        <f t="shared" si="56"/>
        <v>0</v>
      </c>
      <c r="U73" s="18">
        <f>IF(C73="人工面",0,IF(G73="",0,IF(D73="湿性環境",VLOOKUP(G73,環境タイプⅡによる点数DB!A:B,2,FALSE),IF(D73="樹林",VLOOKUP(G73,環境タイプⅡによる点数DB!A:C,3,FALSE),IF(D73="低木・草地",VLOOKUP(G73,環境タイプⅡによる点数DB!A:D,4,FALSE),0)))))</f>
        <v>0</v>
      </c>
      <c r="V73" s="24" t="str">
        <f>$H73&amp;"in"&amp;基本情報!$C$13</f>
        <v>in</v>
      </c>
      <c r="W73" s="24">
        <f t="shared" si="57"/>
        <v>0</v>
      </c>
      <c r="X73" s="24">
        <f>IF($H73="",0,IF($D73="樹林",IF(ISERROR(VLOOKUP($V73,市町村・植物種ごとの樹林点数DB!$A:$G,7,FALSE))=TRUE,20,VLOOKUP($V73,市町村・植物種ごとの樹林点数DB!$A:$G,7,FALSE)),IF($D73="低木・草地",IF($H73="【ススキ】・【ネザサ】・【チガヤ】",45,10),0)))</f>
        <v>0</v>
      </c>
      <c r="Y73" s="24">
        <f t="shared" ref="Y73" si="68">IF($D73="樹林",IF(H73="",5,0),IF($D73="低木・草地",IF(H73="",10,0),0))</f>
        <v>0</v>
      </c>
      <c r="Z73" s="24">
        <f t="shared" ref="Z73" si="69">IF(OR(H73="その他の低木・草",H73="【ススキ】・【ネザサ】・【チガヤ】"),0,1)</f>
        <v>1</v>
      </c>
      <c r="AA73" s="24">
        <f t="shared" ref="AA73" si="70">IF(I73="ほぼ無し",0,IF(I73="1/4程度",0.25,IF(I73="1/2程度",0.5,IF(I73="3/4程度",0.75,IF(I73="ほぼ全て",1,1)))))</f>
        <v>1</v>
      </c>
      <c r="AB73" s="24">
        <f t="shared" ref="AB73" si="71">IF(J73="無し",0,IF(J73="有り",1,IF(J73="不明",0,0)))</f>
        <v>0</v>
      </c>
      <c r="AC73" s="25">
        <f t="shared" ref="AC73" si="72">(X73+Y73)*W73</f>
        <v>0</v>
      </c>
      <c r="AD73" s="25">
        <f t="shared" ref="AD73" si="73">IF(AC73=45,25*(1-AA73),IF(AC73=40,20*(1-AA73),IF(AC73&gt;=2.5,10*(1-AA73),IF(AC73&gt;0,5*(1-AA73),0))))</f>
        <v>0</v>
      </c>
      <c r="AE73" s="25">
        <f t="shared" ref="AE73" si="74">IF(W73=1,AB73*Z73*10,0)</f>
        <v>0</v>
      </c>
      <c r="AF73" s="25" t="str">
        <f t="shared" ref="AF73" si="75">IF(D73="低木・草地",SUM(AC73:AD73),"")</f>
        <v/>
      </c>
      <c r="AG73" s="25" t="str">
        <f t="shared" ref="AG73" si="76">IF(D73="樹林",SUM(AC73:AE73),"")</f>
        <v/>
      </c>
      <c r="AH73" s="25" t="str">
        <f t="shared" ref="AH73" si="77">IF(D73="湿性環境",IF(AL73+AM73&lt;60,0,(AL73+AM73)/2-30),"")</f>
        <v/>
      </c>
      <c r="AI73" s="25">
        <f>IF(ISERROR(VLOOKUP(K73,割合DB!$A:$B,2,FALSE))=TRUE,100,VLOOKUP(K73,割合DB!$A:$B,2,FALSE))</f>
        <v>100</v>
      </c>
      <c r="AJ73" s="25">
        <f>IF(ISERROR(VLOOKUP(L73,割合DB!$A:$B,2,FALSE))=TRUE,100,VLOOKUP(L73,割合DB!$A:$B,2,FALSE))</f>
        <v>100</v>
      </c>
      <c r="AK73" s="25">
        <f>IF(ISERROR(VLOOKUP(M73,割合DB!$A:$B,2,FALSE))=TRUE,100,VLOOKUP(M73,割合DB!$A:$B,2,FALSE))</f>
        <v>100</v>
      </c>
      <c r="AL73" s="25">
        <f t="shared" ref="AL73" si="78">((100-AI73)+(100-AJ73))/2</f>
        <v>0</v>
      </c>
      <c r="AM73" s="18">
        <f t="shared" ref="AM73" si="79">100-AK73</f>
        <v>0</v>
      </c>
      <c r="AN73" s="18">
        <f t="shared" ref="AN73" si="80">IF(AO73=0,0,IF(AP73="点数特定できず",SUM(BA73:BC73),AP73))</f>
        <v>0</v>
      </c>
      <c r="AO73" s="18">
        <f t="shared" si="58"/>
        <v>0</v>
      </c>
      <c r="AP73" s="18">
        <f>IF($C73="人工面",0,IF($G73="",70,IF($D73="湿性環境",VLOOKUP($G73,環境タイプⅡによる点数DB!$A:$B,2,FALSE),IF($D73="樹林",VLOOKUP($G73,環境タイプⅡによる点数DB!$A:$C,3,FALSE),IF($D73="低木・草地",VLOOKUP($G73,環境タイプⅡによる点数DB!$A:$D,4,FALSE),0)))))</f>
        <v>70</v>
      </c>
      <c r="AQ73" s="24" t="str">
        <f>$H73&amp;"in"&amp;基本情報!$C$13</f>
        <v>in</v>
      </c>
      <c r="AR73" s="24">
        <f t="shared" si="59"/>
        <v>0</v>
      </c>
      <c r="AS73" s="24">
        <f>IF($H73="",0,IF($D73="樹林",IF(ISERROR(VLOOKUP($V73,市町村・植物種ごとの樹林点数DB!$A:$F,6,FALSE))=TRUE,10,VLOOKUP($V73,市町村・植物種ごとの樹林点数DB!$A:$F,6,FALSE)),IF($D73="低木・草地",IF(OR($H73="【ススキ】・【ネザサ】・【チガヤ】",$H73="不明"),45,10),0)))</f>
        <v>0</v>
      </c>
      <c r="AT73" s="24">
        <f t="shared" si="60"/>
        <v>0</v>
      </c>
      <c r="AU73" s="24">
        <f t="shared" si="61"/>
        <v>1</v>
      </c>
      <c r="AV73" s="24">
        <f t="shared" si="62"/>
        <v>0</v>
      </c>
      <c r="AW73" s="24">
        <f t="shared" si="63"/>
        <v>1</v>
      </c>
      <c r="AX73" s="25">
        <f t="shared" ref="AX73" si="81">(AS73+AT73)*AR73</f>
        <v>0</v>
      </c>
      <c r="AY73" s="25">
        <f t="shared" ref="AY73" si="82">IF(AX73=45,25*(1-AV73),IF(AX73=40,20*(1-AV73),IF(AX73&gt;=2.5,10*(1-AV73),IF(AX73&gt;0,5*(1-AV73),0))))</f>
        <v>0</v>
      </c>
      <c r="AZ73" s="25">
        <f t="shared" ref="AZ73" si="83">IF(AR73=1,AW73*AU73*10,0)</f>
        <v>0</v>
      </c>
      <c r="BA73" s="25" t="str">
        <f t="shared" ref="BA73" si="84">IF($D73="低木・草地",SUM(AX73:AY73),"")</f>
        <v/>
      </c>
      <c r="BB73" s="25" t="str">
        <f t="shared" ref="BB73" si="85">IF($D73="樹林",SUM(AX73:AZ73),"")</f>
        <v/>
      </c>
      <c r="BC73" s="25" t="str">
        <f t="shared" ref="BC73" si="86">IF($D73="湿性環境",IF(BG73+BH73&lt;60,0,(BG73+BH73)/2-30),"")</f>
        <v/>
      </c>
      <c r="BD73" s="25">
        <f>IF(ISERROR(VLOOKUP($K73,割合DB!$A:$B,2,FALSE))=TRUE,0,VLOOKUP($K73,割合DB!$A:$B,2,FALSE))</f>
        <v>0</v>
      </c>
      <c r="BE73" s="25">
        <f>IF(ISERROR(VLOOKUP($L73,割合DB!$A:$B,2,FALSE))=TRUE,0,VLOOKUP($L73,割合DB!$A:$B,2,FALSE))</f>
        <v>0</v>
      </c>
      <c r="BF73" s="25">
        <f>IF(ISERROR(VLOOKUP($M73,割合DB!$A:$B,2,FALSE))=TRUE,0,VLOOKUP($M73,割合DB!$A:$B,2,FALSE))</f>
        <v>0</v>
      </c>
      <c r="BG73" s="25">
        <f t="shared" ref="BG73" si="87">((100-BD73)+(100-BE73))/2</f>
        <v>100</v>
      </c>
      <c r="BH73" s="18">
        <f t="shared" ref="BH73" si="88">100-BF73</f>
        <v>100</v>
      </c>
      <c r="BI73" s="18">
        <f t="shared" si="65"/>
        <v>1</v>
      </c>
      <c r="BJ73" s="176"/>
      <c r="BK73" s="176"/>
      <c r="BL73" s="176"/>
      <c r="BM73" s="176"/>
      <c r="BN73" s="176"/>
      <c r="BO73" s="176"/>
      <c r="BP73" s="176"/>
      <c r="BQ73" s="176"/>
      <c r="BR73" s="176"/>
      <c r="BS73" s="176"/>
      <c r="BT73" s="176"/>
      <c r="BU73" s="176"/>
      <c r="BV73" s="176"/>
      <c r="BW73" s="176"/>
      <c r="BX73" s="176"/>
      <c r="BY73" s="176"/>
      <c r="BZ73" s="176"/>
      <c r="CA73" s="176"/>
    </row>
    <row r="74" spans="1:79" ht="27" customHeight="1" x14ac:dyDescent="0.15">
      <c r="A74" s="160" t="s">
        <v>1</v>
      </c>
      <c r="B74" s="33">
        <f>SUM(B4:B73)</f>
        <v>0</v>
      </c>
      <c r="C74" s="33" t="s">
        <v>68</v>
      </c>
      <c r="D74" s="33"/>
      <c r="E74" s="34"/>
      <c r="F74" s="40"/>
      <c r="G74" s="40"/>
      <c r="H74" s="35"/>
      <c r="I74" s="35"/>
      <c r="J74" s="35"/>
      <c r="K74" s="36"/>
      <c r="L74" s="37"/>
      <c r="M74" s="38"/>
      <c r="N74" s="147"/>
      <c r="O74" s="39"/>
      <c r="P74" s="184">
        <f>SUM(P4:P73)</f>
        <v>0</v>
      </c>
      <c r="V74" s="25"/>
      <c r="W74" s="25"/>
      <c r="X74" s="25"/>
      <c r="Y74" s="25"/>
      <c r="Z74" s="25"/>
      <c r="AA74" s="25"/>
      <c r="AB74" s="25"/>
      <c r="AC74" s="25"/>
      <c r="AD74" s="25"/>
      <c r="AE74" s="25"/>
      <c r="AF74" s="25"/>
      <c r="AG74" s="25"/>
      <c r="AH74" s="25"/>
      <c r="AI74" s="25"/>
      <c r="AJ74" s="25"/>
      <c r="AK74" s="25"/>
      <c r="AL74" s="25"/>
      <c r="AP74" s="18">
        <f>IF($C74="人工面",0,IF($G74="",70,IF($D74="湿性環境",VLOOKUP($G74,環境タイプⅡによる点数DB!$A:$B,2,FALSE),IF($D74="樹林",VLOOKUP($G74,環境タイプⅡによる点数DB!$A:$C,3,FALSE),IF($D74="低木・草地",VLOOKUP($G74,環境タイプⅡによる点数DB!$A:$D,4,FALSE),0)))))</f>
        <v>70</v>
      </c>
      <c r="AQ74" s="25"/>
      <c r="AR74" s="25"/>
      <c r="AS74" s="25"/>
      <c r="AT74" s="25"/>
      <c r="AU74" s="25"/>
      <c r="AV74" s="25"/>
      <c r="AW74" s="25"/>
      <c r="AX74" s="25"/>
      <c r="AY74" s="25"/>
      <c r="AZ74" s="25"/>
      <c r="BA74" s="25"/>
      <c r="BB74" s="25"/>
      <c r="BC74" s="25"/>
      <c r="BD74" s="25"/>
      <c r="BE74" s="25"/>
      <c r="BF74" s="25"/>
      <c r="BG74" s="25"/>
      <c r="BH74" s="25"/>
      <c r="BJ74" s="176"/>
      <c r="BK74" s="176"/>
      <c r="BL74" s="176"/>
      <c r="BM74" s="176"/>
      <c r="BN74" s="176"/>
      <c r="BO74" s="176"/>
      <c r="BP74" s="176"/>
      <c r="BQ74" s="176"/>
      <c r="BR74" s="176"/>
      <c r="BS74" s="176"/>
      <c r="BT74" s="176"/>
      <c r="BU74" s="176"/>
      <c r="BV74" s="176"/>
      <c r="BW74" s="176"/>
      <c r="BX74" s="176"/>
      <c r="BY74" s="176"/>
      <c r="BZ74" s="176"/>
      <c r="CA74" s="176"/>
    </row>
    <row r="75" spans="1:79" ht="21" customHeight="1" x14ac:dyDescent="0.15">
      <c r="A75" s="182"/>
      <c r="V75" s="25"/>
      <c r="W75" s="25"/>
      <c r="X75" s="25"/>
      <c r="Y75" s="25"/>
      <c r="Z75" s="25"/>
      <c r="AA75" s="25"/>
      <c r="AB75" s="25"/>
      <c r="AC75" s="25"/>
      <c r="AD75" s="25"/>
      <c r="AE75" s="25"/>
      <c r="AF75" s="25"/>
      <c r="AG75" s="25"/>
      <c r="AH75" s="25"/>
      <c r="AI75" s="25"/>
      <c r="AJ75" s="25"/>
      <c r="AK75" s="25"/>
      <c r="AL75" s="25"/>
      <c r="AQ75" s="25"/>
      <c r="AR75" s="25"/>
      <c r="AS75" s="25"/>
      <c r="AT75" s="25"/>
      <c r="AU75" s="25"/>
      <c r="AV75" s="25"/>
      <c r="AW75" s="25"/>
      <c r="AX75" s="25"/>
      <c r="AY75" s="25"/>
      <c r="AZ75" s="25"/>
      <c r="BA75" s="25"/>
      <c r="BB75" s="25"/>
      <c r="BC75" s="25"/>
      <c r="BD75" s="25"/>
      <c r="BE75" s="25"/>
      <c r="BF75" s="25"/>
      <c r="BG75" s="25"/>
      <c r="BH75" s="25"/>
      <c r="BJ75" s="176"/>
      <c r="BK75" s="176"/>
      <c r="BL75" s="176"/>
      <c r="BM75" s="176"/>
      <c r="BN75" s="176"/>
      <c r="BO75" s="176"/>
      <c r="BP75" s="176"/>
      <c r="BQ75" s="176"/>
      <c r="BR75" s="176"/>
      <c r="BS75" s="176"/>
      <c r="BT75" s="176"/>
      <c r="BU75" s="176"/>
      <c r="BV75" s="176"/>
      <c r="BW75" s="176"/>
      <c r="BX75" s="176"/>
      <c r="BY75" s="176"/>
      <c r="BZ75" s="176"/>
      <c r="CA75" s="176"/>
    </row>
    <row r="76" spans="1:79" ht="18.75" customHeight="1" x14ac:dyDescent="0.15">
      <c r="A76" s="182"/>
      <c r="B76" s="182"/>
      <c r="BJ76" s="176"/>
      <c r="BK76" s="176"/>
      <c r="BL76" s="176"/>
      <c r="BM76" s="176"/>
      <c r="BN76" s="176"/>
      <c r="BO76" s="176"/>
      <c r="BP76" s="176"/>
      <c r="BQ76" s="176"/>
      <c r="BR76" s="176"/>
      <c r="BS76" s="176"/>
      <c r="BT76" s="176"/>
      <c r="BU76" s="176"/>
      <c r="BV76" s="176"/>
      <c r="BW76" s="176"/>
      <c r="BX76" s="176"/>
      <c r="BY76" s="176"/>
      <c r="BZ76" s="176"/>
      <c r="CA76" s="176"/>
    </row>
  </sheetData>
  <sheetProtection algorithmName="SHA-512" hashValue="w6TKwaDWSkfsDOalqx2VDk5S+iM59PqYavd1m2224Aph8CitZfvAht1Z/VB2tEgf0cT3bIEDClyYfBZsQZ97Zg==" saltValue="ITZc3lsMpoIgt/JVAuzmcg==" spinCount="100000" sheet="1" objects="1" scenarios="1"/>
  <mergeCells count="11">
    <mergeCell ref="H2:J2"/>
    <mergeCell ref="K2:M2"/>
    <mergeCell ref="O2:O3"/>
    <mergeCell ref="P2:P3"/>
    <mergeCell ref="A2:A3"/>
    <mergeCell ref="B2:B3"/>
    <mergeCell ref="C2:C3"/>
    <mergeCell ref="D2:D3"/>
    <mergeCell ref="E2:E3"/>
    <mergeCell ref="F2:F3"/>
    <mergeCell ref="G2:G3"/>
  </mergeCells>
  <phoneticPr fontId="20"/>
  <dataValidations count="4">
    <dataValidation type="list" allowBlank="1" showInputMessage="1" showErrorMessage="1" sqref="H4:H73" xr:uid="{00000000-0002-0000-0A00-000000000000}">
      <formula1>上層の植生</formula1>
    </dataValidation>
    <dataValidation type="list" allowBlank="1" showInputMessage="1" showErrorMessage="1" sqref="G4:G73" xr:uid="{00000000-0002-0000-0A00-000001000000}">
      <formula1>環境タイプⅡ</formula1>
    </dataValidation>
    <dataValidation type="list" allowBlank="1" showInputMessage="1" showErrorMessage="1" sqref="J4:J73" xr:uid="{00000000-0002-0000-0A00-000002000000}">
      <formula1>有無</formula1>
    </dataValidation>
    <dataValidation type="list" allowBlank="1" showInputMessage="1" showErrorMessage="1" sqref="I4:I73 K4:M73" xr:uid="{00000000-0002-0000-0A00-000003000000}">
      <formula1>五段階割合</formula1>
    </dataValidation>
  </dataValidations>
  <printOptions horizontalCentered="1"/>
  <pageMargins left="0.27559055118110237" right="0.27559055118110237" top="0.27559055118110237" bottom="0.23622047244094491" header="0.23622047244094491" footer="0.19685039370078741"/>
  <pageSetup paperSize="9" scale="55" fitToHeight="0" orientation="landscape" r:id="rId1"/>
  <rowBreaks count="1" manualBreakCount="1">
    <brk id="72" max="15" man="1"/>
  </rowBreaks>
  <colBreaks count="1" manualBreakCount="1">
    <brk id="13" max="73"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EF78922-F014-4488-AE88-5A95E7B3DE63}">
          <x14:formula1>
            <xm:f>リスト!$Y$1:$Y$5</xm:f>
          </x14:formula1>
          <xm:sqref>N4:N73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BO53"/>
  <sheetViews>
    <sheetView showGridLines="0" view="pageBreakPreview" zoomScale="55" zoomScaleNormal="70" zoomScaleSheetLayoutView="55" workbookViewId="0">
      <selection activeCell="H4" sqref="H4:I4"/>
    </sheetView>
  </sheetViews>
  <sheetFormatPr defaultColWidth="9" defaultRowHeight="15" x14ac:dyDescent="0.15"/>
  <cols>
    <col min="1" max="1" width="3.125" style="188" customWidth="1"/>
    <col min="2" max="2" width="16.625" style="188" customWidth="1"/>
    <col min="3" max="3" width="16.75" style="188" customWidth="1"/>
    <col min="4" max="11" width="16.625" style="188" customWidth="1"/>
    <col min="12" max="12" width="3.125" style="196" customWidth="1"/>
    <col min="13" max="15" width="21.75" style="16" hidden="1" customWidth="1"/>
    <col min="16" max="16" width="6.75" style="16" hidden="1" customWidth="1"/>
    <col min="17" max="17" width="21.75" style="16" hidden="1" customWidth="1"/>
    <col min="18" max="23" width="16.375" style="16" hidden="1" customWidth="1"/>
    <col min="24" max="24" width="34.375" style="16" hidden="1" customWidth="1"/>
    <col min="25" max="25" width="22.5" style="16" hidden="1" customWidth="1"/>
    <col min="26" max="26" width="23.875" style="16" hidden="1" customWidth="1"/>
    <col min="27" max="33" width="9.125" style="16" hidden="1" customWidth="1"/>
    <col min="34" max="35" width="9" style="16" hidden="1" customWidth="1"/>
    <col min="36" max="36" width="108.125" style="16" hidden="1" customWidth="1"/>
    <col min="37" max="37" width="143.875" style="16" hidden="1" customWidth="1"/>
    <col min="38" max="38" width="9" style="16" hidden="1" customWidth="1"/>
    <col min="39" max="57" width="9" style="16" customWidth="1"/>
    <col min="58" max="58" width="14.625" style="16" customWidth="1"/>
    <col min="59" max="59" width="9" style="16"/>
    <col min="60" max="61" width="9" style="185"/>
    <col min="62" max="65" width="9" style="186"/>
    <col min="66" max="66" width="9" style="187"/>
    <col min="67" max="16384" width="9" style="188"/>
  </cols>
  <sheetData>
    <row r="1" spans="1:67" ht="20.100000000000001" customHeight="1" thickTop="1" x14ac:dyDescent="0.15">
      <c r="A1" s="42"/>
      <c r="B1" s="43"/>
      <c r="C1" s="43"/>
      <c r="D1" s="43"/>
      <c r="E1" s="43"/>
      <c r="F1" s="43"/>
      <c r="G1" s="43"/>
      <c r="H1" s="43"/>
      <c r="I1" s="43"/>
      <c r="J1" s="43"/>
      <c r="K1" s="43"/>
      <c r="L1" s="44"/>
    </row>
    <row r="2" spans="1:67" ht="30" customHeight="1" x14ac:dyDescent="0.15">
      <c r="A2" s="45"/>
      <c r="B2" s="327" t="s">
        <v>370</v>
      </c>
      <c r="C2" s="328"/>
      <c r="D2" s="328"/>
      <c r="E2" s="328"/>
      <c r="F2" s="328"/>
      <c r="G2" s="328"/>
      <c r="H2" s="328"/>
      <c r="I2" s="328"/>
      <c r="J2" s="328"/>
      <c r="K2" s="328"/>
      <c r="L2" s="46"/>
    </row>
    <row r="3" spans="1:67" ht="15" customHeight="1" x14ac:dyDescent="0.15">
      <c r="A3" s="45"/>
      <c r="B3" s="47"/>
      <c r="C3" s="47"/>
      <c r="D3" s="47"/>
      <c r="E3" s="47"/>
      <c r="F3" s="47"/>
      <c r="G3" s="47"/>
      <c r="H3" s="47"/>
      <c r="I3" s="47"/>
      <c r="J3" s="47"/>
      <c r="K3" s="47"/>
      <c r="L3" s="46"/>
    </row>
    <row r="4" spans="1:67" ht="30" customHeight="1" x14ac:dyDescent="0.15">
      <c r="A4" s="45"/>
      <c r="B4" s="306" t="s">
        <v>371</v>
      </c>
      <c r="C4" s="309"/>
      <c r="D4" s="342" t="str">
        <f>IF(基本情報!$C3="","",基本情報!$C3)</f>
        <v/>
      </c>
      <c r="E4" s="343"/>
      <c r="F4" s="337" t="s">
        <v>372</v>
      </c>
      <c r="G4" s="338"/>
      <c r="H4" s="344" t="str">
        <f>IF(基本情報!$C4="","",基本情報!$C4)</f>
        <v/>
      </c>
      <c r="I4" s="345"/>
      <c r="J4" s="12"/>
      <c r="K4" s="12"/>
      <c r="L4" s="46"/>
    </row>
    <row r="5" spans="1:67" ht="30" customHeight="1" x14ac:dyDescent="0.15">
      <c r="A5" s="45"/>
      <c r="B5" s="306" t="s">
        <v>373</v>
      </c>
      <c r="C5" s="309"/>
      <c r="D5" s="344" t="str">
        <f>IF(基本情報!$C5="","",基本情報!$C5)</f>
        <v/>
      </c>
      <c r="E5" s="345"/>
      <c r="F5" s="337" t="s">
        <v>374</v>
      </c>
      <c r="G5" s="338"/>
      <c r="H5" s="344" t="str">
        <f>IF(基本情報!$C6="","",基本情報!$C6)</f>
        <v/>
      </c>
      <c r="I5" s="345"/>
      <c r="J5" s="12"/>
      <c r="K5" s="12"/>
      <c r="L5" s="46"/>
    </row>
    <row r="6" spans="1:67" ht="15" customHeight="1" x14ac:dyDescent="0.15">
      <c r="A6" s="45"/>
      <c r="B6" s="47"/>
      <c r="C6" s="47"/>
      <c r="D6" s="47"/>
      <c r="E6" s="47"/>
      <c r="F6" s="48"/>
      <c r="G6" s="49"/>
      <c r="H6" s="49"/>
      <c r="I6" s="49"/>
      <c r="J6" s="48"/>
      <c r="K6" s="49"/>
      <c r="L6" s="46"/>
    </row>
    <row r="7" spans="1:67" ht="30" customHeight="1" x14ac:dyDescent="0.15">
      <c r="A7" s="45"/>
      <c r="B7" s="306" t="s">
        <v>375</v>
      </c>
      <c r="C7" s="309"/>
      <c r="D7" s="339" t="str">
        <f>IF(基本情報!$C10="","",基本情報!$C10)</f>
        <v/>
      </c>
      <c r="E7" s="340"/>
      <c r="F7" s="331" t="s">
        <v>376</v>
      </c>
      <c r="G7" s="332"/>
      <c r="H7" s="341" t="str">
        <f>IF(基本情報!$C13="","",基本情報!$C13)</f>
        <v/>
      </c>
      <c r="I7" s="340"/>
      <c r="J7" s="12"/>
      <c r="K7" s="12"/>
      <c r="L7" s="46"/>
      <c r="M7" s="189"/>
      <c r="N7" s="189"/>
      <c r="O7" s="189"/>
      <c r="P7" s="189"/>
      <c r="Q7" s="189"/>
    </row>
    <row r="8" spans="1:67" ht="30" customHeight="1" x14ac:dyDescent="0.15">
      <c r="A8" s="45"/>
      <c r="B8" s="333" t="s">
        <v>432</v>
      </c>
      <c r="C8" s="334"/>
      <c r="D8" s="346" t="str">
        <f>IF(基本情報!C11="","",IF(AND(基本情報!C11="環境改善行為",基本情報!C12="はい"),"開発区域外での代償",基本情報!C11))</f>
        <v/>
      </c>
      <c r="E8" s="347"/>
      <c r="F8" s="335" t="s">
        <v>377</v>
      </c>
      <c r="G8" s="336"/>
      <c r="H8" s="217" t="str">
        <f>IF(基本情報!$C16="","",基本情報!$C16)</f>
        <v/>
      </c>
      <c r="I8" s="50" t="s">
        <v>431</v>
      </c>
      <c r="J8" s="329" t="str">
        <f>IF(基本情報!$C14="","",基本情報!$C14)</f>
        <v/>
      </c>
      <c r="K8" s="330"/>
      <c r="L8" s="46"/>
    </row>
    <row r="9" spans="1:67" ht="15" customHeight="1" x14ac:dyDescent="0.15">
      <c r="A9" s="45"/>
      <c r="B9" s="47"/>
      <c r="C9" s="47"/>
      <c r="D9" s="47"/>
      <c r="E9" s="47"/>
      <c r="F9" s="51"/>
      <c r="G9" s="52"/>
      <c r="H9" s="52"/>
      <c r="I9" s="52"/>
      <c r="J9" s="53"/>
      <c r="K9" s="53"/>
      <c r="L9" s="46"/>
      <c r="AB9" s="190"/>
    </row>
    <row r="10" spans="1:67" s="196" customFormat="1" ht="20.100000000000001" customHeight="1" x14ac:dyDescent="0.15">
      <c r="A10" s="54"/>
      <c r="B10" s="358"/>
      <c r="C10" s="306"/>
      <c r="D10" s="354" t="s">
        <v>399</v>
      </c>
      <c r="E10" s="355" t="s">
        <v>378</v>
      </c>
      <c r="F10" s="356"/>
      <c r="G10" s="357"/>
      <c r="H10" s="353" t="s">
        <v>569</v>
      </c>
      <c r="I10" s="353"/>
      <c r="J10" s="350" t="s">
        <v>403</v>
      </c>
      <c r="K10" s="55"/>
      <c r="L10" s="46"/>
      <c r="M10" s="15"/>
      <c r="N10" s="15"/>
      <c r="O10" s="15"/>
      <c r="P10" s="191"/>
      <c r="Q10" s="15"/>
      <c r="R10" s="15"/>
      <c r="S10" s="15"/>
      <c r="T10" s="15">
        <f>(R10+S10)/2</f>
        <v>0</v>
      </c>
      <c r="U10" s="15"/>
      <c r="V10" s="15"/>
      <c r="W10" s="15"/>
      <c r="X10" s="15"/>
      <c r="Y10" s="15"/>
      <c r="Z10" s="15"/>
      <c r="AA10" s="15"/>
      <c r="AB10" s="192"/>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93"/>
      <c r="BI10" s="193"/>
      <c r="BJ10" s="194"/>
      <c r="BK10" s="194"/>
      <c r="BL10" s="194"/>
      <c r="BM10" s="194"/>
      <c r="BN10" s="195"/>
    </row>
    <row r="11" spans="1:67" ht="39.950000000000003" customHeight="1" x14ac:dyDescent="0.15">
      <c r="A11" s="45"/>
      <c r="B11" s="306"/>
      <c r="C11" s="306"/>
      <c r="D11" s="306"/>
      <c r="E11" s="165" t="s">
        <v>400</v>
      </c>
      <c r="F11" s="165" t="s">
        <v>401</v>
      </c>
      <c r="G11" s="56" t="s">
        <v>402</v>
      </c>
      <c r="H11" s="164" t="s">
        <v>428</v>
      </c>
      <c r="I11" s="164" t="s">
        <v>429</v>
      </c>
      <c r="J11" s="351"/>
      <c r="K11" s="57" t="s">
        <v>379</v>
      </c>
      <c r="L11" s="58"/>
      <c r="N11" s="197"/>
      <c r="P11" s="198" t="s">
        <v>584</v>
      </c>
      <c r="R11" s="15"/>
      <c r="S11" s="15"/>
      <c r="T11" s="15">
        <f>(R11+S11*2)/3</f>
        <v>0</v>
      </c>
      <c r="AC11" s="190"/>
      <c r="BO11" s="187"/>
    </row>
    <row r="12" spans="1:67" ht="39.950000000000003" customHeight="1" x14ac:dyDescent="0.15">
      <c r="A12" s="45"/>
      <c r="B12" s="293" t="s">
        <v>409</v>
      </c>
      <c r="C12" s="294"/>
      <c r="D12" s="218" t="str">
        <f>IF($M$34=0,"-",U34)</f>
        <v>-</v>
      </c>
      <c r="E12" s="219" t="str">
        <f>IF($M$34=0,"-",V34)</f>
        <v>-</v>
      </c>
      <c r="F12" s="219" t="str">
        <f>IF($M$34=0,"-",W34)</f>
        <v>-</v>
      </c>
      <c r="G12" s="218" t="str">
        <f>IF($M$34=0,"-",(E12+F12*2)/3)</f>
        <v>-</v>
      </c>
      <c r="H12" s="59"/>
      <c r="I12" s="59"/>
      <c r="J12" s="60"/>
      <c r="K12" s="220" t="str">
        <f>IF(ISERROR(SUM(E30:E32)*100/E34)=TRUE,"-",SUM(E30:E32)*100/E34)</f>
        <v>-</v>
      </c>
      <c r="L12" s="61"/>
      <c r="P12" s="199" t="str">
        <f>IF(OR($M$34=0,U34=0),"no",IF(基本情報!C15="はい","no",ROUNDDOWN(SUM(U30:U33)/J8,1)))</f>
        <v>no</v>
      </c>
      <c r="R12" s="15"/>
      <c r="S12" s="15"/>
      <c r="T12" s="15">
        <f>(R12+S12*2)/3</f>
        <v>0</v>
      </c>
      <c r="AC12" s="190"/>
      <c r="BO12" s="187"/>
    </row>
    <row r="13" spans="1:67" ht="39.950000000000003" customHeight="1" x14ac:dyDescent="0.15">
      <c r="A13" s="45"/>
      <c r="B13" s="302" t="s">
        <v>625</v>
      </c>
      <c r="C13" s="303"/>
      <c r="D13" s="60"/>
      <c r="E13" s="64"/>
      <c r="F13" s="219">
        <f>IF(基本情報!$C$31="はい",評価結果!F12*0.05,0)</f>
        <v>0</v>
      </c>
      <c r="G13" s="218">
        <f>F13*2/3</f>
        <v>0</v>
      </c>
      <c r="H13" s="59"/>
      <c r="I13" s="59"/>
      <c r="J13" s="60"/>
      <c r="K13" s="221"/>
      <c r="L13" s="61"/>
      <c r="N13" s="200"/>
      <c r="P13" s="199"/>
      <c r="R13" s="15"/>
      <c r="S13" s="15"/>
      <c r="T13" s="15"/>
      <c r="AC13" s="190"/>
      <c r="BO13" s="187"/>
    </row>
    <row r="14" spans="1:67" ht="39.950000000000003" customHeight="1" x14ac:dyDescent="0.15">
      <c r="A14" s="45"/>
      <c r="B14" s="293" t="s">
        <v>406</v>
      </c>
      <c r="C14" s="294"/>
      <c r="D14" s="60"/>
      <c r="E14" s="219">
        <f>IF(基本情報!$C$34="はい",評価結果!E12*0.05,0)</f>
        <v>0</v>
      </c>
      <c r="F14" s="219">
        <f>IF(基本情報!$C$34="はい",評価結果!F12*0.05,0)</f>
        <v>0</v>
      </c>
      <c r="G14" s="218" t="str">
        <f>IF($M$34=0,"-",(E14+F14*2)/3)</f>
        <v>-</v>
      </c>
      <c r="H14" s="60"/>
      <c r="I14" s="60"/>
      <c r="J14" s="60"/>
      <c r="K14" s="12"/>
      <c r="L14" s="58"/>
      <c r="M14" s="201" t="s">
        <v>360</v>
      </c>
      <c r="R14" s="202"/>
      <c r="AC14" s="190"/>
      <c r="BO14" s="187"/>
    </row>
    <row r="15" spans="1:67" ht="39.950000000000003" customHeight="1" x14ac:dyDescent="0.15">
      <c r="A15" s="45"/>
      <c r="B15" s="296" t="s">
        <v>407</v>
      </c>
      <c r="C15" s="297"/>
      <c r="D15" s="60"/>
      <c r="E15" s="219">
        <f>IF(基本情報!$C$35="はい",評価結果!E12*0.05,0)</f>
        <v>0</v>
      </c>
      <c r="F15" s="219">
        <f>IF(基本情報!$C$35="はい",評価結果!F12*0.05,0)</f>
        <v>0</v>
      </c>
      <c r="G15" s="218" t="str">
        <f>IF($M$34=0,"-",(E15+F15*2)/3)</f>
        <v>-</v>
      </c>
      <c r="H15" s="60"/>
      <c r="I15" s="60"/>
      <c r="J15" s="60"/>
      <c r="K15" s="12"/>
      <c r="L15" s="63"/>
      <c r="M15" s="16">
        <f>IF(OR(基本情報!C11="環境改善行為",基本情報!C11="",M34=0),0,IF(基本情報!C15="はい",IF(AND(基本情報!C17="はい",NOT(基本情報!C18="")),3,2),1))</f>
        <v>0</v>
      </c>
      <c r="R15" s="202"/>
      <c r="AC15" s="190"/>
      <c r="AJ15" s="16">
        <f>13.9/2</f>
        <v>6.95</v>
      </c>
      <c r="BN15" s="203"/>
      <c r="BO15" s="203"/>
    </row>
    <row r="16" spans="1:67" ht="39.950000000000003" customHeight="1" thickBot="1" x14ac:dyDescent="0.2">
      <c r="A16" s="45"/>
      <c r="B16" s="359" t="s">
        <v>631</v>
      </c>
      <c r="C16" s="360"/>
      <c r="D16" s="60"/>
      <c r="E16" s="219">
        <f>IF(基本情報!$C$36="はい",評価結果!E12*0.01,0)</f>
        <v>0</v>
      </c>
      <c r="F16" s="219">
        <f>IF(AND(基本情報!C36="はい",基本情報!C37="はい"),評価結果!F12*0.05,0)</f>
        <v>0</v>
      </c>
      <c r="G16" s="218" t="str">
        <f>IF($M$34=0,"-",(E16+F16*2)/3)</f>
        <v>-</v>
      </c>
      <c r="H16" s="65"/>
      <c r="I16" s="65"/>
      <c r="J16" s="60"/>
      <c r="K16" s="12"/>
      <c r="L16" s="63"/>
      <c r="R16" s="202"/>
      <c r="AC16" s="190"/>
      <c r="BN16" s="203"/>
      <c r="BO16" s="203"/>
    </row>
    <row r="17" spans="1:67" ht="39.950000000000003" customHeight="1" thickTop="1" x14ac:dyDescent="0.15">
      <c r="A17" s="45"/>
      <c r="B17" s="293" t="s">
        <v>408</v>
      </c>
      <c r="C17" s="294"/>
      <c r="D17" s="222">
        <f>IF(基本情報!$C$41="はい",IF(基本情報!C42&gt;SUM(G30:G32),0,評価結果!D12*(-0.05)*(基本情報!C42/F34)),0)</f>
        <v>0</v>
      </c>
      <c r="E17" s="64"/>
      <c r="F17" s="64"/>
      <c r="G17" s="65"/>
      <c r="H17" s="65"/>
      <c r="I17" s="65"/>
      <c r="J17" s="60"/>
      <c r="K17" s="62" t="s">
        <v>380</v>
      </c>
      <c r="L17" s="63"/>
      <c r="R17" s="202"/>
      <c r="AC17" s="190"/>
      <c r="BN17" s="203"/>
      <c r="BO17" s="203"/>
    </row>
    <row r="18" spans="1:67" ht="39.950000000000003" customHeight="1" thickBot="1" x14ac:dyDescent="0.2">
      <c r="A18" s="45"/>
      <c r="B18" s="302" t="s">
        <v>628</v>
      </c>
      <c r="C18" s="303"/>
      <c r="D18" s="64"/>
      <c r="E18" s="64"/>
      <c r="F18" s="64"/>
      <c r="G18" s="150"/>
      <c r="H18" s="65"/>
      <c r="I18" s="155">
        <f>IF(AND(基本情報!C46="はい",基本情報!C47="はい"),SUM(I20:I22),0)</f>
        <v>0</v>
      </c>
      <c r="J18" s="151"/>
      <c r="K18" s="223" t="str">
        <f>IF(M15&lt;2,"-",IF(基本情報!C16="","--",IF(M15=3,IF(G24=0,基本情報!C16,MAX(MIN((D24*0.2/G24)*100,基本情報!C16),基本情報!C18)),基本情報!C16)))</f>
        <v>-</v>
      </c>
      <c r="L18" s="63"/>
      <c r="R18" s="202"/>
      <c r="AC18" s="190"/>
      <c r="BN18" s="203"/>
      <c r="BO18" s="203"/>
    </row>
    <row r="19" spans="1:67" ht="39.950000000000003" customHeight="1" thickTop="1" thickBot="1" x14ac:dyDescent="0.2">
      <c r="A19" s="45"/>
      <c r="B19" s="302" t="s">
        <v>410</v>
      </c>
      <c r="C19" s="352"/>
      <c r="D19" s="224">
        <f>SUM(D12:D17)</f>
        <v>0</v>
      </c>
      <c r="E19" s="225">
        <f>SUM(E12:E16)</f>
        <v>0</v>
      </c>
      <c r="F19" s="225">
        <f>SUM(F12:F16)</f>
        <v>0</v>
      </c>
      <c r="G19" s="224">
        <f>(E19+F19*2)/3</f>
        <v>0</v>
      </c>
      <c r="H19" s="226">
        <f>(SUM(H20:H22)+H18)</f>
        <v>0</v>
      </c>
      <c r="I19" s="226">
        <f>(SUM(I20:I22)+I18)</f>
        <v>0</v>
      </c>
      <c r="J19" s="68" t="str">
        <f>IF($M$34=0,"-",G19+I19-D19-H19)</f>
        <v>-</v>
      </c>
      <c r="K19" s="66" t="s">
        <v>398</v>
      </c>
      <c r="L19" s="67"/>
      <c r="M19" s="201" t="s">
        <v>430</v>
      </c>
      <c r="Q19" s="188"/>
      <c r="AC19" s="190"/>
      <c r="BO19" s="187"/>
    </row>
    <row r="20" spans="1:67" ht="22.5" customHeight="1" thickBot="1" x14ac:dyDescent="0.2">
      <c r="A20" s="45"/>
      <c r="B20" s="293" t="s">
        <v>425</v>
      </c>
      <c r="C20" s="294"/>
      <c r="D20" s="224" t="str">
        <f>IF($M$34=0,"-",IF($U$34=0,0,U30+(D$17*U30/$U$34)))</f>
        <v>-</v>
      </c>
      <c r="E20" s="227" t="str">
        <f>IF($M$34=0,"-",V30+((E$14+E$15+E$16)*V30/$V$34))</f>
        <v>-</v>
      </c>
      <c r="F20" s="227" t="str">
        <f>IF($M$34=0,"-",W30+((F$13+F$14+F$15+F$16)*W30/$W$34))</f>
        <v>-</v>
      </c>
      <c r="G20" s="217" t="str">
        <f>IF($M$34=0,"-",(E20+F20*2)/3)</f>
        <v>-</v>
      </c>
      <c r="H20" s="228">
        <v>0</v>
      </c>
      <c r="I20" s="229">
        <v>0</v>
      </c>
      <c r="J20" s="68" t="str">
        <f>IF($M$34=0,"-",IF(SUM(I20:I22)=0,(G20+I20-D20-H20),(G20+I20-D20-H20)+I18*(I20/SUM(I20:I22))))</f>
        <v>-</v>
      </c>
      <c r="K20" s="230" t="str">
        <f>IF(基本情報!C11="環境改善行為","-",IF($M34=0,"-",I25-H24))</f>
        <v>-</v>
      </c>
      <c r="L20" s="67"/>
      <c r="M20" s="16">
        <f>IF(J20&gt;=0,1,0)</f>
        <v>1</v>
      </c>
      <c r="Q20" s="188"/>
      <c r="AC20" s="190"/>
      <c r="BO20" s="187"/>
    </row>
    <row r="21" spans="1:67" ht="22.5" customHeight="1" thickTop="1" x14ac:dyDescent="0.15">
      <c r="A21" s="45"/>
      <c r="B21" s="293" t="s">
        <v>426</v>
      </c>
      <c r="C21" s="294"/>
      <c r="D21" s="224" t="str">
        <f>IF($M$34=0,"-",IF($U$34=0,0,U31+(D$17*U31/$U$34)))</f>
        <v>-</v>
      </c>
      <c r="E21" s="227" t="str">
        <f>IF($M$34=0,"-",V31+((E$14+E$15+E$16)*V31/$V$34))</f>
        <v>-</v>
      </c>
      <c r="F21" s="227" t="str">
        <f>IF($M$34=0,"-",W31+((F$13+F$14+F$15+F$16)*W31/$W$34))</f>
        <v>-</v>
      </c>
      <c r="G21" s="217" t="str">
        <f>IF($M$34=0,"-",(E21+F21*2)/3)</f>
        <v>-</v>
      </c>
      <c r="H21" s="231"/>
      <c r="I21" s="232"/>
      <c r="J21" s="68" t="str">
        <f>IF($M$34=0,"-",IF(SUM(I20:I22)=0,(G21+I21-D21-H21),(G21+I21-D21-H21)+I18*(I21/SUM(I20:I22))))</f>
        <v>-</v>
      </c>
      <c r="K21" s="289" t="s">
        <v>411</v>
      </c>
      <c r="L21" s="67"/>
      <c r="M21" s="16">
        <f>IF(J21&gt;=0,1,0)</f>
        <v>1</v>
      </c>
      <c r="Q21" s="188"/>
      <c r="AC21" s="190"/>
      <c r="BO21" s="187"/>
    </row>
    <row r="22" spans="1:67" ht="22.5" customHeight="1" thickBot="1" x14ac:dyDescent="0.2">
      <c r="A22" s="45"/>
      <c r="B22" s="293" t="s">
        <v>427</v>
      </c>
      <c r="C22" s="294"/>
      <c r="D22" s="224" t="str">
        <f>IF($M$34=0,"-",IF($U$34=0,0,U32+(D$17*U32/$U$34)))</f>
        <v>-</v>
      </c>
      <c r="E22" s="227" t="str">
        <f>IF($M$34=0,"-",V32+((E$14+E$15+E$16)*V32/$V$34))</f>
        <v>-</v>
      </c>
      <c r="F22" s="227" t="str">
        <f>IF($M$34=0,"-",W32+((F$13+F$14+F$15+F$16)*W32/$W$34))</f>
        <v>-</v>
      </c>
      <c r="G22" s="217" t="str">
        <f>IF($M$34=0,"-",(E22+F22*2)/3)</f>
        <v>-</v>
      </c>
      <c r="H22" s="233">
        <v>0</v>
      </c>
      <c r="I22" s="234">
        <v>0</v>
      </c>
      <c r="J22" s="68" t="str">
        <f>IF($M$34=0,"-",IF(SUM(I20:I22)=0,(G22+I22-D22-H22),(G22+I22-D22-H22)+I18*(I22/SUM(I20:I22))))</f>
        <v>-</v>
      </c>
      <c r="K22" s="290"/>
      <c r="L22" s="67"/>
      <c r="M22" s="16">
        <f>IF(J22&gt;=0,1,0)</f>
        <v>1</v>
      </c>
      <c r="Q22" s="188"/>
      <c r="AC22" s="190"/>
      <c r="BO22" s="187"/>
    </row>
    <row r="23" spans="1:67" ht="22.5" customHeight="1" x14ac:dyDescent="0.15">
      <c r="A23" s="45"/>
      <c r="B23" s="141"/>
      <c r="C23" s="142"/>
      <c r="D23" s="300" t="str">
        <f>IF(P12&lt;20,"↓Dが20点未満の場合（今回"&amp;P12&amp;"点）は20点が割り振られます.","")</f>
        <v/>
      </c>
      <c r="E23" s="300"/>
      <c r="F23" s="300"/>
      <c r="G23" s="301"/>
      <c r="H23" s="298" t="s">
        <v>570</v>
      </c>
      <c r="I23" s="299"/>
      <c r="J23" s="68"/>
      <c r="K23" s="291" t="str">
        <f>IF(ISERROR((G19+I19)/(D19+H19)*100)=TRUE,"-",(G19+I19)/(D19+H19)*100)</f>
        <v>-</v>
      </c>
      <c r="L23" s="67"/>
      <c r="Q23" s="188"/>
      <c r="AC23" s="190"/>
      <c r="BO23" s="187"/>
    </row>
    <row r="24" spans="1:67" ht="39.950000000000003" customHeight="1" thickBot="1" x14ac:dyDescent="0.2">
      <c r="A24" s="45"/>
      <c r="B24" s="287" t="s">
        <v>404</v>
      </c>
      <c r="C24" s="295"/>
      <c r="D24" s="235" t="str">
        <f>IF($M$34=0,"-",IF(P12="no",D19/D34,20))</f>
        <v>-</v>
      </c>
      <c r="E24" s="235" t="str">
        <f>IF($M$34=0,"-",E19/E34)</f>
        <v>-</v>
      </c>
      <c r="F24" s="235" t="str">
        <f>IF($M$34=0,"-",F19/F34)</f>
        <v>-</v>
      </c>
      <c r="G24" s="235" t="str">
        <f>IF($M$34=0,"-",G19/G34)</f>
        <v>-</v>
      </c>
      <c r="H24" s="236" t="e">
        <f>IF(P12&lt;20,(J8*20+H19)/(D34+J34),(D19+H19)/(D34+J34))</f>
        <v>#DIV/0!</v>
      </c>
      <c r="I24" s="237" t="e">
        <f>(G19+I19)/(E34+K34)</f>
        <v>#DIV/0!</v>
      </c>
      <c r="J24" s="238" t="str">
        <f>IF($M$34=0,"-",I24-H24)</f>
        <v>-</v>
      </c>
      <c r="K24" s="292"/>
      <c r="L24" s="63"/>
      <c r="N24" s="204"/>
      <c r="Q24" s="188"/>
      <c r="T24" s="205"/>
      <c r="AC24" s="190"/>
      <c r="BN24" s="203"/>
      <c r="BO24" s="203"/>
    </row>
    <row r="25" spans="1:67" ht="39.950000000000003" customHeight="1" thickTop="1" x14ac:dyDescent="0.15">
      <c r="A25" s="45"/>
      <c r="B25" s="287" t="s">
        <v>405</v>
      </c>
      <c r="C25" s="288"/>
      <c r="D25" s="239" t="str">
        <f>IF($M$34=0,"-",D19/SUM(D30:D32))</f>
        <v>-</v>
      </c>
      <c r="E25" s="240" t="str">
        <f>IF($M$34=0,"-",E19/SUM(G30:G32))</f>
        <v>-</v>
      </c>
      <c r="F25" s="240" t="str">
        <f>IF($M$34=0,"-",F19/SUM(G30:G32))</f>
        <v>-</v>
      </c>
      <c r="G25" s="241" t="str">
        <f>IF($M$34=0,"-",G19/SUM(G30:G32))</f>
        <v>-</v>
      </c>
      <c r="H25" s="237" t="e">
        <f>(D19+H19)/(SUM(D30:D32)+SUM(J30:J32))</f>
        <v>#DIV/0!</v>
      </c>
      <c r="I25" s="242" t="e">
        <f>(G19+I19)/(SUM(E30:E32)+SUM(K30:K32))</f>
        <v>#DIV/0!</v>
      </c>
      <c r="J25" s="69"/>
      <c r="K25" s="157" t="s">
        <v>643</v>
      </c>
      <c r="L25" s="63"/>
      <c r="Q25" s="188"/>
      <c r="T25" s="205"/>
      <c r="AC25" s="190"/>
      <c r="BN25" s="203"/>
      <c r="BO25" s="203"/>
    </row>
    <row r="26" spans="1:67" ht="15" customHeight="1" x14ac:dyDescent="0.15">
      <c r="A26" s="45"/>
      <c r="B26" s="47"/>
      <c r="C26" s="47"/>
      <c r="D26" s="47"/>
      <c r="E26" s="47"/>
      <c r="F26" s="48"/>
      <c r="G26" s="48"/>
      <c r="H26" s="48"/>
      <c r="I26" s="48"/>
      <c r="J26" s="48"/>
      <c r="K26" s="48"/>
      <c r="L26" s="46"/>
      <c r="Q26" s="188"/>
    </row>
    <row r="27" spans="1:67" s="206" customFormat="1" ht="30" customHeight="1" x14ac:dyDescent="0.15">
      <c r="A27" s="45"/>
      <c r="B27" s="310" t="s">
        <v>382</v>
      </c>
      <c r="C27" s="311"/>
      <c r="D27" s="315" t="s">
        <v>383</v>
      </c>
      <c r="E27" s="316"/>
      <c r="F27" s="321" t="s">
        <v>384</v>
      </c>
      <c r="G27" s="322"/>
      <c r="H27" s="322"/>
      <c r="I27" s="322"/>
      <c r="J27" s="323" t="s">
        <v>571</v>
      </c>
      <c r="K27" s="324"/>
      <c r="L27" s="46"/>
      <c r="M27" s="16"/>
      <c r="N27" s="16"/>
      <c r="O27" s="16"/>
      <c r="P27" s="16"/>
      <c r="Q27" s="16"/>
      <c r="R27" s="16"/>
      <c r="S27" s="16"/>
      <c r="T27" s="16"/>
      <c r="U27" s="16"/>
      <c r="V27" s="16"/>
      <c r="W27" s="16"/>
      <c r="X27" s="16"/>
      <c r="Y27" s="16"/>
      <c r="Z27" s="16"/>
      <c r="AA27" s="16"/>
      <c r="AB27" s="190"/>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85"/>
      <c r="BI27" s="185"/>
      <c r="BJ27" s="186"/>
      <c r="BK27" s="186"/>
      <c r="BL27" s="186"/>
      <c r="BM27" s="186"/>
      <c r="BN27" s="187"/>
    </row>
    <row r="28" spans="1:67" s="206" customFormat="1" ht="30" customHeight="1" x14ac:dyDescent="0.15">
      <c r="A28" s="45"/>
      <c r="B28" s="310"/>
      <c r="C28" s="311"/>
      <c r="D28" s="317"/>
      <c r="E28" s="318"/>
      <c r="F28" s="308" t="s">
        <v>385</v>
      </c>
      <c r="G28" s="308"/>
      <c r="H28" s="307"/>
      <c r="I28" s="307"/>
      <c r="J28" s="325"/>
      <c r="K28" s="326"/>
      <c r="L28" s="46"/>
      <c r="M28" s="16"/>
      <c r="N28" s="16"/>
      <c r="O28" s="16"/>
      <c r="P28" s="16"/>
      <c r="Q28" s="16"/>
      <c r="R28" s="348" t="s">
        <v>59</v>
      </c>
      <c r="S28" s="349"/>
      <c r="T28" s="349"/>
      <c r="U28" s="348" t="s">
        <v>585</v>
      </c>
      <c r="V28" s="349"/>
      <c r="W28" s="349"/>
      <c r="X28" s="16"/>
      <c r="Y28" s="16"/>
      <c r="Z28" s="16"/>
      <c r="AA28" s="16"/>
      <c r="AB28" s="190"/>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85"/>
      <c r="BI28" s="185"/>
      <c r="BJ28" s="186"/>
      <c r="BK28" s="186"/>
      <c r="BL28" s="186"/>
      <c r="BM28" s="186"/>
      <c r="BN28" s="187"/>
    </row>
    <row r="29" spans="1:67" s="206" customFormat="1" ht="30" customHeight="1" thickBot="1" x14ac:dyDescent="0.2">
      <c r="A29" s="45"/>
      <c r="B29" s="311"/>
      <c r="C29" s="311"/>
      <c r="D29" s="163" t="s">
        <v>386</v>
      </c>
      <c r="E29" s="70" t="s">
        <v>387</v>
      </c>
      <c r="F29" s="71" t="s">
        <v>386</v>
      </c>
      <c r="G29" s="72" t="s">
        <v>387</v>
      </c>
      <c r="H29" s="143"/>
      <c r="I29" s="144"/>
      <c r="J29" s="73" t="s">
        <v>386</v>
      </c>
      <c r="K29" s="74" t="s">
        <v>387</v>
      </c>
      <c r="L29" s="46"/>
      <c r="M29" s="16"/>
      <c r="N29" s="16"/>
      <c r="O29" s="16"/>
      <c r="P29" s="16"/>
      <c r="Q29" s="16"/>
      <c r="R29" s="207" t="s">
        <v>19</v>
      </c>
      <c r="S29" s="208" t="s">
        <v>60</v>
      </c>
      <c r="T29" s="208" t="s">
        <v>61</v>
      </c>
      <c r="U29" s="207" t="s">
        <v>19</v>
      </c>
      <c r="V29" s="208" t="s">
        <v>60</v>
      </c>
      <c r="W29" s="208" t="s">
        <v>61</v>
      </c>
      <c r="X29" s="16"/>
      <c r="Y29" s="16"/>
      <c r="Z29" s="16"/>
      <c r="AA29" s="16"/>
      <c r="AB29" s="190"/>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85"/>
      <c r="BI29" s="185"/>
      <c r="BJ29" s="186"/>
      <c r="BK29" s="186"/>
      <c r="BL29" s="186"/>
      <c r="BM29" s="186"/>
      <c r="BN29" s="187"/>
    </row>
    <row r="30" spans="1:67" s="206" customFormat="1" ht="30" customHeight="1" x14ac:dyDescent="0.15">
      <c r="A30" s="45"/>
      <c r="B30" s="306" t="s">
        <v>388</v>
      </c>
      <c r="C30" s="162" t="s">
        <v>389</v>
      </c>
      <c r="D30" s="243">
        <f>SUMIF('環境条件(現況)'!$C$4:$C$73,$C30,'環境条件(現況)'!$B$4:$B$73)</f>
        <v>0</v>
      </c>
      <c r="E30" s="243">
        <f>SUMIF('環境条件(竣工時)'!$C$4:$C$73,$C30,'環境条件(竣工時)'!$B$4:$B$73)</f>
        <v>0</v>
      </c>
      <c r="F30" s="243">
        <f>SUMIF('環境条件(現況)'!$D$4:$D$73,$C30,'環境条件(現況)'!$B$4:$B$73)</f>
        <v>0</v>
      </c>
      <c r="G30" s="243">
        <f>SUMIF('環境条件(竣工時)'!$D$4:$D$73,$C30,'環境条件(竣工時)'!$B$4:$B$73)</f>
        <v>0</v>
      </c>
      <c r="H30" s="244"/>
      <c r="I30" s="244"/>
      <c r="J30" s="245">
        <v>0</v>
      </c>
      <c r="K30" s="246">
        <v>0</v>
      </c>
      <c r="L30" s="46"/>
      <c r="M30" s="209"/>
      <c r="N30" s="16">
        <f>IF(U30=0,1,IF((V30+2*W30)/U30&gt;=0.2,1,0))</f>
        <v>1</v>
      </c>
      <c r="O30" s="16"/>
      <c r="P30" s="16"/>
      <c r="Q30" s="16"/>
      <c r="R30" s="17">
        <f>IF(F30=0,0,SUMIF('環境条件(現況)'!$D$4:$D$73,評価結果!$C30,'環境条件(現況)'!$P$4:$P$73)/F30)</f>
        <v>0</v>
      </c>
      <c r="S30" s="17">
        <f>IF(G30=0,0,SUMIF('環境条件(竣工時)'!$D$4:$D$73,評価結果!$C30,'環境条件(竣工時)'!$P$4:$P$73)/G30)</f>
        <v>0</v>
      </c>
      <c r="T30" s="17">
        <f>IF(G30=0,0,SUMIF('環境条件(将来)'!$D$4:$D$73,評価結果!$C30,'環境条件(将来)'!$P$4:$P$73)/G30)</f>
        <v>0</v>
      </c>
      <c r="U30" s="16">
        <f t="shared" ref="U30:V32" si="0">F30*R30</f>
        <v>0</v>
      </c>
      <c r="V30" s="16">
        <f t="shared" si="0"/>
        <v>0</v>
      </c>
      <c r="W30" s="16">
        <f>G30*T30</f>
        <v>0</v>
      </c>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85"/>
      <c r="BI30" s="185"/>
      <c r="BJ30" s="186"/>
      <c r="BK30" s="186"/>
      <c r="BL30" s="186"/>
      <c r="BM30" s="186"/>
      <c r="BN30" s="187"/>
    </row>
    <row r="31" spans="1:67" s="206" customFormat="1" ht="30" customHeight="1" x14ac:dyDescent="0.15">
      <c r="A31" s="45"/>
      <c r="B31" s="306"/>
      <c r="C31" s="162" t="s">
        <v>390</v>
      </c>
      <c r="D31" s="243">
        <f>SUMIF('環境条件(現況)'!$C$4:$C$73,$C31,'環境条件(現況)'!$B$4:$B$73)</f>
        <v>0</v>
      </c>
      <c r="E31" s="243">
        <f>SUMIF('環境条件(竣工時)'!$C$4:$C$73,$C31,'環境条件(竣工時)'!$B$4:$B$73)</f>
        <v>0</v>
      </c>
      <c r="F31" s="243">
        <f>SUMIF('環境条件(現況)'!$D$4:$D$73,$C31,'環境条件(現況)'!$B$4:$B$73)</f>
        <v>0</v>
      </c>
      <c r="G31" s="243">
        <f>SUMIF('環境条件(竣工時)'!$D$4:$D$73,$C31,'環境条件(竣工時)'!$B$4:$B$73)</f>
        <v>0</v>
      </c>
      <c r="H31" s="244"/>
      <c r="I31" s="244"/>
      <c r="J31" s="247"/>
      <c r="K31" s="248"/>
      <c r="L31" s="46"/>
      <c r="M31" s="209"/>
      <c r="N31" s="16">
        <f>IF(U31=0,1,IF((V31+2*W31)/U31&gt;=0.2,1,0))</f>
        <v>1</v>
      </c>
      <c r="O31" s="16"/>
      <c r="P31" s="16"/>
      <c r="Q31" s="16"/>
      <c r="R31" s="17">
        <f>IF(F31=0,0,SUMIF('環境条件(現況)'!$D$4:$D$73,評価結果!$C31,'環境条件(現況)'!$P$4:$P$73)/F31)</f>
        <v>0</v>
      </c>
      <c r="S31" s="17">
        <f>IF(G31=0,0,SUMIF('環境条件(竣工時)'!$D$4:$D$73,評価結果!$C31,'環境条件(竣工時)'!$P$4:$P$73)/G31)</f>
        <v>0</v>
      </c>
      <c r="T31" s="17">
        <f>IF(G31=0,0,SUMIF('環境条件(将来)'!$D$4:$D$73,評価結果!$C31,'環境条件(将来)'!$P$4:$P$73)/G31)</f>
        <v>0</v>
      </c>
      <c r="U31" s="16">
        <f t="shared" si="0"/>
        <v>0</v>
      </c>
      <c r="V31" s="16">
        <f t="shared" si="0"/>
        <v>0</v>
      </c>
      <c r="W31" s="16">
        <f>G31*T31</f>
        <v>0</v>
      </c>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85"/>
      <c r="BI31" s="185"/>
      <c r="BJ31" s="186"/>
      <c r="BK31" s="186"/>
      <c r="BL31" s="186"/>
      <c r="BM31" s="186"/>
      <c r="BN31" s="187"/>
    </row>
    <row r="32" spans="1:67" s="206" customFormat="1" ht="30" customHeight="1" x14ac:dyDescent="0.15">
      <c r="A32" s="45"/>
      <c r="B32" s="306"/>
      <c r="C32" s="162" t="s">
        <v>391</v>
      </c>
      <c r="D32" s="243">
        <f>SUMIF('環境条件(現況)'!$C$4:$C$73,$O32,'環境条件(現況)'!$B$4:$B$73)</f>
        <v>0</v>
      </c>
      <c r="E32" s="243">
        <f>SUMIF('環境条件(竣工時)'!$C$4:$C$73,$O32,'環境条件(竣工時)'!$B$4:$B$73)</f>
        <v>0</v>
      </c>
      <c r="F32" s="243">
        <f>SUMIF('環境条件(現況)'!$D$4:$D$73,$C32,'環境条件(現況)'!$B$4:$B$73)</f>
        <v>0</v>
      </c>
      <c r="G32" s="243">
        <f>SUMIF('環境条件(竣工時)'!$D$4:$D$73,$C32,'環境条件(竣工時)'!$B$4:$B$73)</f>
        <v>0</v>
      </c>
      <c r="H32" s="244"/>
      <c r="I32" s="249"/>
      <c r="J32" s="247">
        <v>0</v>
      </c>
      <c r="K32" s="248">
        <v>0</v>
      </c>
      <c r="L32" s="46"/>
      <c r="M32" s="209"/>
      <c r="N32" s="16">
        <f>IF(U32=0,1,IF((V32+2*W32)/U32&gt;=0.2,1,0))</f>
        <v>1</v>
      </c>
      <c r="O32" s="210" t="s">
        <v>70</v>
      </c>
      <c r="P32" s="209"/>
      <c r="Q32" s="209"/>
      <c r="R32" s="17">
        <f>IF(F32=0,0,SUMIF('環境条件(現況)'!$D$4:$D$73,評価結果!$C32,'環境条件(現況)'!$P$4:$P$73)/F32)</f>
        <v>0</v>
      </c>
      <c r="S32" s="17">
        <f>IF(G32=0,0,SUMIF('環境条件(竣工時)'!$D$4:$D$73,評価結果!$C32,'環境条件(竣工時)'!$P$4:$P$73)/G32)</f>
        <v>0</v>
      </c>
      <c r="T32" s="17">
        <f>IF(G32=0,0,SUMIF('環境条件(将来)'!$D$4:$D$73,評価結果!$C32,'環境条件(将来)'!$P$4:$P$73)/G32)</f>
        <v>0</v>
      </c>
      <c r="U32" s="16">
        <f t="shared" si="0"/>
        <v>0</v>
      </c>
      <c r="V32" s="16">
        <f t="shared" si="0"/>
        <v>0</v>
      </c>
      <c r="W32" s="16">
        <f>G32*T32</f>
        <v>0</v>
      </c>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85"/>
      <c r="BI32" s="185"/>
      <c r="BJ32" s="186"/>
      <c r="BK32" s="186"/>
      <c r="BL32" s="186"/>
      <c r="BM32" s="186"/>
      <c r="BN32" s="187"/>
    </row>
    <row r="33" spans="1:66" s="206" customFormat="1" ht="30" customHeight="1" thickBot="1" x14ac:dyDescent="0.2">
      <c r="A33" s="45"/>
      <c r="B33" s="306" t="s">
        <v>392</v>
      </c>
      <c r="C33" s="309"/>
      <c r="D33" s="243">
        <f>SUMIF('環境条件(現況)'!$C$4:$C$73,$B33,'環境条件(現況)'!$B$4:$B$73)</f>
        <v>0</v>
      </c>
      <c r="E33" s="243">
        <f>SUMIF('環境条件(竣工時)'!$C$4:$C$73,$B33,'環境条件(竣工時)'!$B$4:$B$73)</f>
        <v>0</v>
      </c>
      <c r="F33" s="243">
        <f>SUMIF('環境条件(現況)'!$D$4:$D$73,$O33,'環境条件(現況)'!$B$4:$B$73)</f>
        <v>0</v>
      </c>
      <c r="G33" s="243">
        <f>SUMIF('環境条件(竣工時)'!$D$4:$D$73,$O33,'環境条件(竣工時)'!$B$4:$B$73)</f>
        <v>0</v>
      </c>
      <c r="H33" s="60"/>
      <c r="I33" s="75"/>
      <c r="J33" s="250">
        <v>0</v>
      </c>
      <c r="K33" s="251">
        <v>0</v>
      </c>
      <c r="L33" s="46"/>
      <c r="M33" s="201" t="s">
        <v>581</v>
      </c>
      <c r="N33" s="16"/>
      <c r="O33" s="211" t="s">
        <v>424</v>
      </c>
      <c r="P33" s="16"/>
      <c r="Q33" s="16"/>
      <c r="R33" s="17"/>
      <c r="S33" s="17"/>
      <c r="T33" s="17"/>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85"/>
      <c r="BI33" s="185"/>
      <c r="BJ33" s="186"/>
      <c r="BK33" s="186"/>
      <c r="BL33" s="186"/>
      <c r="BM33" s="186"/>
      <c r="BN33" s="187"/>
    </row>
    <row r="34" spans="1:66" s="206" customFormat="1" ht="30" customHeight="1" x14ac:dyDescent="0.15">
      <c r="A34" s="45"/>
      <c r="B34" s="306" t="s">
        <v>381</v>
      </c>
      <c r="C34" s="309"/>
      <c r="D34" s="252">
        <f t="shared" ref="D34:G34" si="1">SUM(D30:D33)</f>
        <v>0</v>
      </c>
      <c r="E34" s="252">
        <f t="shared" si="1"/>
        <v>0</v>
      </c>
      <c r="F34" s="252">
        <f t="shared" si="1"/>
        <v>0</v>
      </c>
      <c r="G34" s="252">
        <f t="shared" si="1"/>
        <v>0</v>
      </c>
      <c r="H34" s="60"/>
      <c r="I34" s="60"/>
      <c r="J34" s="253">
        <f>SUM(J30:J33)</f>
        <v>0</v>
      </c>
      <c r="K34" s="253">
        <f>SUM(K30:K33)</f>
        <v>0</v>
      </c>
      <c r="L34" s="46"/>
      <c r="M34" s="16">
        <f>IF(B38="　合計面積が一致していません。",0,1)</f>
        <v>0</v>
      </c>
      <c r="N34" s="16"/>
      <c r="O34" s="16"/>
      <c r="P34" s="16"/>
      <c r="Q34" s="16"/>
      <c r="R34" s="16"/>
      <c r="S34" s="16"/>
      <c r="T34" s="16"/>
      <c r="U34" s="140">
        <f>SUM(U30:U33)</f>
        <v>0</v>
      </c>
      <c r="V34" s="16">
        <f>SUM(V30:V33)</f>
        <v>0</v>
      </c>
      <c r="W34" s="16">
        <f>SUM(W30:W33)</f>
        <v>0</v>
      </c>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85"/>
      <c r="BI34" s="185"/>
      <c r="BJ34" s="186"/>
      <c r="BK34" s="186"/>
      <c r="BL34" s="186"/>
      <c r="BM34" s="186"/>
      <c r="BN34" s="187"/>
    </row>
    <row r="35" spans="1:66" s="206" customFormat="1" ht="15" customHeight="1" x14ac:dyDescent="0.15">
      <c r="A35" s="45"/>
      <c r="B35" s="76"/>
      <c r="C35" s="47"/>
      <c r="D35" s="47"/>
      <c r="E35" s="47"/>
      <c r="F35" s="47"/>
      <c r="G35" s="47"/>
      <c r="H35" s="47"/>
      <c r="I35" s="47"/>
      <c r="J35" s="47"/>
      <c r="K35" s="47"/>
      <c r="L35" s="4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85"/>
      <c r="BI35" s="185"/>
      <c r="BJ35" s="186"/>
      <c r="BK35" s="186"/>
      <c r="BL35" s="186"/>
      <c r="BM35" s="186"/>
      <c r="BN35" s="187"/>
    </row>
    <row r="36" spans="1:66" s="206" customFormat="1" ht="30" customHeight="1" x14ac:dyDescent="0.15">
      <c r="A36" s="45"/>
      <c r="B36" s="77" t="s">
        <v>393</v>
      </c>
      <c r="C36" s="78"/>
      <c r="D36" s="78"/>
      <c r="E36" s="78"/>
      <c r="F36" s="78"/>
      <c r="G36" s="78"/>
      <c r="H36" s="78"/>
      <c r="I36" s="78"/>
      <c r="J36" s="78"/>
      <c r="K36" s="79"/>
      <c r="L36" s="4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85"/>
      <c r="BI36" s="185"/>
      <c r="BJ36" s="186"/>
      <c r="BK36" s="186"/>
      <c r="BL36" s="186"/>
      <c r="BM36" s="186"/>
      <c r="BN36" s="187"/>
    </row>
    <row r="37" spans="1:66" ht="30" customHeight="1" x14ac:dyDescent="0.15">
      <c r="A37" s="45"/>
      <c r="B37" s="80" t="s">
        <v>358</v>
      </c>
      <c r="C37" s="81"/>
      <c r="D37" s="81"/>
      <c r="E37" s="81"/>
      <c r="F37" s="81"/>
      <c r="G37" s="81"/>
      <c r="H37" s="81"/>
      <c r="I37" s="81"/>
      <c r="J37" s="81"/>
      <c r="K37" s="82"/>
      <c r="L37" s="46"/>
    </row>
    <row r="38" spans="1:66" ht="48" customHeight="1" x14ac:dyDescent="0.15">
      <c r="A38" s="45"/>
      <c r="B38" s="284" t="str">
        <f>IF(AND(J8=G34,J8=F34),"　現況（事業前）と計画（事業後）の合計面積は一致しています。計算に問題はありません。","　合計面積が一致していません。")</f>
        <v>　合計面積が一致していません。</v>
      </c>
      <c r="C38" s="285"/>
      <c r="D38" s="285"/>
      <c r="E38" s="285"/>
      <c r="F38" s="285"/>
      <c r="G38" s="285"/>
      <c r="H38" s="285"/>
      <c r="I38" s="285"/>
      <c r="J38" s="285"/>
      <c r="K38" s="286"/>
      <c r="L38" s="83"/>
      <c r="M38" s="212"/>
      <c r="N38" s="212"/>
      <c r="O38" s="212"/>
      <c r="P38" s="212"/>
      <c r="Q38" s="212"/>
      <c r="R38" s="212"/>
      <c r="S38" s="212"/>
      <c r="T38" s="212"/>
      <c r="X38" s="212"/>
      <c r="AJ38" s="212"/>
      <c r="AK38" s="212"/>
    </row>
    <row r="39" spans="1:66" ht="48" customHeight="1" x14ac:dyDescent="0.15">
      <c r="A39" s="45"/>
      <c r="B39" s="284" t="str">
        <f>IF(M34=0,"",IF(D17="-","　今後、適切な維持・管理を行なうとされている土地の面積（"&amp;基本情報!C42&amp;"㎡）が、今後の自然面の面積（"&amp;SUM(G30:G32)&amp;"㎡）を超えているため、維持管理補正は加算されません。",""))</f>
        <v/>
      </c>
      <c r="C39" s="285"/>
      <c r="D39" s="285"/>
      <c r="E39" s="285"/>
      <c r="F39" s="285"/>
      <c r="G39" s="285"/>
      <c r="H39" s="285"/>
      <c r="I39" s="285"/>
      <c r="J39" s="285"/>
      <c r="K39" s="286"/>
      <c r="L39" s="83"/>
      <c r="M39" s="212"/>
      <c r="N39" s="212"/>
      <c r="O39" s="212"/>
      <c r="P39" s="212"/>
      <c r="Q39" s="212"/>
      <c r="R39" s="212"/>
      <c r="S39" s="212"/>
      <c r="T39" s="212"/>
      <c r="X39" s="212"/>
      <c r="AJ39" s="212"/>
      <c r="AK39" s="212"/>
    </row>
    <row r="40" spans="1:66" ht="48" customHeight="1" x14ac:dyDescent="0.15">
      <c r="A40" s="45"/>
      <c r="B40" s="312" t="str">
        <f>IF(D30=0,IF(G30&gt;0,"　湿性環境が新たな目標環境として挙げられていますが、本事業地で湿性環境を整備することに無理がないか、周辺とのネットワーク上の意義があるかといった点について説明が求められる場合があります。",""),"")</f>
        <v/>
      </c>
      <c r="C40" s="319"/>
      <c r="D40" s="319"/>
      <c r="E40" s="319"/>
      <c r="F40" s="319"/>
      <c r="G40" s="319"/>
      <c r="H40" s="319"/>
      <c r="I40" s="319"/>
      <c r="J40" s="319"/>
      <c r="K40" s="320"/>
      <c r="L40" s="83"/>
      <c r="M40" s="212"/>
      <c r="N40" s="212"/>
      <c r="O40" s="212"/>
      <c r="P40" s="212"/>
      <c r="Q40" s="212"/>
      <c r="R40" s="212"/>
      <c r="S40" s="212"/>
      <c r="T40" s="212"/>
      <c r="X40" s="212"/>
      <c r="AJ40" s="212"/>
      <c r="AK40" s="212"/>
    </row>
    <row r="41" spans="1:66" ht="48" customHeight="1" x14ac:dyDescent="0.15">
      <c r="A41" s="45"/>
      <c r="B41" s="312" t="str">
        <f>IF('環境条件(現況)'!Q3=1,"","　現況が湿性環境である区画に、それ以外の環境タイプが目標植生として設定されています。「本来、湿性環境として適当ではない立地である」、「湿性環境以外の環境タイプの方が保全の優先度が高い」といった説明が求められる場合があります。")</f>
        <v/>
      </c>
      <c r="C41" s="319"/>
      <c r="D41" s="319"/>
      <c r="E41" s="319"/>
      <c r="F41" s="319"/>
      <c r="G41" s="319"/>
      <c r="H41" s="319"/>
      <c r="I41" s="319"/>
      <c r="J41" s="319"/>
      <c r="K41" s="320"/>
      <c r="L41" s="83"/>
      <c r="M41" s="212"/>
      <c r="N41" s="212"/>
      <c r="O41" s="212"/>
      <c r="P41" s="212"/>
      <c r="Q41" s="212"/>
      <c r="R41" s="212"/>
      <c r="S41" s="212"/>
      <c r="T41" s="212"/>
      <c r="X41" s="212"/>
      <c r="AJ41" s="212"/>
      <c r="AK41" s="212"/>
    </row>
    <row r="42" spans="1:66" ht="48" customHeight="1" x14ac:dyDescent="0.15">
      <c r="A42" s="45"/>
      <c r="B42" s="312" t="str">
        <f>IF('環境条件(現況)'!R3=1,"","　現況が樹林である区画に、それ以外の環境タイプが目標植生として設定されています。「樹林以外の環境タイプの方が保全の優先度が高い」等の説明が求められる場合があります。")</f>
        <v/>
      </c>
      <c r="C42" s="319"/>
      <c r="D42" s="319"/>
      <c r="E42" s="319"/>
      <c r="F42" s="319"/>
      <c r="G42" s="319"/>
      <c r="H42" s="319"/>
      <c r="I42" s="319"/>
      <c r="J42" s="319"/>
      <c r="K42" s="320"/>
      <c r="L42" s="83"/>
      <c r="M42" s="212"/>
      <c r="N42" s="212"/>
      <c r="O42" s="212"/>
      <c r="P42" s="212"/>
      <c r="Q42" s="212"/>
      <c r="R42" s="212"/>
      <c r="S42" s="212"/>
      <c r="T42" s="212"/>
      <c r="X42" s="212"/>
      <c r="AJ42" s="212"/>
      <c r="AK42" s="212"/>
    </row>
    <row r="43" spans="1:66" ht="30" customHeight="1" x14ac:dyDescent="0.15">
      <c r="A43" s="45"/>
      <c r="B43" s="80" t="s">
        <v>396</v>
      </c>
      <c r="C43" s="81"/>
      <c r="D43" s="81"/>
      <c r="E43" s="81"/>
      <c r="F43" s="81"/>
      <c r="G43" s="81"/>
      <c r="H43" s="81"/>
      <c r="I43" s="81"/>
      <c r="J43" s="81"/>
      <c r="K43" s="82"/>
      <c r="L43" s="84"/>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4"/>
      <c r="BI43" s="214"/>
      <c r="BJ43" s="215"/>
      <c r="BK43" s="215"/>
      <c r="BL43" s="215"/>
      <c r="BM43" s="215"/>
      <c r="BN43" s="188"/>
    </row>
    <row r="44" spans="1:66" ht="44.25" customHeight="1" x14ac:dyDescent="0.15">
      <c r="A44" s="45"/>
      <c r="B44" s="312" t="str">
        <f>IF(K20="-","-",IF(基本情報!C11="環境改善行為","",IF(基本情報!C15="はい",IF(K20&gt;=0,"　事業後の緑地における面積当りの総ポイントが、事業前の開発区域全体における面積当り総ポイントを超え、ガイドラインの基準を満たしました。","　事業後の緑地における面積当りの総ポイントが、事業前の開発区域全体における面積当り総ポイントを下回ってしまいました。ガイドラインの基準が満たされていません。"),IF(K20&gt;=0,"　事業後の自然面の面積当り総ポイントが、事業前の評価区域全体の面積当り総ポイントを上回りました。","　事業後の自然面の面積当り総ポイントが、事業前の評価区域全体の面積当り総ポイントを下回ってしまいました。"))))</f>
        <v>-</v>
      </c>
      <c r="C44" s="313"/>
      <c r="D44" s="313"/>
      <c r="E44" s="313"/>
      <c r="F44" s="313"/>
      <c r="G44" s="313"/>
      <c r="H44" s="313"/>
      <c r="I44" s="313"/>
      <c r="J44" s="313"/>
      <c r="K44" s="314"/>
      <c r="L44" s="84"/>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4"/>
      <c r="BI44" s="214"/>
      <c r="BJ44" s="215"/>
      <c r="BK44" s="215"/>
      <c r="BL44" s="215"/>
      <c r="BM44" s="215"/>
      <c r="BN44" s="188"/>
    </row>
    <row r="45" spans="1:66" ht="15" customHeight="1" x14ac:dyDescent="0.15">
      <c r="A45" s="45"/>
      <c r="B45" s="85"/>
      <c r="C45" s="86"/>
      <c r="D45" s="86"/>
      <c r="E45" s="86"/>
      <c r="F45" s="86"/>
      <c r="G45" s="86"/>
      <c r="H45" s="86"/>
      <c r="I45" s="86"/>
      <c r="J45" s="86"/>
      <c r="K45" s="87"/>
      <c r="L45" s="84"/>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4"/>
      <c r="BI45" s="214"/>
      <c r="BJ45" s="215"/>
      <c r="BK45" s="215"/>
      <c r="BL45" s="215"/>
      <c r="BM45" s="215"/>
      <c r="BN45" s="188"/>
    </row>
    <row r="46" spans="1:66" ht="30" customHeight="1" x14ac:dyDescent="0.15">
      <c r="A46" s="45"/>
      <c r="B46" s="80" t="s">
        <v>397</v>
      </c>
      <c r="C46" s="81"/>
      <c r="D46" s="81"/>
      <c r="E46" s="81"/>
      <c r="F46" s="81"/>
      <c r="G46" s="81"/>
      <c r="H46" s="81"/>
      <c r="I46" s="81"/>
      <c r="J46" s="81"/>
      <c r="K46" s="82"/>
      <c r="L46" s="46"/>
      <c r="M46" s="16" t="str">
        <f>IF(K23="-","",IF(Q46&gt;=400,N46,IF(Q46&gt;=300,O46,"　全体での総ポイント比率が50％を下回ってしまいました。可能な限り、総ポイント比率が50％を超えるよう計画を立案していただくことを推奨します。")))</f>
        <v/>
      </c>
      <c r="N46" s="16" t="str">
        <f>IF(K23="-","",IF(Q46=411,"　すべての環境タイプで総ポイント比率が100％を超える、非常に優れた取り組みです。ガイドラインの推奨基準は問題なく満たしています。引き続き、今後も生物多様性の向上に貢献する取り組みを期待しています。",IF(Q46=401,"　一部の環境タイプで総ポイント比率が100％未満となってしまっていますが、全体では100％を超える優れた取り組みです。ガイドラインの推奨基準は問題なく満たしています。",IF(Q46=400,"　全体では総ポイント比率が100％を超える優れた取り組みですが、一部の環境タイプで20％未満と非常に低い値になってしまっています。ガイドラインの推奨基準は満たしていますが、可能な限り、すべての環境タイプで高い評価点が得られるよう計画を立案していただくことを推奨します。",""))))</f>
        <v/>
      </c>
      <c r="O46" s="16" t="str">
        <f>IF(K23="-","",IF(Q46&gt;=301,"　総ポイント比率が50％を超えている取り組みです。ガイドラインの推奨基準が満たされています。引き続き、今後も生物多様性の向上に貢献する取り組みを期待しています。",IF(Q46=300,"　全体では総ポイント比率が50％を超える取り組みですが、一部の環境タイプで20％未満と非常に低い値になってしまっています。ガイドラインの推奨基準は満たされていますが、可能な限り、すべての環境タイプで高い評価点が得られるよう計画を立案していただくことを推奨します。","")))</f>
        <v/>
      </c>
      <c r="Q46" s="16">
        <f>R46+S46+T46</f>
        <v>0</v>
      </c>
      <c r="R46" s="16">
        <f>IF(K23="-",0,IF(K23&gt;=100,400,IF(K23&gt;=50,300,IF(K23&gt;=20,200,100))))</f>
        <v>0</v>
      </c>
      <c r="S46" s="16">
        <f>IF(K23="-",0,PRODUCT(M20:M22)*10)</f>
        <v>0</v>
      </c>
      <c r="T46" s="16">
        <f>IF(K23="-",0,PRODUCT(N30:N32))</f>
        <v>0</v>
      </c>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4"/>
      <c r="BI46" s="214"/>
      <c r="BJ46" s="215"/>
      <c r="BK46" s="215"/>
      <c r="BL46" s="215"/>
      <c r="BM46" s="215"/>
      <c r="BN46" s="188"/>
    </row>
    <row r="47" spans="1:66" ht="60" customHeight="1" x14ac:dyDescent="0.15">
      <c r="A47" s="45"/>
      <c r="B47" s="312" t="str">
        <f>IF(基本情報!C15="はい",評価結果!M46,IF(基本情報!C11="環境改善行為",評価結果!M48,評価結果!M47))</f>
        <v/>
      </c>
      <c r="C47" s="313"/>
      <c r="D47" s="313"/>
      <c r="E47" s="313"/>
      <c r="F47" s="313"/>
      <c r="G47" s="313"/>
      <c r="H47" s="313"/>
      <c r="I47" s="313"/>
      <c r="J47" s="313"/>
      <c r="K47" s="314"/>
      <c r="L47" s="46"/>
      <c r="M47" s="16" t="str">
        <f>IF(K23="-","",IF(Q46&gt;=400,N47,IF(Q46&gt;=300,O47,"　全体での総ポイント比率が50％を下回ってしまいました。可能な限り、総ポイント比率が50％を超えるよう計画を立案していただくことを推奨します。")))</f>
        <v/>
      </c>
      <c r="N47" s="16" t="str">
        <f>IF(K23="-","",IF(Q46=411,"　すべての環境タイプで総ポイント比率が100％を超える、非常に優れた取り組みです。引き続き、今後も生物多様性の向上に貢献する取り組みを期待しています。",IF(Q46=401,"　一部の環境タイプで総ポイント比率が100％未満となってしまっていますが、全体では100％を超える優れた取り組みです。",IF(Q46=400,"　全体では総ポイント比率が100％を超える優れた取り組みですが、一部の環境タイプで20％未満と非常に低い値になってしまっています。可能な限り、すべての環境タイプで高い評価点が得られるよう計画を立案していただくことを推奨します。",""))))</f>
        <v/>
      </c>
      <c r="O47" s="16" t="str">
        <f>IF(K23="-","",IF(Q46&gt;=301,"　総ポイント比率が50％を超えている取り組みです。引き続き、今後も生物多様性の向上に貢献する取り組みを期待しています。",IF(Q46=300,"　全体では総ポイント比率が50％を超える取り組みですが、一部の環境タイプで20％未満と非常に低い値になってしまっています。可能な限り、すべての環境タイプで高い評価点が得られるよう計画を立案していただくことを推奨します。","")))</f>
        <v/>
      </c>
      <c r="R47" s="216" t="s">
        <v>582</v>
      </c>
      <c r="S47" s="216" t="s">
        <v>583</v>
      </c>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4"/>
      <c r="BI47" s="214"/>
      <c r="BJ47" s="215"/>
      <c r="BK47" s="215"/>
      <c r="BL47" s="215"/>
      <c r="BM47" s="215"/>
      <c r="BN47" s="188"/>
    </row>
    <row r="48" spans="1:66" ht="26.25" customHeight="1" x14ac:dyDescent="0.15">
      <c r="A48" s="45"/>
      <c r="B48" s="254" t="str">
        <f>IF(AND(基本情報!$C$11="環境改善行為",基本情報!$C$12="はい",評価結果!$S$48=10,SUM(評価結果!$I$20:$I$22)=0),"「開発の代償に充当する場合」シートをご覧ください。","-")</f>
        <v>-</v>
      </c>
      <c r="C48" s="88"/>
      <c r="D48" s="88"/>
      <c r="E48" s="88"/>
      <c r="F48" s="88"/>
      <c r="G48" s="88"/>
      <c r="H48" s="88"/>
      <c r="I48" s="88"/>
      <c r="J48" s="88"/>
      <c r="K48" s="89"/>
      <c r="L48" s="84"/>
      <c r="M48" s="16" t="str">
        <f>IF(K23="-","",IF(Q48&gt;=400,N48,IF(Q48&gt;=300,O48,"総ポイント比率が100％未満となってしまっています。計画を見直していただくことを推奨します。")))</f>
        <v/>
      </c>
      <c r="N48" s="16" t="str">
        <f>IF(K23="-","",IF(Q48=410,"　すべての環境タイプで総ポイント比率が100％を超え、全体では150％を超える非常に優れた取り組みです。引き続き、今後も生物多様性の向上に貢献する取り組みを期待しています。",IF(Q48=400,"　全体では150％を超える取り組みですが、一部の環境タイプで総ポイント比率が100％未満となってしまっています。可能な限り、すべての環境タイプで高い評価点が得られるよう計画を立案していただくことを推奨します。","")))</f>
        <v/>
      </c>
      <c r="O48" s="16" t="str">
        <f>IF(K23="-","",IF(Q48=310,"　すべての環境タイプで総ポイント比率が100％を超える取り組みです。引き続き、今後も生物多様性の向上に貢献する取り組みを期待しています。",IF(Q48=300,"　全体では100％を超える取り組みですが、一部の環境タイプで総ポイント比率が100％未満となってしまっています。計画を見直していただくことを推奨します。","")))</f>
        <v/>
      </c>
      <c r="Q48" s="16">
        <f>R48+S48</f>
        <v>10</v>
      </c>
      <c r="R48" s="16">
        <f>IF(K23="-",0,IF(K23&gt;=150,400,IF(K23&gt;=100,300,100)))</f>
        <v>0</v>
      </c>
      <c r="S48" s="16">
        <f>PRODUCT(M20:M22)*10</f>
        <v>10</v>
      </c>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4"/>
      <c r="BI48" s="214"/>
      <c r="BJ48" s="215"/>
      <c r="BK48" s="215"/>
      <c r="BL48" s="215"/>
      <c r="BM48" s="215"/>
      <c r="BN48" s="188"/>
    </row>
    <row r="49" spans="1:66" ht="30" customHeight="1" x14ac:dyDescent="0.15">
      <c r="A49" s="45"/>
      <c r="B49" s="80" t="s">
        <v>359</v>
      </c>
      <c r="C49" s="81"/>
      <c r="D49" s="81"/>
      <c r="E49" s="81"/>
      <c r="F49" s="81"/>
      <c r="G49" s="81"/>
      <c r="H49" s="81"/>
      <c r="I49" s="81"/>
      <c r="J49" s="81"/>
      <c r="K49" s="82"/>
      <c r="L49" s="46"/>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4"/>
      <c r="BI49" s="214"/>
      <c r="BJ49" s="215"/>
      <c r="BK49" s="215"/>
      <c r="BL49" s="215"/>
      <c r="BM49" s="215"/>
      <c r="BN49" s="188"/>
    </row>
    <row r="50" spans="1:66" ht="57.75" customHeight="1" x14ac:dyDescent="0.15">
      <c r="A50" s="45"/>
      <c r="B50" s="284" t="str">
        <f>IF(基本情報!B4="着工前",Q50,IF(基本情報!B4="着工後",R50,""))</f>
        <v/>
      </c>
      <c r="C50" s="304"/>
      <c r="D50" s="304"/>
      <c r="E50" s="304"/>
      <c r="F50" s="304"/>
      <c r="G50" s="304"/>
      <c r="H50" s="304"/>
      <c r="I50" s="304"/>
      <c r="J50" s="304"/>
      <c r="K50" s="305"/>
      <c r="L50" s="46"/>
      <c r="Q50" s="16" t="str">
        <f>IF(基本情報!C22="","",IF(基本情報!C23="ある（した）","","　国内外で、貴重な環境が急速に失われつつあることへの危機感が高まっています。今回の評価区域内で見つかった「"&amp;基本情報!C22&amp;"」については、さらなる専門的な調査や適切な対策を実施することを推奨します。"))</f>
        <v/>
      </c>
      <c r="R50" s="16" t="str">
        <f>IF(基本情報!C22="","",IF(基本情報!C23="ある（した）","","　国内外で、貴重な環境が急速に失われつつあることへの危機感が高まっています。今回は残念ながら、評価区域内で見つかっていた「"&amp;基本情報!C22&amp;"」に対して保全対策が取られませんでしたが、今後は着工前に十分な調査や適切な対応を検討されることが望まれます。また、今後、事業地の内外で、失われた貴重な環境の再生に取り組むことを推奨します。"))</f>
        <v/>
      </c>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4"/>
      <c r="BI50" s="214"/>
      <c r="BJ50" s="215"/>
      <c r="BK50" s="215"/>
      <c r="BL50" s="215"/>
      <c r="BM50" s="215"/>
      <c r="BN50" s="188"/>
    </row>
    <row r="51" spans="1:66" ht="15" customHeight="1" x14ac:dyDescent="0.15">
      <c r="A51" s="45"/>
      <c r="B51" s="90"/>
      <c r="C51" s="91"/>
      <c r="D51" s="91"/>
      <c r="E51" s="91"/>
      <c r="F51" s="91"/>
      <c r="G51" s="91"/>
      <c r="H51" s="91"/>
      <c r="I51" s="91"/>
      <c r="J51" s="91"/>
      <c r="K51" s="92"/>
      <c r="L51" s="46"/>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4"/>
      <c r="BI51" s="214"/>
      <c r="BJ51" s="215"/>
      <c r="BK51" s="215"/>
      <c r="BL51" s="215"/>
      <c r="BM51" s="215"/>
      <c r="BN51" s="188"/>
    </row>
    <row r="52" spans="1:66" ht="20.100000000000001" customHeight="1" thickBot="1" x14ac:dyDescent="0.2">
      <c r="A52" s="93"/>
      <c r="B52" s="94"/>
      <c r="C52" s="94"/>
      <c r="D52" s="94"/>
      <c r="E52" s="94"/>
      <c r="F52" s="94"/>
      <c r="G52" s="94"/>
      <c r="H52" s="94"/>
      <c r="I52" s="94"/>
      <c r="J52" s="94"/>
      <c r="K52" s="94"/>
      <c r="L52" s="95"/>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4"/>
      <c r="BI52" s="214"/>
      <c r="BJ52" s="215"/>
      <c r="BK52" s="215"/>
      <c r="BL52" s="215"/>
      <c r="BM52" s="215"/>
      <c r="BN52" s="188"/>
    </row>
    <row r="53" spans="1:66" ht="15.75" thickTop="1" x14ac:dyDescent="0.15">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4"/>
      <c r="BI53" s="214"/>
      <c r="BJ53" s="215"/>
      <c r="BK53" s="215"/>
      <c r="BL53" s="215"/>
      <c r="BM53" s="215"/>
      <c r="BN53" s="188"/>
    </row>
  </sheetData>
  <sheetProtection algorithmName="SHA-512" hashValue="aKW5BNeF0P+a5xe8y0Wy06oQ7jQ6Yv2jrP3I70XJ5mrZaWBFlM3CgEhRemQMlKR4q+BF7KStDGJEcBQwMuQzLw==" saltValue="/5+BwXo61AQKcdLFU00wEA==" spinCount="100000" sheet="1" objects="1" scenarios="1"/>
  <mergeCells count="58">
    <mergeCell ref="B13:C13"/>
    <mergeCell ref="U28:W28"/>
    <mergeCell ref="R28:T28"/>
    <mergeCell ref="B5:C5"/>
    <mergeCell ref="B21:C21"/>
    <mergeCell ref="B22:C22"/>
    <mergeCell ref="B12:C12"/>
    <mergeCell ref="J10:J11"/>
    <mergeCell ref="B20:C20"/>
    <mergeCell ref="B19:C19"/>
    <mergeCell ref="H10:I10"/>
    <mergeCell ref="D10:D11"/>
    <mergeCell ref="E10:G10"/>
    <mergeCell ref="B10:C11"/>
    <mergeCell ref="B16:C16"/>
    <mergeCell ref="B2:K2"/>
    <mergeCell ref="B7:C7"/>
    <mergeCell ref="B4:C4"/>
    <mergeCell ref="J8:K8"/>
    <mergeCell ref="F7:G7"/>
    <mergeCell ref="B8:C8"/>
    <mergeCell ref="F8:G8"/>
    <mergeCell ref="F5:G5"/>
    <mergeCell ref="F4:G4"/>
    <mergeCell ref="D7:E7"/>
    <mergeCell ref="H7:I7"/>
    <mergeCell ref="D4:E4"/>
    <mergeCell ref="H5:I5"/>
    <mergeCell ref="H4:I4"/>
    <mergeCell ref="D5:E5"/>
    <mergeCell ref="D8:E8"/>
    <mergeCell ref="B50:K50"/>
    <mergeCell ref="B30:B32"/>
    <mergeCell ref="H28:I28"/>
    <mergeCell ref="F28:G28"/>
    <mergeCell ref="B34:C34"/>
    <mergeCell ref="B27:C29"/>
    <mergeCell ref="B33:C33"/>
    <mergeCell ref="B47:K47"/>
    <mergeCell ref="D27:E28"/>
    <mergeCell ref="B42:K42"/>
    <mergeCell ref="B38:K38"/>
    <mergeCell ref="B40:K40"/>
    <mergeCell ref="B41:K41"/>
    <mergeCell ref="F27:I27"/>
    <mergeCell ref="J27:K28"/>
    <mergeCell ref="B44:K44"/>
    <mergeCell ref="B39:K39"/>
    <mergeCell ref="B25:C25"/>
    <mergeCell ref="K21:K22"/>
    <mergeCell ref="K23:K24"/>
    <mergeCell ref="B14:C14"/>
    <mergeCell ref="B17:C17"/>
    <mergeCell ref="B24:C24"/>
    <mergeCell ref="B15:C15"/>
    <mergeCell ref="H23:I23"/>
    <mergeCell ref="D23:G23"/>
    <mergeCell ref="B18:C18"/>
  </mergeCells>
  <phoneticPr fontId="2"/>
  <printOptions horizontalCentered="1" verticalCentered="1"/>
  <pageMargins left="0" right="0" top="0.39370078740157483" bottom="0.39370078740157483" header="0.31496062992125984" footer="0.31496062992125984"/>
  <pageSetup paperSize="9" scale="52" orientation="portrait" r:id="rId1"/>
  <ignoredErrors>
    <ignoredError sqref="J25 J14:J15 D14:G14 D25 E12 E17:G17 F24 D15 J12 G12" unlockedFormula="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0"/>
  <sheetViews>
    <sheetView zoomScaleNormal="100" workbookViewId="0">
      <selection activeCell="C7" sqref="C7"/>
    </sheetView>
  </sheetViews>
  <sheetFormatPr defaultColWidth="9" defaultRowHeight="13.5" x14ac:dyDescent="0.15"/>
  <cols>
    <col min="1" max="1" width="11.75" style="6" customWidth="1"/>
    <col min="2" max="3" width="17" style="6" customWidth="1"/>
    <col min="4" max="4" width="9" style="6"/>
    <col min="5" max="5" width="9" style="6" customWidth="1"/>
    <col min="6" max="16384" width="9" style="6"/>
  </cols>
  <sheetData>
    <row r="1" spans="1:16" ht="37.5" customHeight="1" x14ac:dyDescent="0.15">
      <c r="B1" s="362" t="s">
        <v>572</v>
      </c>
      <c r="C1" s="362"/>
      <c r="D1" s="362"/>
      <c r="E1" s="362"/>
      <c r="F1" s="362"/>
      <c r="G1" s="362"/>
      <c r="H1" s="362"/>
      <c r="I1" s="362"/>
      <c r="J1" s="362"/>
      <c r="K1" s="362"/>
      <c r="L1" s="362"/>
      <c r="M1" s="362"/>
      <c r="N1" s="362"/>
      <c r="O1" s="362"/>
      <c r="P1" s="362"/>
    </row>
    <row r="4" spans="1:16" ht="37.5" customHeight="1" x14ac:dyDescent="0.15">
      <c r="B4" s="361" t="s">
        <v>436</v>
      </c>
      <c r="C4" s="361"/>
    </row>
    <row r="5" spans="1:16" ht="14.25" thickBot="1" x14ac:dyDescent="0.2">
      <c r="B5" s="166" t="s">
        <v>433</v>
      </c>
      <c r="C5" s="166" t="s">
        <v>434</v>
      </c>
    </row>
    <row r="6" spans="1:16" ht="15" x14ac:dyDescent="0.15">
      <c r="A6" s="6" t="s">
        <v>16</v>
      </c>
      <c r="B6" s="96" t="str">
        <f>IF(AND(基本情報!$C$11="環境改善行為",基本情報!$C$12="はい",評価結果!$S$48=10,SUM(評価結果!$I$20:$I$22)=0),評価結果!D20,"-")</f>
        <v>-</v>
      </c>
      <c r="C6" s="97" t="str">
        <f>IF(AND(基本情報!$C$11="環境改善行為",基本情報!$C$12="はい",評価結果!$S$48=10,SUM(評価結果!$I$20:$I$22)=0),評価結果!G20,"-")</f>
        <v>-</v>
      </c>
    </row>
    <row r="7" spans="1:16" ht="15" x14ac:dyDescent="0.15">
      <c r="A7" s="6" t="s">
        <v>20</v>
      </c>
      <c r="B7" s="98" t="str">
        <f>IF(AND(基本情報!$C$11="環境改善行為",基本情報!$C$12="はい",評価結果!$S$48=10,SUM(評価結果!$I$20:$I$22)=0),評価結果!D21,"-")</f>
        <v>-</v>
      </c>
      <c r="C7" s="99" t="str">
        <f>IF(AND(基本情報!$C$11="環境改善行為",基本情報!$C$12="はい",評価結果!$S$48=10,SUM(評価結果!$I$20:$I$22)=0),評価結果!G21,"-")</f>
        <v>-</v>
      </c>
    </row>
    <row r="8" spans="1:16" ht="15.75" thickBot="1" x14ac:dyDescent="0.2">
      <c r="A8" s="6" t="s">
        <v>435</v>
      </c>
      <c r="B8" s="100" t="str">
        <f>IF(AND(基本情報!$C$11="環境改善行為",基本情報!$C$12="はい",評価結果!$S$48=10,SUM(評価結果!$I$20:$I$22)=0),評価結果!D22,"-")</f>
        <v>-</v>
      </c>
      <c r="C8" s="101" t="str">
        <f>IF(AND(基本情報!$C$11="環境改善行為",基本情報!$C$12="はい",評価結果!$S$48=10,SUM(評価結果!$I$20:$I$22)=0),評価結果!G22,"-")</f>
        <v>-</v>
      </c>
    </row>
    <row r="15" spans="1:16" x14ac:dyDescent="0.15">
      <c r="B15" s="363" t="s">
        <v>438</v>
      </c>
      <c r="C15" s="363"/>
    </row>
    <row r="16" spans="1:16" ht="14.25" thickBot="1" x14ac:dyDescent="0.2">
      <c r="B16" s="166" t="s">
        <v>433</v>
      </c>
      <c r="C16" s="166" t="s">
        <v>434</v>
      </c>
    </row>
    <row r="17" spans="1:3" ht="15" x14ac:dyDescent="0.15">
      <c r="A17" s="6" t="s">
        <v>16</v>
      </c>
      <c r="B17" s="102" t="str">
        <f>IF(AND(基本情報!$C$11="環境改善行為",基本情報!$C$12="はい",評価結果!$S$48=10,SUM(評価結果!$I$20:$I$22)=0),評価結果!D30,"-")</f>
        <v>-</v>
      </c>
      <c r="C17" s="103" t="str">
        <f>IF(AND(基本情報!$C$11="環境改善行為",基本情報!$C$12="はい",評価結果!$S$48=10,SUM(評価結果!$I$20:$I$22)=0),評価結果!E30,"-")</f>
        <v>-</v>
      </c>
    </row>
    <row r="18" spans="1:3" ht="15" x14ac:dyDescent="0.15">
      <c r="A18" s="6" t="s">
        <v>20</v>
      </c>
      <c r="B18" s="104" t="str">
        <f>IF(AND(基本情報!$C$11="環境改善行為",基本情報!$C$12="はい",評価結果!$S$48=10,SUM(評価結果!$I$20:$I$22)=0),評価結果!D31,"-")</f>
        <v>-</v>
      </c>
      <c r="C18" s="105" t="str">
        <f>IF(AND(基本情報!$C$11="環境改善行為",基本情報!$C$12="はい",評価結果!$S$48=10,SUM(評価結果!$I$20:$I$22)=0),評価結果!E31,"-")</f>
        <v>-</v>
      </c>
    </row>
    <row r="19" spans="1:3" ht="15" x14ac:dyDescent="0.15">
      <c r="A19" s="6" t="s">
        <v>435</v>
      </c>
      <c r="B19" s="104" t="str">
        <f>IF(AND(基本情報!$C$11="環境改善行為",基本情報!$C$12="はい",評価結果!$S$48=10,SUM(評価結果!$I$20:$I$22)=0),評価結果!D32,"-")</f>
        <v>-</v>
      </c>
      <c r="C19" s="105" t="str">
        <f>IF(AND(基本情報!$C$11="環境改善行為",基本情報!$C$12="はい",評価結果!$S$48=10,SUM(評価結果!$I$20:$I$22)=0),評価結果!E32,"-")</f>
        <v>-</v>
      </c>
    </row>
    <row r="20" spans="1:3" ht="15.75" thickBot="1" x14ac:dyDescent="0.2">
      <c r="A20" s="6" t="s">
        <v>437</v>
      </c>
      <c r="B20" s="106" t="str">
        <f>IF(AND(基本情報!$C$11="環境改善行為",基本情報!$C$12="はい",評価結果!$S$48=10,SUM(評価結果!$I$20:$I$22)=0),評価結果!D33,"-")</f>
        <v>-</v>
      </c>
      <c r="C20" s="107" t="str">
        <f>IF(AND(基本情報!$C$11="環境改善行為",基本情報!$C$12="はい",評価結果!$S$48=10,SUM(評価結果!$I$20:$I$22)=0),評価結果!E33,"-")</f>
        <v>-</v>
      </c>
    </row>
  </sheetData>
  <sheetProtection algorithmName="SHA-512" hashValue="6bOfr5YT7to6y8ZZ1tBhQwnGPod2/4TurFlBDpaZpZeF6FCDp3PqwTK/NrfAAaFn56PfffgjYoyXdUGD5iEnHQ==" saltValue="50UqDkIBwqtHlEGKQliuaQ==" spinCount="100000" sheet="1" objects="1" scenarios="1"/>
  <mergeCells count="3">
    <mergeCell ref="B4:C4"/>
    <mergeCell ref="B1:P1"/>
    <mergeCell ref="B15:C15"/>
  </mergeCells>
  <phoneticPr fontId="20"/>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G719"/>
  <sheetViews>
    <sheetView zoomScale="70" zoomScaleNormal="70" workbookViewId="0">
      <selection activeCell="D290" sqref="D290"/>
    </sheetView>
  </sheetViews>
  <sheetFormatPr defaultRowHeight="13.5" x14ac:dyDescent="0.15"/>
  <cols>
    <col min="1" max="1" width="53.75" customWidth="1"/>
    <col min="2" max="2" width="9.375" bestFit="1" customWidth="1"/>
    <col min="3" max="4" width="24.5" bestFit="1" customWidth="1"/>
    <col min="5" max="5" width="47.875" customWidth="1"/>
    <col min="6" max="7" width="9.375" bestFit="1" customWidth="1"/>
  </cols>
  <sheetData>
    <row r="1" spans="1:7" x14ac:dyDescent="0.15">
      <c r="A1" t="s">
        <v>28</v>
      </c>
      <c r="B1" s="6" t="s">
        <v>30</v>
      </c>
      <c r="C1" t="s">
        <v>31</v>
      </c>
      <c r="D1" t="s">
        <v>32</v>
      </c>
      <c r="E1" t="s">
        <v>29</v>
      </c>
      <c r="F1" t="s">
        <v>341</v>
      </c>
      <c r="G1" t="s">
        <v>342</v>
      </c>
    </row>
    <row r="2" spans="1:7" x14ac:dyDescent="0.15">
      <c r="A2" t="str">
        <f t="shared" ref="A2:A70" si="0">E2&amp;"in"&amp;B2</f>
        <v>【タブノキ】・ヤブニッケイ・ムクノキ・ヤブツバキ・モチノキin安城市</v>
      </c>
      <c r="B2" t="s">
        <v>55</v>
      </c>
      <c r="C2" s="5" t="s">
        <v>266</v>
      </c>
      <c r="D2" s="5" t="s">
        <v>266</v>
      </c>
      <c r="E2" t="s">
        <v>196</v>
      </c>
      <c r="F2">
        <v>40</v>
      </c>
      <c r="G2">
        <v>40</v>
      </c>
    </row>
    <row r="3" spans="1:7" x14ac:dyDescent="0.15">
      <c r="A3" t="str">
        <f t="shared" si="0"/>
        <v>【タブノキ】・ヤブニッケイ・ムクノキ・ヤブツバキ・モチノキin岡崎市</v>
      </c>
      <c r="B3" t="s">
        <v>5</v>
      </c>
      <c r="C3" s="5" t="s">
        <v>266</v>
      </c>
      <c r="D3" s="5" t="s">
        <v>266</v>
      </c>
      <c r="E3" t="s">
        <v>196</v>
      </c>
      <c r="F3">
        <v>40</v>
      </c>
      <c r="G3">
        <v>40</v>
      </c>
    </row>
    <row r="4" spans="1:7" x14ac:dyDescent="0.15">
      <c r="A4" t="str">
        <f t="shared" si="0"/>
        <v>【タブノキ】・ヤブニッケイ・ムクノキ・ヤブツバキ・モチノキin刈谷市</v>
      </c>
      <c r="B4" t="s">
        <v>100</v>
      </c>
      <c r="C4" s="5" t="s">
        <v>266</v>
      </c>
      <c r="D4" s="5" t="s">
        <v>266</v>
      </c>
      <c r="E4" t="s">
        <v>196</v>
      </c>
      <c r="F4">
        <v>40</v>
      </c>
      <c r="G4">
        <v>40</v>
      </c>
    </row>
    <row r="5" spans="1:7" x14ac:dyDescent="0.15">
      <c r="A5" t="str">
        <f t="shared" si="0"/>
        <v>【タブノキ】・ヤブニッケイ・ムクノキ・ヤブツバキ・モチノキin幸田町</v>
      </c>
      <c r="B5" t="s">
        <v>33</v>
      </c>
      <c r="C5" s="5" t="s">
        <v>266</v>
      </c>
      <c r="D5" s="5" t="s">
        <v>266</v>
      </c>
      <c r="E5" t="s">
        <v>196</v>
      </c>
      <c r="F5">
        <v>40</v>
      </c>
      <c r="G5">
        <v>40</v>
      </c>
    </row>
    <row r="6" spans="1:7" x14ac:dyDescent="0.15">
      <c r="A6" t="str">
        <f t="shared" si="0"/>
        <v>【タブノキ】・ヤブニッケイ・ムクノキ・ヤブツバキ・モチノキin高浜市</v>
      </c>
      <c r="B6" t="s">
        <v>56</v>
      </c>
      <c r="C6" s="5" t="s">
        <v>266</v>
      </c>
      <c r="D6" s="5" t="s">
        <v>266</v>
      </c>
      <c r="E6" t="s">
        <v>196</v>
      </c>
      <c r="F6">
        <v>40</v>
      </c>
      <c r="G6">
        <v>40</v>
      </c>
    </row>
    <row r="7" spans="1:7" x14ac:dyDescent="0.15">
      <c r="A7" t="str">
        <f t="shared" si="0"/>
        <v>【タブノキ】・ヤブニッケイ・ムクノキ・ヤブツバキ・モチノキin西尾市</v>
      </c>
      <c r="B7" t="s">
        <v>104</v>
      </c>
      <c r="C7" s="5" t="s">
        <v>266</v>
      </c>
      <c r="D7" s="5" t="s">
        <v>266</v>
      </c>
      <c r="E7" t="s">
        <v>196</v>
      </c>
      <c r="F7">
        <v>40</v>
      </c>
      <c r="G7">
        <v>40</v>
      </c>
    </row>
    <row r="8" spans="1:7" x14ac:dyDescent="0.15">
      <c r="A8" t="str">
        <f t="shared" si="0"/>
        <v>【タブノキ】・ヤブニッケイ・ムクノキ・ヤブツバキ・モチノキin田原市</v>
      </c>
      <c r="B8" t="s">
        <v>47</v>
      </c>
      <c r="C8" s="5" t="s">
        <v>266</v>
      </c>
      <c r="D8" s="5" t="s">
        <v>266</v>
      </c>
      <c r="E8" t="s">
        <v>196</v>
      </c>
      <c r="F8">
        <v>40</v>
      </c>
      <c r="G8">
        <v>40</v>
      </c>
    </row>
    <row r="9" spans="1:7" x14ac:dyDescent="0.15">
      <c r="A9" t="str">
        <f t="shared" si="0"/>
        <v>【タブノキ】・ヤブニッケイ・ムクノキ・ヤブツバキ・モチノキin碧南市</v>
      </c>
      <c r="B9" t="s">
        <v>111</v>
      </c>
      <c r="C9" s="5" t="s">
        <v>266</v>
      </c>
      <c r="D9" s="5" t="s">
        <v>266</v>
      </c>
      <c r="E9" t="s">
        <v>196</v>
      </c>
      <c r="F9">
        <v>40</v>
      </c>
      <c r="G9">
        <v>40</v>
      </c>
    </row>
    <row r="10" spans="1:7" x14ac:dyDescent="0.15">
      <c r="A10" t="str">
        <f t="shared" si="0"/>
        <v>【タブノキ】・ヤブニッケイ・ムクノキ・ヤブツバキ・モチノキin豊橋市</v>
      </c>
      <c r="B10" t="s">
        <v>54</v>
      </c>
      <c r="C10" s="5" t="s">
        <v>266</v>
      </c>
      <c r="D10" s="5" t="s">
        <v>266</v>
      </c>
      <c r="E10" t="s">
        <v>196</v>
      </c>
      <c r="F10">
        <v>40</v>
      </c>
      <c r="G10">
        <v>40</v>
      </c>
    </row>
    <row r="11" spans="1:7" x14ac:dyDescent="0.15">
      <c r="A11" t="str">
        <f t="shared" si="0"/>
        <v>【スダジイ】・ヒメユズリハ・クロバイ・イヌマキin阿久比町</v>
      </c>
      <c r="B11" t="s">
        <v>65</v>
      </c>
      <c r="C11" t="s">
        <v>267</v>
      </c>
      <c r="D11" t="s">
        <v>267</v>
      </c>
      <c r="E11" t="s">
        <v>194</v>
      </c>
      <c r="F11">
        <v>40</v>
      </c>
      <c r="G11">
        <v>40</v>
      </c>
    </row>
    <row r="12" spans="1:7" x14ac:dyDescent="0.15">
      <c r="A12" t="str">
        <f t="shared" si="0"/>
        <v>【スダジイ】・ヒメユズリハ・クロバイ・イヌマキin蒲郡市</v>
      </c>
      <c r="B12" t="s">
        <v>44</v>
      </c>
      <c r="C12" t="s">
        <v>267</v>
      </c>
      <c r="D12" t="s">
        <v>267</v>
      </c>
      <c r="E12" t="s">
        <v>194</v>
      </c>
      <c r="F12">
        <v>40</v>
      </c>
      <c r="G12">
        <v>40</v>
      </c>
    </row>
    <row r="13" spans="1:7" x14ac:dyDescent="0.15">
      <c r="A13" t="str">
        <f t="shared" si="0"/>
        <v>【スダジイ】・ヒメユズリハ・クロバイ・イヌマキin幸田町</v>
      </c>
      <c r="B13" t="s">
        <v>33</v>
      </c>
      <c r="C13" t="s">
        <v>267</v>
      </c>
      <c r="D13" t="s">
        <v>267</v>
      </c>
      <c r="E13" t="s">
        <v>194</v>
      </c>
      <c r="F13">
        <v>40</v>
      </c>
      <c r="G13">
        <v>40</v>
      </c>
    </row>
    <row r="14" spans="1:7" x14ac:dyDescent="0.15">
      <c r="A14" t="str">
        <f t="shared" si="0"/>
        <v>【スダジイ】・ヒメユズリハ・クロバイ・イヌマキin常滑市</v>
      </c>
      <c r="B14" t="s">
        <v>45</v>
      </c>
      <c r="C14" t="s">
        <v>267</v>
      </c>
      <c r="D14" t="s">
        <v>267</v>
      </c>
      <c r="E14" t="s">
        <v>194</v>
      </c>
      <c r="F14">
        <v>40</v>
      </c>
      <c r="G14">
        <v>40</v>
      </c>
    </row>
    <row r="15" spans="1:7" x14ac:dyDescent="0.15">
      <c r="A15" t="str">
        <f t="shared" si="0"/>
        <v>【スダジイ】・ヒメユズリハ・クロバイ・イヌマキin西尾市</v>
      </c>
      <c r="B15" t="s">
        <v>104</v>
      </c>
      <c r="C15" t="s">
        <v>267</v>
      </c>
      <c r="D15" t="s">
        <v>267</v>
      </c>
      <c r="E15" t="s">
        <v>194</v>
      </c>
      <c r="F15">
        <v>40</v>
      </c>
      <c r="G15">
        <v>40</v>
      </c>
    </row>
    <row r="16" spans="1:7" x14ac:dyDescent="0.15">
      <c r="A16" t="str">
        <f t="shared" si="0"/>
        <v>【スダジイ】・ヒメユズリハ・クロバイ・イヌマキin知多市</v>
      </c>
      <c r="B16" t="s">
        <v>46</v>
      </c>
      <c r="C16" t="s">
        <v>267</v>
      </c>
      <c r="D16" t="s">
        <v>267</v>
      </c>
      <c r="E16" t="s">
        <v>194</v>
      </c>
      <c r="F16">
        <v>40</v>
      </c>
      <c r="G16">
        <v>40</v>
      </c>
    </row>
    <row r="17" spans="1:7" x14ac:dyDescent="0.15">
      <c r="A17" t="str">
        <f t="shared" si="0"/>
        <v>【スダジイ】・ヒメユズリハ・クロバイ・イヌマキin田原市</v>
      </c>
      <c r="B17" t="s">
        <v>47</v>
      </c>
      <c r="C17" t="s">
        <v>267</v>
      </c>
      <c r="D17" t="s">
        <v>267</v>
      </c>
      <c r="E17" t="s">
        <v>194</v>
      </c>
      <c r="F17">
        <v>40</v>
      </c>
      <c r="G17">
        <v>40</v>
      </c>
    </row>
    <row r="18" spans="1:7" x14ac:dyDescent="0.15">
      <c r="A18" t="str">
        <f t="shared" si="0"/>
        <v>【スダジイ】・ヒメユズリハ・クロバイ・イヌマキin東浦町</v>
      </c>
      <c r="B18" t="s">
        <v>48</v>
      </c>
      <c r="C18" t="s">
        <v>267</v>
      </c>
      <c r="D18" t="s">
        <v>267</v>
      </c>
      <c r="E18" t="s">
        <v>194</v>
      </c>
      <c r="F18">
        <v>40</v>
      </c>
      <c r="G18">
        <v>40</v>
      </c>
    </row>
    <row r="19" spans="1:7" x14ac:dyDescent="0.15">
      <c r="A19" t="str">
        <f t="shared" si="0"/>
        <v>【スダジイ】・ヒメユズリハ・クロバイ・イヌマキin東海市</v>
      </c>
      <c r="B19" t="s">
        <v>49</v>
      </c>
      <c r="C19" t="s">
        <v>267</v>
      </c>
      <c r="D19" t="s">
        <v>267</v>
      </c>
      <c r="E19" t="s">
        <v>194</v>
      </c>
      <c r="F19">
        <v>40</v>
      </c>
      <c r="G19">
        <v>40</v>
      </c>
    </row>
    <row r="20" spans="1:7" x14ac:dyDescent="0.15">
      <c r="A20" t="str">
        <f t="shared" si="0"/>
        <v>【スダジイ】・ヒメユズリハ・クロバイ・イヌマキin南知多町</v>
      </c>
      <c r="B20" t="s">
        <v>50</v>
      </c>
      <c r="C20" t="s">
        <v>267</v>
      </c>
      <c r="D20" t="s">
        <v>267</v>
      </c>
      <c r="E20" t="s">
        <v>194</v>
      </c>
      <c r="F20">
        <v>40</v>
      </c>
      <c r="G20">
        <v>40</v>
      </c>
    </row>
    <row r="21" spans="1:7" x14ac:dyDescent="0.15">
      <c r="A21" t="str">
        <f t="shared" si="0"/>
        <v>【スダジイ】・ヒメユズリハ・クロバイ・イヌマキin半田市</v>
      </c>
      <c r="B21" t="s">
        <v>51</v>
      </c>
      <c r="C21" t="s">
        <v>267</v>
      </c>
      <c r="D21" t="s">
        <v>267</v>
      </c>
      <c r="E21" t="s">
        <v>194</v>
      </c>
      <c r="F21">
        <v>40</v>
      </c>
      <c r="G21">
        <v>40</v>
      </c>
    </row>
    <row r="22" spans="1:7" x14ac:dyDescent="0.15">
      <c r="A22" t="str">
        <f t="shared" si="0"/>
        <v>【スダジイ】・ヒメユズリハ・クロバイ・イヌマキin美浜町</v>
      </c>
      <c r="B22" t="s">
        <v>52</v>
      </c>
      <c r="C22" t="s">
        <v>267</v>
      </c>
      <c r="D22" t="s">
        <v>267</v>
      </c>
      <c r="E22" t="s">
        <v>194</v>
      </c>
      <c r="F22">
        <v>40</v>
      </c>
      <c r="G22">
        <v>40</v>
      </c>
    </row>
    <row r="23" spans="1:7" x14ac:dyDescent="0.15">
      <c r="A23" t="str">
        <f t="shared" si="0"/>
        <v>【スダジイ】・ヒメユズリハ・クロバイ・イヌマキin武豊町</v>
      </c>
      <c r="B23" t="s">
        <v>53</v>
      </c>
      <c r="C23" t="s">
        <v>267</v>
      </c>
      <c r="D23" t="s">
        <v>267</v>
      </c>
      <c r="E23" t="s">
        <v>194</v>
      </c>
      <c r="F23">
        <v>40</v>
      </c>
      <c r="G23">
        <v>40</v>
      </c>
    </row>
    <row r="24" spans="1:7" x14ac:dyDescent="0.15">
      <c r="A24" t="str">
        <f t="shared" si="0"/>
        <v>【スダジイ】・ヒメユズリハ・クロバイ・イヌマキin豊橋市</v>
      </c>
      <c r="B24" t="s">
        <v>54</v>
      </c>
      <c r="C24" t="s">
        <v>267</v>
      </c>
      <c r="D24" t="s">
        <v>267</v>
      </c>
      <c r="E24" t="s">
        <v>194</v>
      </c>
      <c r="F24">
        <v>40</v>
      </c>
      <c r="G24">
        <v>40</v>
      </c>
    </row>
    <row r="25" spans="1:7" x14ac:dyDescent="0.15">
      <c r="A25" t="str">
        <f t="shared" si="0"/>
        <v>【スダジイ】・ヒメユズリハ・クロバイ・イヌマキin豊川市</v>
      </c>
      <c r="B25" t="s">
        <v>114</v>
      </c>
      <c r="C25" t="s">
        <v>267</v>
      </c>
      <c r="D25" t="s">
        <v>267</v>
      </c>
      <c r="E25" t="s">
        <v>194</v>
      </c>
      <c r="F25">
        <v>40</v>
      </c>
      <c r="G25">
        <v>40</v>
      </c>
    </row>
    <row r="26" spans="1:7" x14ac:dyDescent="0.15">
      <c r="A26" t="str">
        <f t="shared" si="0"/>
        <v>【スダジイ】・ヒメユズリハ・クロバイ・イヌマキin名古屋市</v>
      </c>
      <c r="B26" t="s">
        <v>58</v>
      </c>
      <c r="C26" t="s">
        <v>267</v>
      </c>
      <c r="D26" t="s">
        <v>267</v>
      </c>
      <c r="E26" t="s">
        <v>194</v>
      </c>
      <c r="F26">
        <v>40</v>
      </c>
      <c r="G26">
        <v>40</v>
      </c>
    </row>
    <row r="27" spans="1:7" x14ac:dyDescent="0.15">
      <c r="A27" t="str">
        <f t="shared" si="0"/>
        <v>【ツブラジイ】・アラカシ・タカノツメ・サカキin阿久比町</v>
      </c>
      <c r="B27" t="s">
        <v>65</v>
      </c>
      <c r="C27" t="s">
        <v>268</v>
      </c>
      <c r="D27" t="s">
        <v>268</v>
      </c>
      <c r="E27" t="s">
        <v>197</v>
      </c>
      <c r="F27">
        <v>40</v>
      </c>
      <c r="G27">
        <v>40</v>
      </c>
    </row>
    <row r="28" spans="1:7" x14ac:dyDescent="0.15">
      <c r="A28" t="str">
        <f t="shared" si="0"/>
        <v>【ツブラジイ】・アラカシ・タカノツメ・サカキin岡崎市</v>
      </c>
      <c r="B28" t="s">
        <v>5</v>
      </c>
      <c r="C28" t="s">
        <v>268</v>
      </c>
      <c r="D28" t="s">
        <v>268</v>
      </c>
      <c r="E28" t="s">
        <v>197</v>
      </c>
      <c r="F28">
        <v>40</v>
      </c>
      <c r="G28">
        <v>40</v>
      </c>
    </row>
    <row r="29" spans="1:7" x14ac:dyDescent="0.15">
      <c r="A29" t="str">
        <f t="shared" si="0"/>
        <v>【ツブラジイ】・アラカシ・タカノツメ・サカキin蒲郡市</v>
      </c>
      <c r="B29" t="s">
        <v>44</v>
      </c>
      <c r="C29" t="s">
        <v>268</v>
      </c>
      <c r="D29" t="s">
        <v>268</v>
      </c>
      <c r="E29" t="s">
        <v>197</v>
      </c>
      <c r="F29">
        <v>40</v>
      </c>
      <c r="G29">
        <v>40</v>
      </c>
    </row>
    <row r="30" spans="1:7" x14ac:dyDescent="0.15">
      <c r="A30" t="str">
        <f t="shared" si="0"/>
        <v>【ツブラジイ】・アラカシ・タカノツメ・サカキin刈谷市</v>
      </c>
      <c r="B30" t="s">
        <v>100</v>
      </c>
      <c r="C30" t="s">
        <v>268</v>
      </c>
      <c r="D30" t="s">
        <v>268</v>
      </c>
      <c r="E30" t="s">
        <v>197</v>
      </c>
      <c r="F30">
        <v>40</v>
      </c>
      <c r="G30">
        <v>40</v>
      </c>
    </row>
    <row r="31" spans="1:7" x14ac:dyDescent="0.15">
      <c r="A31" t="str">
        <f t="shared" si="0"/>
        <v>【ツブラジイ】・アラカシ・タカノツメ・サカキin犬山市</v>
      </c>
      <c r="B31" t="s">
        <v>57</v>
      </c>
      <c r="C31" t="s">
        <v>268</v>
      </c>
      <c r="D31" t="s">
        <v>268</v>
      </c>
      <c r="E31" t="s">
        <v>197</v>
      </c>
      <c r="F31">
        <v>40</v>
      </c>
      <c r="G31">
        <v>40</v>
      </c>
    </row>
    <row r="32" spans="1:7" x14ac:dyDescent="0.15">
      <c r="A32" t="str">
        <f t="shared" si="0"/>
        <v>【ツブラジイ】・アラカシ・タカノツメ・サカキin幸田町</v>
      </c>
      <c r="B32" t="s">
        <v>33</v>
      </c>
      <c r="C32" t="s">
        <v>268</v>
      </c>
      <c r="D32" t="s">
        <v>268</v>
      </c>
      <c r="E32" t="s">
        <v>197</v>
      </c>
      <c r="F32">
        <v>40</v>
      </c>
      <c r="G32">
        <v>40</v>
      </c>
    </row>
    <row r="33" spans="1:7" x14ac:dyDescent="0.15">
      <c r="A33" t="str">
        <f t="shared" si="0"/>
        <v>【ツブラジイ】・アラカシ・タカノツメ・サカキinみよし市</v>
      </c>
      <c r="B33" t="s">
        <v>573</v>
      </c>
      <c r="C33" t="s">
        <v>268</v>
      </c>
      <c r="D33" t="s">
        <v>268</v>
      </c>
      <c r="E33" t="s">
        <v>197</v>
      </c>
      <c r="F33">
        <v>40</v>
      </c>
      <c r="G33">
        <v>40</v>
      </c>
    </row>
    <row r="34" spans="1:7" x14ac:dyDescent="0.15">
      <c r="A34" t="str">
        <f t="shared" si="0"/>
        <v>【ツブラジイ】・アラカシ・タカノツメ・サカキin春日井市</v>
      </c>
      <c r="B34" t="s">
        <v>40</v>
      </c>
      <c r="C34" t="s">
        <v>268</v>
      </c>
      <c r="D34" t="s">
        <v>268</v>
      </c>
      <c r="E34" t="s">
        <v>197</v>
      </c>
      <c r="F34">
        <v>40</v>
      </c>
      <c r="G34">
        <v>40</v>
      </c>
    </row>
    <row r="35" spans="1:7" x14ac:dyDescent="0.15">
      <c r="A35" t="str">
        <f t="shared" si="0"/>
        <v>【ツブラジイ】・アラカシ・タカノツメ・サカキin小牧市</v>
      </c>
      <c r="B35" t="s">
        <v>42</v>
      </c>
      <c r="C35" t="s">
        <v>268</v>
      </c>
      <c r="D35" t="s">
        <v>268</v>
      </c>
      <c r="E35" t="s">
        <v>197</v>
      </c>
      <c r="F35">
        <v>40</v>
      </c>
      <c r="G35">
        <v>40</v>
      </c>
    </row>
    <row r="36" spans="1:7" x14ac:dyDescent="0.15">
      <c r="A36" t="str">
        <f t="shared" si="0"/>
        <v>【ツブラジイ】・アラカシ・タカノツメ・サカキin常滑市</v>
      </c>
      <c r="B36" t="s">
        <v>45</v>
      </c>
      <c r="C36" t="s">
        <v>268</v>
      </c>
      <c r="D36" t="s">
        <v>268</v>
      </c>
      <c r="E36" t="s">
        <v>197</v>
      </c>
      <c r="F36">
        <v>40</v>
      </c>
      <c r="G36">
        <v>40</v>
      </c>
    </row>
    <row r="37" spans="1:7" x14ac:dyDescent="0.15">
      <c r="A37" t="str">
        <f t="shared" si="0"/>
        <v>【ツブラジイ】・アラカシ・タカノツメ・サカキin新城市</v>
      </c>
      <c r="B37" t="s">
        <v>6</v>
      </c>
      <c r="C37" t="s">
        <v>268</v>
      </c>
      <c r="D37" t="s">
        <v>268</v>
      </c>
      <c r="E37" t="s">
        <v>197</v>
      </c>
      <c r="F37">
        <v>40</v>
      </c>
      <c r="G37">
        <v>40</v>
      </c>
    </row>
    <row r="38" spans="1:7" x14ac:dyDescent="0.15">
      <c r="A38" t="str">
        <f t="shared" si="0"/>
        <v>【ツブラジイ】・アラカシ・タカノツメ・サカキin瀬戸市</v>
      </c>
      <c r="B38" t="s">
        <v>34</v>
      </c>
      <c r="C38" t="s">
        <v>268</v>
      </c>
      <c r="D38" t="s">
        <v>268</v>
      </c>
      <c r="E38" t="s">
        <v>197</v>
      </c>
      <c r="F38">
        <v>40</v>
      </c>
      <c r="G38">
        <v>40</v>
      </c>
    </row>
    <row r="39" spans="1:7" x14ac:dyDescent="0.15">
      <c r="A39" t="str">
        <f t="shared" si="0"/>
        <v>【ツブラジイ】・アラカシ・タカノツメ・サカキin西尾市</v>
      </c>
      <c r="B39" t="s">
        <v>104</v>
      </c>
      <c r="C39" t="s">
        <v>268</v>
      </c>
      <c r="D39" t="s">
        <v>268</v>
      </c>
      <c r="E39" t="s">
        <v>197</v>
      </c>
      <c r="F39">
        <v>40</v>
      </c>
      <c r="G39">
        <v>40</v>
      </c>
    </row>
    <row r="40" spans="1:7" x14ac:dyDescent="0.15">
      <c r="A40" t="str">
        <f t="shared" si="0"/>
        <v>【ツブラジイ】・アラカシ・タカノツメ・サカキin大府市</v>
      </c>
      <c r="B40" t="s">
        <v>43</v>
      </c>
      <c r="C40" t="s">
        <v>268</v>
      </c>
      <c r="D40" t="s">
        <v>268</v>
      </c>
      <c r="E40" t="s">
        <v>197</v>
      </c>
      <c r="F40">
        <v>40</v>
      </c>
      <c r="G40">
        <v>40</v>
      </c>
    </row>
    <row r="41" spans="1:7" x14ac:dyDescent="0.15">
      <c r="A41" t="str">
        <f t="shared" si="0"/>
        <v>【ツブラジイ】・アラカシ・タカノツメ・サカキin知多市</v>
      </c>
      <c r="B41" t="s">
        <v>46</v>
      </c>
      <c r="C41" t="s">
        <v>268</v>
      </c>
      <c r="D41" t="s">
        <v>268</v>
      </c>
      <c r="E41" t="s">
        <v>197</v>
      </c>
      <c r="F41">
        <v>40</v>
      </c>
      <c r="G41">
        <v>40</v>
      </c>
    </row>
    <row r="42" spans="1:7" x14ac:dyDescent="0.15">
      <c r="A42" t="str">
        <f t="shared" si="0"/>
        <v>【ツブラジイ】・アラカシ・タカノツメ・サカキin長久手市</v>
      </c>
      <c r="B42" t="s">
        <v>35</v>
      </c>
      <c r="C42" t="s">
        <v>268</v>
      </c>
      <c r="D42" t="s">
        <v>268</v>
      </c>
      <c r="E42" t="s">
        <v>197</v>
      </c>
      <c r="F42">
        <v>40</v>
      </c>
      <c r="G42">
        <v>40</v>
      </c>
    </row>
    <row r="43" spans="1:7" x14ac:dyDescent="0.15">
      <c r="A43" t="str">
        <f t="shared" si="0"/>
        <v>【ツブラジイ】・アラカシ・タカノツメ・サカキin東浦町</v>
      </c>
      <c r="B43" t="s">
        <v>48</v>
      </c>
      <c r="C43" t="s">
        <v>268</v>
      </c>
      <c r="D43" t="s">
        <v>268</v>
      </c>
      <c r="E43" t="s">
        <v>197</v>
      </c>
      <c r="F43">
        <v>40</v>
      </c>
      <c r="G43">
        <v>40</v>
      </c>
    </row>
    <row r="44" spans="1:7" x14ac:dyDescent="0.15">
      <c r="A44" t="str">
        <f t="shared" si="0"/>
        <v>【ツブラジイ】・アラカシ・タカノツメ・サカキin東海市</v>
      </c>
      <c r="B44" t="s">
        <v>49</v>
      </c>
      <c r="C44" t="s">
        <v>268</v>
      </c>
      <c r="D44" t="s">
        <v>268</v>
      </c>
      <c r="E44" t="s">
        <v>197</v>
      </c>
      <c r="F44">
        <v>40</v>
      </c>
      <c r="G44">
        <v>40</v>
      </c>
    </row>
    <row r="45" spans="1:7" x14ac:dyDescent="0.15">
      <c r="A45" t="str">
        <f t="shared" si="0"/>
        <v>【ツブラジイ】・アラカシ・タカノツメ・サカキin東郷町</v>
      </c>
      <c r="B45" t="s">
        <v>36</v>
      </c>
      <c r="C45" t="s">
        <v>268</v>
      </c>
      <c r="D45" t="s">
        <v>268</v>
      </c>
      <c r="E45" t="s">
        <v>197</v>
      </c>
      <c r="F45">
        <v>40</v>
      </c>
      <c r="G45">
        <v>40</v>
      </c>
    </row>
    <row r="46" spans="1:7" x14ac:dyDescent="0.15">
      <c r="A46" t="str">
        <f t="shared" si="0"/>
        <v>【ツブラジイ】・アラカシ・タカノツメ・サカキin日進市</v>
      </c>
      <c r="B46" t="s">
        <v>37</v>
      </c>
      <c r="C46" t="s">
        <v>268</v>
      </c>
      <c r="D46" t="s">
        <v>268</v>
      </c>
      <c r="E46" t="s">
        <v>197</v>
      </c>
      <c r="F46">
        <v>40</v>
      </c>
      <c r="G46">
        <v>40</v>
      </c>
    </row>
    <row r="47" spans="1:7" x14ac:dyDescent="0.15">
      <c r="A47" t="str">
        <f t="shared" si="0"/>
        <v>【ツブラジイ】・アラカシ・タカノツメ・サカキin半田市</v>
      </c>
      <c r="B47" t="s">
        <v>51</v>
      </c>
      <c r="C47" t="s">
        <v>268</v>
      </c>
      <c r="D47" t="s">
        <v>268</v>
      </c>
      <c r="E47" t="s">
        <v>197</v>
      </c>
      <c r="F47">
        <v>40</v>
      </c>
      <c r="G47">
        <v>40</v>
      </c>
    </row>
    <row r="48" spans="1:7" x14ac:dyDescent="0.15">
      <c r="A48" t="str">
        <f t="shared" si="0"/>
        <v>【ツブラジイ】・アラカシ・タカノツメ・サカキin尾張旭市</v>
      </c>
      <c r="B48" t="s">
        <v>38</v>
      </c>
      <c r="C48" t="s">
        <v>268</v>
      </c>
      <c r="D48" t="s">
        <v>268</v>
      </c>
      <c r="E48" t="s">
        <v>197</v>
      </c>
      <c r="F48">
        <v>40</v>
      </c>
      <c r="G48">
        <v>40</v>
      </c>
    </row>
    <row r="49" spans="1:7" x14ac:dyDescent="0.15">
      <c r="A49" t="str">
        <f t="shared" si="0"/>
        <v>【ツブラジイ】・アラカシ・タカノツメ・サカキin武豊町</v>
      </c>
      <c r="B49" t="s">
        <v>53</v>
      </c>
      <c r="C49" t="s">
        <v>268</v>
      </c>
      <c r="D49" t="s">
        <v>268</v>
      </c>
      <c r="E49" t="s">
        <v>197</v>
      </c>
      <c r="F49">
        <v>40</v>
      </c>
      <c r="G49">
        <v>40</v>
      </c>
    </row>
    <row r="50" spans="1:7" x14ac:dyDescent="0.15">
      <c r="A50" t="str">
        <f t="shared" si="0"/>
        <v>【ツブラジイ】・アラカシ・タカノツメ・サカキin豊橋市</v>
      </c>
      <c r="B50" t="s">
        <v>54</v>
      </c>
      <c r="C50" t="s">
        <v>268</v>
      </c>
      <c r="D50" t="s">
        <v>268</v>
      </c>
      <c r="E50" t="s">
        <v>197</v>
      </c>
      <c r="F50">
        <v>40</v>
      </c>
      <c r="G50">
        <v>40</v>
      </c>
    </row>
    <row r="51" spans="1:7" x14ac:dyDescent="0.15">
      <c r="A51" t="str">
        <f t="shared" si="0"/>
        <v>【ツブラジイ】・アラカシ・タカノツメ・サカキin豊川市</v>
      </c>
      <c r="B51" t="s">
        <v>114</v>
      </c>
      <c r="C51" t="s">
        <v>268</v>
      </c>
      <c r="D51" t="s">
        <v>268</v>
      </c>
      <c r="E51" t="s">
        <v>197</v>
      </c>
      <c r="F51">
        <v>40</v>
      </c>
      <c r="G51">
        <v>40</v>
      </c>
    </row>
    <row r="52" spans="1:7" s="2" customFormat="1" x14ac:dyDescent="0.15">
      <c r="A52" s="2" t="s">
        <v>607</v>
      </c>
      <c r="B52" s="2" t="s">
        <v>601</v>
      </c>
      <c r="C52" s="2" t="s">
        <v>268</v>
      </c>
      <c r="D52" s="2" t="s">
        <v>268</v>
      </c>
      <c r="E52" s="2" t="s">
        <v>197</v>
      </c>
      <c r="F52" s="2">
        <v>40</v>
      </c>
      <c r="G52" s="2">
        <v>40</v>
      </c>
    </row>
    <row r="53" spans="1:7" s="2" customFormat="1" x14ac:dyDescent="0.15">
      <c r="A53" s="2" t="s">
        <v>608</v>
      </c>
      <c r="B53" s="2" t="s">
        <v>602</v>
      </c>
      <c r="C53" s="2" t="s">
        <v>268</v>
      </c>
      <c r="D53" s="2" t="s">
        <v>268</v>
      </c>
      <c r="E53" s="2" t="s">
        <v>197</v>
      </c>
      <c r="F53" s="2">
        <v>40</v>
      </c>
      <c r="G53" s="2">
        <v>40</v>
      </c>
    </row>
    <row r="54" spans="1:7" s="2" customFormat="1" x14ac:dyDescent="0.15">
      <c r="A54" s="2" t="s">
        <v>609</v>
      </c>
      <c r="B54" s="2" t="s">
        <v>603</v>
      </c>
      <c r="C54" s="2" t="s">
        <v>268</v>
      </c>
      <c r="D54" s="2" t="s">
        <v>268</v>
      </c>
      <c r="E54" s="2" t="s">
        <v>197</v>
      </c>
      <c r="F54" s="2">
        <v>40</v>
      </c>
      <c r="G54" s="2">
        <v>40</v>
      </c>
    </row>
    <row r="55" spans="1:7" s="2" customFormat="1" x14ac:dyDescent="0.15">
      <c r="A55" s="2" t="s">
        <v>610</v>
      </c>
      <c r="B55" s="2" t="s">
        <v>604</v>
      </c>
      <c r="C55" s="2" t="s">
        <v>268</v>
      </c>
      <c r="D55" s="2" t="s">
        <v>268</v>
      </c>
      <c r="E55" s="2" t="s">
        <v>197</v>
      </c>
      <c r="F55" s="2">
        <v>40</v>
      </c>
      <c r="G55" s="2">
        <v>40</v>
      </c>
    </row>
    <row r="56" spans="1:7" s="2" customFormat="1" x14ac:dyDescent="0.15">
      <c r="A56" s="2" t="s">
        <v>611</v>
      </c>
      <c r="B56" s="2" t="s">
        <v>600</v>
      </c>
      <c r="C56" s="2" t="s">
        <v>268</v>
      </c>
      <c r="D56" s="2" t="s">
        <v>268</v>
      </c>
      <c r="E56" s="2" t="s">
        <v>197</v>
      </c>
      <c r="F56" s="2">
        <v>40</v>
      </c>
      <c r="G56" s="2">
        <v>40</v>
      </c>
    </row>
    <row r="57" spans="1:7" s="2" customFormat="1" x14ac:dyDescent="0.15">
      <c r="A57" s="2" t="s">
        <v>612</v>
      </c>
      <c r="B57" s="2" t="s">
        <v>605</v>
      </c>
      <c r="C57" s="2" t="s">
        <v>268</v>
      </c>
      <c r="D57" s="2" t="s">
        <v>268</v>
      </c>
      <c r="E57" s="2" t="s">
        <v>197</v>
      </c>
      <c r="F57" s="2">
        <v>40</v>
      </c>
      <c r="G57" s="2">
        <v>40</v>
      </c>
    </row>
    <row r="58" spans="1:7" x14ac:dyDescent="0.15">
      <c r="A58" t="str">
        <f t="shared" si="0"/>
        <v>【ツブラジイ】・アラカシ・タカノツメ・サカキin豊明市</v>
      </c>
      <c r="B58" t="s">
        <v>115</v>
      </c>
      <c r="C58" t="s">
        <v>268</v>
      </c>
      <c r="D58" t="s">
        <v>268</v>
      </c>
      <c r="E58" t="s">
        <v>197</v>
      </c>
      <c r="F58">
        <v>40</v>
      </c>
      <c r="G58">
        <v>40</v>
      </c>
    </row>
    <row r="59" spans="1:7" x14ac:dyDescent="0.15">
      <c r="A59" t="str">
        <f t="shared" si="0"/>
        <v>【ツブラジイ】・アラカシ・タカノツメ・サカキin名古屋市</v>
      </c>
      <c r="B59" t="s">
        <v>58</v>
      </c>
      <c r="C59" t="s">
        <v>268</v>
      </c>
      <c r="D59" t="s">
        <v>268</v>
      </c>
      <c r="E59" t="s">
        <v>197</v>
      </c>
      <c r="F59">
        <v>40</v>
      </c>
      <c r="G59">
        <v>40</v>
      </c>
    </row>
    <row r="60" spans="1:7" x14ac:dyDescent="0.15">
      <c r="A60" t="str">
        <f t="shared" si="0"/>
        <v>【スダジイ】・ヤマモモ・モチノキ・タブノキ・ヤブツバキin安城市</v>
      </c>
      <c r="B60" t="s">
        <v>55</v>
      </c>
      <c r="C60" t="s">
        <v>269</v>
      </c>
      <c r="D60" t="s">
        <v>269</v>
      </c>
      <c r="E60" t="s">
        <v>195</v>
      </c>
      <c r="F60">
        <v>40</v>
      </c>
      <c r="G60">
        <v>40</v>
      </c>
    </row>
    <row r="61" spans="1:7" x14ac:dyDescent="0.15">
      <c r="A61" t="str">
        <f t="shared" si="0"/>
        <v>【スダジイ】・ヤマモモ・モチノキ・タブノキ・ヤブツバキin一宮市</v>
      </c>
      <c r="B61" t="s">
        <v>97</v>
      </c>
      <c r="C61" t="s">
        <v>269</v>
      </c>
      <c r="D61" t="s">
        <v>269</v>
      </c>
      <c r="E61" t="s">
        <v>195</v>
      </c>
      <c r="F61">
        <v>40</v>
      </c>
      <c r="G61">
        <v>40</v>
      </c>
    </row>
    <row r="62" spans="1:7" x14ac:dyDescent="0.15">
      <c r="A62" t="str">
        <f t="shared" si="0"/>
        <v>【スダジイ】・ヤマモモ・モチノキ・タブノキ・ヤブツバキin岡崎市</v>
      </c>
      <c r="B62" t="s">
        <v>5</v>
      </c>
      <c r="C62" t="s">
        <v>269</v>
      </c>
      <c r="D62" t="s">
        <v>269</v>
      </c>
      <c r="E62" t="s">
        <v>195</v>
      </c>
      <c r="F62">
        <v>40</v>
      </c>
      <c r="G62">
        <v>40</v>
      </c>
    </row>
    <row r="63" spans="1:7" x14ac:dyDescent="0.15">
      <c r="A63" t="str">
        <f t="shared" si="0"/>
        <v>【スダジイ】・ヤマモモ・モチノキ・タブノキ・ヤブツバキin蒲郡市</v>
      </c>
      <c r="B63" t="s">
        <v>44</v>
      </c>
      <c r="C63" t="s">
        <v>269</v>
      </c>
      <c r="D63" t="s">
        <v>269</v>
      </c>
      <c r="E63" t="s">
        <v>195</v>
      </c>
      <c r="F63">
        <v>40</v>
      </c>
      <c r="G63">
        <v>40</v>
      </c>
    </row>
    <row r="64" spans="1:7" x14ac:dyDescent="0.15">
      <c r="A64" t="str">
        <f t="shared" si="0"/>
        <v>【スダジイ】・ヤマモモ・モチノキ・タブノキ・ヤブツバキin刈谷市</v>
      </c>
      <c r="B64" t="s">
        <v>100</v>
      </c>
      <c r="C64" t="s">
        <v>269</v>
      </c>
      <c r="D64" t="s">
        <v>269</v>
      </c>
      <c r="E64" t="s">
        <v>195</v>
      </c>
      <c r="F64">
        <v>40</v>
      </c>
      <c r="G64">
        <v>40</v>
      </c>
    </row>
    <row r="65" spans="1:7" x14ac:dyDescent="0.15">
      <c r="A65" t="str">
        <f t="shared" si="0"/>
        <v>【スダジイ】・ヤマモモ・モチノキ・タブノキ・ヤブツバキin岩倉市</v>
      </c>
      <c r="B65" t="s">
        <v>101</v>
      </c>
      <c r="C65" t="s">
        <v>269</v>
      </c>
      <c r="D65" t="s">
        <v>269</v>
      </c>
      <c r="E65" t="s">
        <v>195</v>
      </c>
      <c r="F65">
        <v>40</v>
      </c>
      <c r="G65">
        <v>40</v>
      </c>
    </row>
    <row r="66" spans="1:7" x14ac:dyDescent="0.15">
      <c r="A66" t="str">
        <f t="shared" si="0"/>
        <v>【スダジイ】・ヤマモモ・モチノキ・タブノキ・ヤブツバキin犬山市</v>
      </c>
      <c r="B66" t="s">
        <v>57</v>
      </c>
      <c r="C66" t="s">
        <v>269</v>
      </c>
      <c r="D66" t="s">
        <v>269</v>
      </c>
      <c r="E66" t="s">
        <v>195</v>
      </c>
      <c r="F66">
        <v>40</v>
      </c>
      <c r="G66">
        <v>40</v>
      </c>
    </row>
    <row r="67" spans="1:7" x14ac:dyDescent="0.15">
      <c r="A67" t="str">
        <f t="shared" si="0"/>
        <v>【スダジイ】・ヤマモモ・モチノキ・タブノキ・ヤブツバキin幸田町</v>
      </c>
      <c r="B67" t="s">
        <v>33</v>
      </c>
      <c r="C67" t="s">
        <v>269</v>
      </c>
      <c r="D67" t="s">
        <v>269</v>
      </c>
      <c r="E67" t="s">
        <v>195</v>
      </c>
      <c r="F67">
        <v>40</v>
      </c>
      <c r="G67">
        <v>40</v>
      </c>
    </row>
    <row r="68" spans="1:7" x14ac:dyDescent="0.15">
      <c r="A68" t="str">
        <f t="shared" si="0"/>
        <v>【スダジイ】・ヤマモモ・モチノキ・タブノキ・ヤブツバキin江南市</v>
      </c>
      <c r="B68" t="s">
        <v>102</v>
      </c>
      <c r="C68" t="s">
        <v>269</v>
      </c>
      <c r="D68" t="s">
        <v>269</v>
      </c>
      <c r="E68" t="s">
        <v>195</v>
      </c>
      <c r="F68">
        <v>40</v>
      </c>
      <c r="G68">
        <v>40</v>
      </c>
    </row>
    <row r="69" spans="1:7" x14ac:dyDescent="0.15">
      <c r="A69" t="str">
        <f t="shared" si="0"/>
        <v>【スダジイ】・ヤマモモ・モチノキ・タブノキ・ヤブツバキin高浜市</v>
      </c>
      <c r="B69" t="s">
        <v>56</v>
      </c>
      <c r="C69" t="s">
        <v>269</v>
      </c>
      <c r="D69" t="s">
        <v>269</v>
      </c>
      <c r="E69" t="s">
        <v>195</v>
      </c>
      <c r="F69">
        <v>40</v>
      </c>
      <c r="G69">
        <v>40</v>
      </c>
    </row>
    <row r="70" spans="1:7" x14ac:dyDescent="0.15">
      <c r="A70" t="str">
        <f t="shared" si="0"/>
        <v>【スダジイ】・ヤマモモ・モチノキ・タブノキ・ヤブツバキin春日井市</v>
      </c>
      <c r="B70" t="s">
        <v>40</v>
      </c>
      <c r="C70" t="s">
        <v>269</v>
      </c>
      <c r="D70" t="s">
        <v>269</v>
      </c>
      <c r="E70" t="s">
        <v>195</v>
      </c>
      <c r="F70">
        <v>40</v>
      </c>
      <c r="G70">
        <v>40</v>
      </c>
    </row>
    <row r="71" spans="1:7" x14ac:dyDescent="0.15">
      <c r="A71" t="str">
        <f t="shared" ref="A71:A144" si="1">E71&amp;"in"&amp;B71</f>
        <v>【スダジイ】・ヤマモモ・モチノキ・タブノキ・ヤブツバキin小牧市</v>
      </c>
      <c r="B71" t="s">
        <v>42</v>
      </c>
      <c r="C71" t="s">
        <v>269</v>
      </c>
      <c r="D71" t="s">
        <v>269</v>
      </c>
      <c r="E71" t="s">
        <v>195</v>
      </c>
      <c r="F71">
        <v>40</v>
      </c>
      <c r="G71">
        <v>40</v>
      </c>
    </row>
    <row r="72" spans="1:7" x14ac:dyDescent="0.15">
      <c r="A72" t="str">
        <f t="shared" si="1"/>
        <v>【スダジイ】・ヤマモモ・モチノキ・タブノキ・ヤブツバキin常滑市</v>
      </c>
      <c r="B72" t="s">
        <v>45</v>
      </c>
      <c r="C72" t="s">
        <v>269</v>
      </c>
      <c r="D72" t="s">
        <v>269</v>
      </c>
      <c r="E72" t="s">
        <v>195</v>
      </c>
      <c r="F72">
        <v>40</v>
      </c>
      <c r="G72">
        <v>40</v>
      </c>
    </row>
    <row r="73" spans="1:7" x14ac:dyDescent="0.15">
      <c r="A73" t="str">
        <f t="shared" si="1"/>
        <v>【スダジイ】・ヤマモモ・モチノキ・タブノキ・ヤブツバキin新城市</v>
      </c>
      <c r="B73" t="s">
        <v>6</v>
      </c>
      <c r="C73" t="s">
        <v>269</v>
      </c>
      <c r="D73" t="s">
        <v>269</v>
      </c>
      <c r="E73" t="s">
        <v>195</v>
      </c>
      <c r="F73">
        <v>40</v>
      </c>
      <c r="G73">
        <v>40</v>
      </c>
    </row>
    <row r="74" spans="1:7" x14ac:dyDescent="0.15">
      <c r="A74" t="str">
        <f t="shared" si="1"/>
        <v>【スダジイ】・ヤマモモ・モチノキ・タブノキ・ヤブツバキin西尾市</v>
      </c>
      <c r="B74" t="s">
        <v>104</v>
      </c>
      <c r="C74" t="s">
        <v>269</v>
      </c>
      <c r="D74" t="s">
        <v>269</v>
      </c>
      <c r="E74" t="s">
        <v>195</v>
      </c>
      <c r="F74">
        <v>40</v>
      </c>
      <c r="G74">
        <v>40</v>
      </c>
    </row>
    <row r="75" spans="1:7" x14ac:dyDescent="0.15">
      <c r="A75" t="str">
        <f t="shared" si="1"/>
        <v>【スダジイ】・ヤマモモ・モチノキ・タブノキ・ヤブツバキin大口町</v>
      </c>
      <c r="B75" t="s">
        <v>41</v>
      </c>
      <c r="C75" t="s">
        <v>269</v>
      </c>
      <c r="D75" t="s">
        <v>269</v>
      </c>
      <c r="E75" t="s">
        <v>195</v>
      </c>
      <c r="F75">
        <v>40</v>
      </c>
      <c r="G75">
        <v>40</v>
      </c>
    </row>
    <row r="76" spans="1:7" x14ac:dyDescent="0.15">
      <c r="A76" t="str">
        <f t="shared" si="1"/>
        <v>【スダジイ】・ヤマモモ・モチノキ・タブノキ・ヤブツバキin大府市</v>
      </c>
      <c r="B76" t="s">
        <v>43</v>
      </c>
      <c r="C76" t="s">
        <v>269</v>
      </c>
      <c r="D76" t="s">
        <v>269</v>
      </c>
      <c r="E76" t="s">
        <v>195</v>
      </c>
      <c r="F76">
        <v>40</v>
      </c>
      <c r="G76">
        <v>40</v>
      </c>
    </row>
    <row r="77" spans="1:7" x14ac:dyDescent="0.15">
      <c r="A77" t="str">
        <f t="shared" si="1"/>
        <v>【スダジイ】・ヤマモモ・モチノキ・タブノキ・ヤブツバキin知立市</v>
      </c>
      <c r="B77" t="s">
        <v>107</v>
      </c>
      <c r="C77" t="s">
        <v>269</v>
      </c>
      <c r="D77" t="s">
        <v>269</v>
      </c>
      <c r="E77" t="s">
        <v>195</v>
      </c>
      <c r="F77">
        <v>40</v>
      </c>
      <c r="G77">
        <v>40</v>
      </c>
    </row>
    <row r="78" spans="1:7" x14ac:dyDescent="0.15">
      <c r="A78" t="str">
        <f t="shared" si="1"/>
        <v>【スダジイ】・ヤマモモ・モチノキ・タブノキ・ヤブツバキin田原市</v>
      </c>
      <c r="B78" t="s">
        <v>47</v>
      </c>
      <c r="C78" t="s">
        <v>269</v>
      </c>
      <c r="D78" t="s">
        <v>269</v>
      </c>
      <c r="E78" t="s">
        <v>195</v>
      </c>
      <c r="F78">
        <v>40</v>
      </c>
      <c r="G78">
        <v>40</v>
      </c>
    </row>
    <row r="79" spans="1:7" x14ac:dyDescent="0.15">
      <c r="A79" t="str">
        <f t="shared" si="1"/>
        <v>【スダジイ】・ヤマモモ・モチノキ・タブノキ・ヤブツバキin東浦町</v>
      </c>
      <c r="B79" t="s">
        <v>48</v>
      </c>
      <c r="C79" t="s">
        <v>269</v>
      </c>
      <c r="D79" t="s">
        <v>269</v>
      </c>
      <c r="E79" t="s">
        <v>195</v>
      </c>
      <c r="F79">
        <v>40</v>
      </c>
      <c r="G79">
        <v>40</v>
      </c>
    </row>
    <row r="80" spans="1:7" x14ac:dyDescent="0.15">
      <c r="A80" t="str">
        <f t="shared" si="1"/>
        <v>【スダジイ】・ヤマモモ・モチノキ・タブノキ・ヤブツバキin南知多町</v>
      </c>
      <c r="B80" t="s">
        <v>50</v>
      </c>
      <c r="C80" t="s">
        <v>269</v>
      </c>
      <c r="D80" t="s">
        <v>269</v>
      </c>
      <c r="E80" t="s">
        <v>195</v>
      </c>
      <c r="F80">
        <v>40</v>
      </c>
      <c r="G80">
        <v>40</v>
      </c>
    </row>
    <row r="81" spans="1:7" x14ac:dyDescent="0.15">
      <c r="A81" t="str">
        <f t="shared" si="1"/>
        <v>【スダジイ】・ヤマモモ・モチノキ・タブノキ・ヤブツバキin美浜町</v>
      </c>
      <c r="B81" t="s">
        <v>52</v>
      </c>
      <c r="C81" t="s">
        <v>269</v>
      </c>
      <c r="D81" t="s">
        <v>269</v>
      </c>
      <c r="E81" t="s">
        <v>195</v>
      </c>
      <c r="F81">
        <v>40</v>
      </c>
      <c r="G81">
        <v>40</v>
      </c>
    </row>
    <row r="82" spans="1:7" x14ac:dyDescent="0.15">
      <c r="A82" t="str">
        <f t="shared" si="1"/>
        <v>【スダジイ】・ヤマモモ・モチノキ・タブノキ・ヤブツバキin扶桑町</v>
      </c>
      <c r="B82" t="s">
        <v>110</v>
      </c>
      <c r="C82" t="s">
        <v>269</v>
      </c>
      <c r="D82" t="s">
        <v>269</v>
      </c>
      <c r="E82" t="s">
        <v>195</v>
      </c>
      <c r="F82">
        <v>40</v>
      </c>
      <c r="G82">
        <v>40</v>
      </c>
    </row>
    <row r="83" spans="1:7" x14ac:dyDescent="0.15">
      <c r="A83" t="str">
        <f t="shared" si="1"/>
        <v>【スダジイ】・ヤマモモ・モチノキ・タブノキ・ヤブツバキin武豊町</v>
      </c>
      <c r="B83" t="s">
        <v>53</v>
      </c>
      <c r="C83" t="s">
        <v>269</v>
      </c>
      <c r="D83" t="s">
        <v>269</v>
      </c>
      <c r="E83" t="s">
        <v>195</v>
      </c>
      <c r="F83">
        <v>40</v>
      </c>
      <c r="G83">
        <v>40</v>
      </c>
    </row>
    <row r="84" spans="1:7" x14ac:dyDescent="0.15">
      <c r="A84" t="str">
        <f t="shared" si="1"/>
        <v>【スダジイ】・ヤマモモ・モチノキ・タブノキ・ヤブツバキin豊山町</v>
      </c>
      <c r="B84" t="s">
        <v>113</v>
      </c>
      <c r="C84" t="s">
        <v>269</v>
      </c>
      <c r="D84" t="s">
        <v>269</v>
      </c>
      <c r="E84" t="s">
        <v>195</v>
      </c>
      <c r="F84">
        <v>40</v>
      </c>
      <c r="G84">
        <v>40</v>
      </c>
    </row>
    <row r="85" spans="1:7" x14ac:dyDescent="0.15">
      <c r="A85" t="str">
        <f>E85&amp;"in"&amp;B85</f>
        <v>【スダジイ】・ヤマモモ・モチノキ・タブノキ・ヤブツバキin豊田市（旧豊田市）</v>
      </c>
      <c r="B85" t="s">
        <v>601</v>
      </c>
      <c r="C85" t="s">
        <v>269</v>
      </c>
      <c r="D85" t="s">
        <v>269</v>
      </c>
      <c r="E85" t="s">
        <v>195</v>
      </c>
      <c r="F85">
        <v>40</v>
      </c>
      <c r="G85">
        <v>40</v>
      </c>
    </row>
    <row r="86" spans="1:7" x14ac:dyDescent="0.15">
      <c r="A86" t="str">
        <f t="shared" si="1"/>
        <v>【スダジイ】・ヤマモモ・モチノキ・タブノキ・ヤブツバキin豊明市</v>
      </c>
      <c r="B86" t="s">
        <v>115</v>
      </c>
      <c r="C86" t="s">
        <v>269</v>
      </c>
      <c r="D86" t="s">
        <v>269</v>
      </c>
      <c r="E86" t="s">
        <v>195</v>
      </c>
      <c r="F86">
        <v>40</v>
      </c>
      <c r="G86">
        <v>40</v>
      </c>
    </row>
    <row r="87" spans="1:7" x14ac:dyDescent="0.15">
      <c r="A87" t="str">
        <f t="shared" si="1"/>
        <v>【スダジイ】・ヤマモモ・モチノキ・タブノキ・ヤブツバキin北名古屋市</v>
      </c>
      <c r="B87" t="s">
        <v>116</v>
      </c>
      <c r="C87" t="s">
        <v>269</v>
      </c>
      <c r="D87" t="s">
        <v>269</v>
      </c>
      <c r="E87" t="s">
        <v>195</v>
      </c>
      <c r="F87">
        <v>40</v>
      </c>
      <c r="G87">
        <v>40</v>
      </c>
    </row>
    <row r="88" spans="1:7" x14ac:dyDescent="0.15">
      <c r="A88" t="str">
        <f t="shared" si="1"/>
        <v>【スダジイ】・ヤマモモ・モチノキ・タブノキ・ヤブツバキin名古屋市</v>
      </c>
      <c r="B88" t="s">
        <v>58</v>
      </c>
      <c r="C88" t="s">
        <v>269</v>
      </c>
      <c r="D88" t="s">
        <v>269</v>
      </c>
      <c r="E88" t="s">
        <v>195</v>
      </c>
      <c r="F88">
        <v>40</v>
      </c>
      <c r="G88">
        <v>40</v>
      </c>
    </row>
    <row r="89" spans="1:7" x14ac:dyDescent="0.15">
      <c r="A89" t="str">
        <f t="shared" si="1"/>
        <v>【シラカシ】・アラカシ・サカキ・ツブラジイin一宮市</v>
      </c>
      <c r="B89" t="s">
        <v>97</v>
      </c>
      <c r="C89" t="s">
        <v>270</v>
      </c>
      <c r="D89" t="s">
        <v>270</v>
      </c>
      <c r="E89" t="s">
        <v>192</v>
      </c>
      <c r="F89">
        <v>40</v>
      </c>
      <c r="G89">
        <v>40</v>
      </c>
    </row>
    <row r="90" spans="1:7" x14ac:dyDescent="0.15">
      <c r="A90" t="str">
        <f t="shared" si="1"/>
        <v>【シラカシ】・アラカシ・サカキ・ツブラジイin犬山市</v>
      </c>
      <c r="B90" t="s">
        <v>57</v>
      </c>
      <c r="C90" t="s">
        <v>270</v>
      </c>
      <c r="D90" t="s">
        <v>270</v>
      </c>
      <c r="E90" t="s">
        <v>192</v>
      </c>
      <c r="F90">
        <v>40</v>
      </c>
      <c r="G90">
        <v>40</v>
      </c>
    </row>
    <row r="91" spans="1:7" x14ac:dyDescent="0.15">
      <c r="A91" t="str">
        <f t="shared" si="1"/>
        <v>【シラカシ】・アラカシ・サカキ・ツブラジイin江南市</v>
      </c>
      <c r="B91" t="s">
        <v>102</v>
      </c>
      <c r="C91" t="s">
        <v>270</v>
      </c>
      <c r="D91" t="s">
        <v>270</v>
      </c>
      <c r="E91" t="s">
        <v>192</v>
      </c>
      <c r="F91">
        <v>40</v>
      </c>
      <c r="G91">
        <v>40</v>
      </c>
    </row>
    <row r="92" spans="1:7" x14ac:dyDescent="0.15">
      <c r="A92" t="str">
        <f t="shared" si="1"/>
        <v>【シラカシ】・アラカシ・サカキ・ツブラジイin春日井市</v>
      </c>
      <c r="B92" t="s">
        <v>40</v>
      </c>
      <c r="C92" t="s">
        <v>270</v>
      </c>
      <c r="D92" t="s">
        <v>270</v>
      </c>
      <c r="E92" t="s">
        <v>192</v>
      </c>
      <c r="F92">
        <v>40</v>
      </c>
      <c r="G92">
        <v>40</v>
      </c>
    </row>
    <row r="93" spans="1:7" x14ac:dyDescent="0.15">
      <c r="A93" t="str">
        <f t="shared" si="1"/>
        <v>【シラカシ】・アラカシ・サカキ・ツブラジイin瀬戸市</v>
      </c>
      <c r="B93" t="s">
        <v>34</v>
      </c>
      <c r="C93" t="s">
        <v>270</v>
      </c>
      <c r="D93" t="s">
        <v>270</v>
      </c>
      <c r="E93" t="s">
        <v>192</v>
      </c>
      <c r="F93">
        <v>40</v>
      </c>
      <c r="G93">
        <v>40</v>
      </c>
    </row>
    <row r="94" spans="1:7" x14ac:dyDescent="0.15">
      <c r="A94" t="str">
        <f t="shared" si="1"/>
        <v>【シラカシ】・アラカシ・サカキ・ツブラジイin大口町</v>
      </c>
      <c r="B94" t="s">
        <v>41</v>
      </c>
      <c r="C94" t="s">
        <v>270</v>
      </c>
      <c r="D94" t="s">
        <v>270</v>
      </c>
      <c r="E94" t="s">
        <v>192</v>
      </c>
      <c r="F94">
        <v>40</v>
      </c>
      <c r="G94">
        <v>40</v>
      </c>
    </row>
    <row r="95" spans="1:7" x14ac:dyDescent="0.15">
      <c r="A95" t="str">
        <f t="shared" si="1"/>
        <v>【シラカシ】・アラカシ・サカキ・ツブラジイin扶桑町</v>
      </c>
      <c r="B95" t="s">
        <v>110</v>
      </c>
      <c r="C95" t="s">
        <v>270</v>
      </c>
      <c r="D95" t="s">
        <v>270</v>
      </c>
      <c r="E95" t="s">
        <v>192</v>
      </c>
      <c r="F95">
        <v>40</v>
      </c>
      <c r="G95">
        <v>40</v>
      </c>
    </row>
    <row r="96" spans="1:7" x14ac:dyDescent="0.15">
      <c r="A96" t="str">
        <f>E96&amp;"in"&amp;B96</f>
        <v>【シラカシ】・アラカシ・サカキ・ツブラジイin豊田市（旧旭町）</v>
      </c>
      <c r="B96" t="s">
        <v>605</v>
      </c>
      <c r="C96" t="s">
        <v>270</v>
      </c>
      <c r="D96" t="s">
        <v>270</v>
      </c>
      <c r="E96" t="s">
        <v>192</v>
      </c>
      <c r="F96">
        <v>40</v>
      </c>
      <c r="G96">
        <v>40</v>
      </c>
    </row>
    <row r="97" spans="1:7" x14ac:dyDescent="0.15">
      <c r="A97" t="str">
        <f>E97&amp;"in"&amp;B97</f>
        <v>【シラカシ】・アラカシ・サカキ・ツブラジイin豊田市（旧稲武町）</v>
      </c>
      <c r="B97" t="s">
        <v>606</v>
      </c>
      <c r="C97" t="s">
        <v>270</v>
      </c>
      <c r="D97" t="s">
        <v>270</v>
      </c>
      <c r="E97" t="s">
        <v>192</v>
      </c>
      <c r="F97">
        <v>40</v>
      </c>
      <c r="G97">
        <v>40</v>
      </c>
    </row>
    <row r="98" spans="1:7" x14ac:dyDescent="0.15">
      <c r="A98" t="str">
        <f t="shared" si="1"/>
        <v>【シラカシ】・アラカシ・サカキ・ツブラジイin名古屋市</v>
      </c>
      <c r="B98" t="s">
        <v>58</v>
      </c>
      <c r="C98" t="s">
        <v>270</v>
      </c>
      <c r="D98" t="s">
        <v>270</v>
      </c>
      <c r="E98" t="s">
        <v>192</v>
      </c>
      <c r="F98">
        <v>40</v>
      </c>
      <c r="G98">
        <v>40</v>
      </c>
    </row>
    <row r="99" spans="1:7" x14ac:dyDescent="0.15">
      <c r="A99" t="str">
        <f t="shared" si="1"/>
        <v>【モミ】・ウラジロガシ・アカガシ・シキミin岡崎市</v>
      </c>
      <c r="B99" t="s">
        <v>5</v>
      </c>
      <c r="C99" t="s">
        <v>272</v>
      </c>
      <c r="D99" t="s">
        <v>272</v>
      </c>
      <c r="E99" t="s">
        <v>201</v>
      </c>
      <c r="F99">
        <v>40</v>
      </c>
      <c r="G99">
        <v>40</v>
      </c>
    </row>
    <row r="100" spans="1:7" x14ac:dyDescent="0.15">
      <c r="A100" t="str">
        <f t="shared" si="1"/>
        <v>【モミ】・ウラジロガシ・アカガシ・シキミin新城市</v>
      </c>
      <c r="B100" t="s">
        <v>6</v>
      </c>
      <c r="C100" t="s">
        <v>272</v>
      </c>
      <c r="D100" t="s">
        <v>272</v>
      </c>
      <c r="E100" t="s">
        <v>201</v>
      </c>
      <c r="F100">
        <v>40</v>
      </c>
      <c r="G100">
        <v>40</v>
      </c>
    </row>
    <row r="101" spans="1:7" x14ac:dyDescent="0.15">
      <c r="A101" t="str">
        <f t="shared" si="1"/>
        <v>【モミ】・ウラジロガシ・アカガシ・シキミin瀬戸市</v>
      </c>
      <c r="B101" t="s">
        <v>34</v>
      </c>
      <c r="C101" t="s">
        <v>272</v>
      </c>
      <c r="D101" t="s">
        <v>272</v>
      </c>
      <c r="E101" t="s">
        <v>201</v>
      </c>
      <c r="F101">
        <v>40</v>
      </c>
      <c r="G101">
        <v>40</v>
      </c>
    </row>
    <row r="102" spans="1:7" x14ac:dyDescent="0.15">
      <c r="A102" t="str">
        <f t="shared" si="1"/>
        <v>【モミ】・ウラジロガシ・アカガシ・シキミin設楽町</v>
      </c>
      <c r="B102" t="s">
        <v>105</v>
      </c>
      <c r="C102" t="s">
        <v>272</v>
      </c>
      <c r="D102" t="s">
        <v>272</v>
      </c>
      <c r="E102" t="s">
        <v>201</v>
      </c>
      <c r="F102">
        <v>40</v>
      </c>
      <c r="G102">
        <v>40</v>
      </c>
    </row>
    <row r="103" spans="1:7" x14ac:dyDescent="0.15">
      <c r="A103" t="str">
        <f t="shared" si="1"/>
        <v>【モミ】・ウラジロガシ・アカガシ・シキミin東栄町</v>
      </c>
      <c r="B103" t="s">
        <v>39</v>
      </c>
      <c r="C103" t="s">
        <v>272</v>
      </c>
      <c r="D103" t="s">
        <v>272</v>
      </c>
      <c r="E103" t="s">
        <v>201</v>
      </c>
      <c r="F103">
        <v>40</v>
      </c>
      <c r="G103">
        <v>40</v>
      </c>
    </row>
    <row r="104" spans="1:7" x14ac:dyDescent="0.15">
      <c r="A104" t="str">
        <f t="shared" si="1"/>
        <v>【モミ】・ウラジロガシ・アカガシ・シキミin豊橋市</v>
      </c>
      <c r="B104" t="s">
        <v>54</v>
      </c>
      <c r="C104" t="s">
        <v>272</v>
      </c>
      <c r="D104" t="s">
        <v>272</v>
      </c>
      <c r="E104" t="s">
        <v>201</v>
      </c>
      <c r="F104">
        <v>40</v>
      </c>
      <c r="G104">
        <v>40</v>
      </c>
    </row>
    <row r="105" spans="1:7" x14ac:dyDescent="0.15">
      <c r="A105" t="str">
        <f t="shared" si="1"/>
        <v>【モミ】・ウラジロガシ・アカガシ・シキミin豊根村</v>
      </c>
      <c r="B105" t="s">
        <v>112</v>
      </c>
      <c r="C105" t="s">
        <v>272</v>
      </c>
      <c r="D105" t="s">
        <v>272</v>
      </c>
      <c r="E105" t="s">
        <v>201</v>
      </c>
      <c r="F105">
        <v>40</v>
      </c>
      <c r="G105">
        <v>40</v>
      </c>
    </row>
    <row r="106" spans="1:7" x14ac:dyDescent="0.15">
      <c r="A106" t="str">
        <f t="shared" si="1"/>
        <v>【モミ】・ウラジロガシ・アカガシ・シキミin豊川市</v>
      </c>
      <c r="B106" t="s">
        <v>114</v>
      </c>
      <c r="C106" t="s">
        <v>272</v>
      </c>
      <c r="D106" t="s">
        <v>272</v>
      </c>
      <c r="E106" t="s">
        <v>201</v>
      </c>
      <c r="F106">
        <v>40</v>
      </c>
      <c r="G106">
        <v>40</v>
      </c>
    </row>
    <row r="107" spans="1:7" s="2" customFormat="1" x14ac:dyDescent="0.15">
      <c r="A107" s="2" t="str">
        <f t="shared" ref="A107:A112" si="2">E107&amp;"in"&amp;B107</f>
        <v>【モミ】・ウラジロガシ・アカガシ・シキミin豊田市（旧藤岡町）</v>
      </c>
      <c r="B107" s="2" t="s">
        <v>602</v>
      </c>
      <c r="C107" s="2" t="s">
        <v>272</v>
      </c>
      <c r="D107" s="2" t="s">
        <v>272</v>
      </c>
      <c r="E107" s="2" t="s">
        <v>201</v>
      </c>
      <c r="F107" s="2">
        <v>40</v>
      </c>
      <c r="G107" s="2">
        <v>40</v>
      </c>
    </row>
    <row r="108" spans="1:7" s="2" customFormat="1" x14ac:dyDescent="0.15">
      <c r="A108" s="2" t="str">
        <f t="shared" si="2"/>
        <v>【モミ】・ウラジロガシ・アカガシ・シキミin豊田市（旧小原村）</v>
      </c>
      <c r="B108" s="2" t="s">
        <v>603</v>
      </c>
      <c r="C108" s="2" t="s">
        <v>272</v>
      </c>
      <c r="D108" s="2" t="s">
        <v>272</v>
      </c>
      <c r="E108" s="2" t="s">
        <v>201</v>
      </c>
      <c r="F108" s="2">
        <v>40</v>
      </c>
      <c r="G108" s="2">
        <v>40</v>
      </c>
    </row>
    <row r="109" spans="1:7" s="2" customFormat="1" x14ac:dyDescent="0.15">
      <c r="A109" s="2" t="str">
        <f t="shared" si="2"/>
        <v>【モミ】・ウラジロガシ・アカガシ・シキミin豊田市（旧足助町）</v>
      </c>
      <c r="B109" s="2" t="s">
        <v>604</v>
      </c>
      <c r="C109" s="2" t="s">
        <v>272</v>
      </c>
      <c r="D109" s="2" t="s">
        <v>272</v>
      </c>
      <c r="E109" s="2" t="s">
        <v>201</v>
      </c>
      <c r="F109" s="2">
        <v>40</v>
      </c>
      <c r="G109" s="2">
        <v>40</v>
      </c>
    </row>
    <row r="110" spans="1:7" s="2" customFormat="1" x14ac:dyDescent="0.15">
      <c r="A110" s="2" t="str">
        <f t="shared" si="2"/>
        <v>【モミ】・ウラジロガシ・アカガシ・シキミin豊田市（旧下山村）</v>
      </c>
      <c r="B110" s="2" t="s">
        <v>600</v>
      </c>
      <c r="C110" s="2" t="s">
        <v>272</v>
      </c>
      <c r="D110" s="2" t="s">
        <v>272</v>
      </c>
      <c r="E110" s="2" t="s">
        <v>201</v>
      </c>
      <c r="F110" s="2">
        <v>40</v>
      </c>
      <c r="G110" s="2">
        <v>40</v>
      </c>
    </row>
    <row r="111" spans="1:7" s="2" customFormat="1" x14ac:dyDescent="0.15">
      <c r="A111" s="2" t="str">
        <f t="shared" si="2"/>
        <v>【モミ】・ウラジロガシ・アカガシ・シキミin豊田市（旧旭町）</v>
      </c>
      <c r="B111" s="2" t="s">
        <v>605</v>
      </c>
      <c r="C111" s="2" t="s">
        <v>272</v>
      </c>
      <c r="D111" s="2" t="s">
        <v>272</v>
      </c>
      <c r="E111" s="2" t="s">
        <v>201</v>
      </c>
      <c r="F111" s="2">
        <v>40</v>
      </c>
      <c r="G111" s="2">
        <v>40</v>
      </c>
    </row>
    <row r="112" spans="1:7" s="2" customFormat="1" x14ac:dyDescent="0.15">
      <c r="A112" s="2" t="str">
        <f t="shared" si="2"/>
        <v>【モミ】・ウラジロガシ・アカガシ・シキミin豊田市（旧稲武町）</v>
      </c>
      <c r="B112" s="2" t="s">
        <v>606</v>
      </c>
      <c r="C112" s="2" t="s">
        <v>272</v>
      </c>
      <c r="D112" s="2" t="s">
        <v>272</v>
      </c>
      <c r="E112" s="2" t="s">
        <v>201</v>
      </c>
      <c r="F112" s="2">
        <v>40</v>
      </c>
      <c r="G112" s="2">
        <v>40</v>
      </c>
    </row>
    <row r="113" spans="1:7" x14ac:dyDescent="0.15">
      <c r="A113" t="str">
        <f t="shared" si="1"/>
        <v>【ケヤキ】・アラカシ・タブノキ・イロハモミジ・ヤブツバキin岡崎市</v>
      </c>
      <c r="B113" t="s">
        <v>5</v>
      </c>
      <c r="C113" t="s">
        <v>272</v>
      </c>
      <c r="D113" t="s">
        <v>271</v>
      </c>
      <c r="E113" t="s">
        <v>190</v>
      </c>
      <c r="F113">
        <v>40</v>
      </c>
      <c r="G113">
        <v>40</v>
      </c>
    </row>
    <row r="114" spans="1:7" x14ac:dyDescent="0.15">
      <c r="A114" t="str">
        <f t="shared" si="1"/>
        <v>【ケヤキ】・アラカシ・タブノキ・イロハモミジ・ヤブツバキin新城市</v>
      </c>
      <c r="B114" t="s">
        <v>6</v>
      </c>
      <c r="C114" t="s">
        <v>272</v>
      </c>
      <c r="D114" t="s">
        <v>271</v>
      </c>
      <c r="E114" t="s">
        <v>190</v>
      </c>
      <c r="F114">
        <v>40</v>
      </c>
      <c r="G114">
        <v>40</v>
      </c>
    </row>
    <row r="115" spans="1:7" x14ac:dyDescent="0.15">
      <c r="A115" t="str">
        <f t="shared" si="1"/>
        <v>【ケヤキ】・アラカシ・タブノキ・イロハモミジ・ヤブツバキin瀬戸市</v>
      </c>
      <c r="B115" t="s">
        <v>34</v>
      </c>
      <c r="C115" t="s">
        <v>272</v>
      </c>
      <c r="D115" t="s">
        <v>271</v>
      </c>
      <c r="E115" t="s">
        <v>190</v>
      </c>
      <c r="F115">
        <v>40</v>
      </c>
      <c r="G115">
        <v>40</v>
      </c>
    </row>
    <row r="116" spans="1:7" x14ac:dyDescent="0.15">
      <c r="A116" t="str">
        <f t="shared" si="1"/>
        <v>【ケヤキ】・アラカシ・タブノキ・イロハモミジ・ヤブツバキin設楽町</v>
      </c>
      <c r="B116" t="s">
        <v>105</v>
      </c>
      <c r="C116" t="s">
        <v>272</v>
      </c>
      <c r="D116" t="s">
        <v>271</v>
      </c>
      <c r="E116" t="s">
        <v>190</v>
      </c>
      <c r="F116">
        <v>40</v>
      </c>
      <c r="G116">
        <v>40</v>
      </c>
    </row>
    <row r="117" spans="1:7" x14ac:dyDescent="0.15">
      <c r="A117" t="str">
        <f t="shared" si="1"/>
        <v>【ケヤキ】・アラカシ・タブノキ・イロハモミジ・ヤブツバキin東栄町</v>
      </c>
      <c r="B117" t="s">
        <v>39</v>
      </c>
      <c r="C117" t="s">
        <v>272</v>
      </c>
      <c r="D117" t="s">
        <v>271</v>
      </c>
      <c r="E117" t="s">
        <v>190</v>
      </c>
      <c r="F117">
        <v>40</v>
      </c>
      <c r="G117">
        <v>40</v>
      </c>
    </row>
    <row r="118" spans="1:7" x14ac:dyDescent="0.15">
      <c r="A118" t="str">
        <f t="shared" si="1"/>
        <v>【ケヤキ】・アラカシ・タブノキ・イロハモミジ・ヤブツバキin豊橋市</v>
      </c>
      <c r="B118" t="s">
        <v>54</v>
      </c>
      <c r="C118" t="s">
        <v>272</v>
      </c>
      <c r="D118" t="s">
        <v>271</v>
      </c>
      <c r="E118" t="s">
        <v>190</v>
      </c>
      <c r="F118">
        <v>40</v>
      </c>
      <c r="G118">
        <v>40</v>
      </c>
    </row>
    <row r="119" spans="1:7" x14ac:dyDescent="0.15">
      <c r="A119" t="str">
        <f t="shared" si="1"/>
        <v>【ケヤキ】・アラカシ・タブノキ・イロハモミジ・ヤブツバキin豊根村</v>
      </c>
      <c r="B119" t="s">
        <v>112</v>
      </c>
      <c r="C119" t="s">
        <v>272</v>
      </c>
      <c r="D119" t="s">
        <v>271</v>
      </c>
      <c r="E119" t="s">
        <v>190</v>
      </c>
      <c r="F119">
        <v>40</v>
      </c>
      <c r="G119">
        <v>40</v>
      </c>
    </row>
    <row r="120" spans="1:7" x14ac:dyDescent="0.15">
      <c r="A120" t="str">
        <f t="shared" si="1"/>
        <v>【ケヤキ】・アラカシ・タブノキ・イロハモミジ・ヤブツバキin豊川市</v>
      </c>
      <c r="B120" t="s">
        <v>114</v>
      </c>
      <c r="C120" t="s">
        <v>272</v>
      </c>
      <c r="D120" t="s">
        <v>271</v>
      </c>
      <c r="E120" t="s">
        <v>190</v>
      </c>
      <c r="F120">
        <v>40</v>
      </c>
      <c r="G120">
        <v>40</v>
      </c>
    </row>
    <row r="121" spans="1:7" x14ac:dyDescent="0.15">
      <c r="A121" t="str">
        <f>E121&amp;"in"&amp;B121</f>
        <v>【ケヤキ】・アラカシ・タブノキ・イロハモミジ・ヤブツバキin豊田市（旧小原村）</v>
      </c>
      <c r="B121" t="s">
        <v>603</v>
      </c>
      <c r="C121" t="s">
        <v>272</v>
      </c>
      <c r="D121" t="s">
        <v>271</v>
      </c>
      <c r="E121" t="s">
        <v>190</v>
      </c>
      <c r="F121">
        <v>40</v>
      </c>
      <c r="G121">
        <v>40</v>
      </c>
    </row>
    <row r="122" spans="1:7" x14ac:dyDescent="0.15">
      <c r="A122" t="str">
        <f>E122&amp;"in"&amp;B122</f>
        <v>【ケヤキ】・アラカシ・タブノキ・イロハモミジ・ヤブツバキin豊田市（旧足助町）</v>
      </c>
      <c r="B122" t="s">
        <v>604</v>
      </c>
      <c r="C122" t="s">
        <v>272</v>
      </c>
      <c r="D122" t="s">
        <v>271</v>
      </c>
      <c r="E122" t="s">
        <v>190</v>
      </c>
      <c r="F122">
        <v>40</v>
      </c>
      <c r="G122">
        <v>40</v>
      </c>
    </row>
    <row r="123" spans="1:7" x14ac:dyDescent="0.15">
      <c r="A123" t="str">
        <f>E123&amp;"in"&amp;B123</f>
        <v>【ケヤキ】・アラカシ・タブノキ・イロハモミジ・ヤブツバキin豊田市（旧下山村）</v>
      </c>
      <c r="B123" t="s">
        <v>600</v>
      </c>
      <c r="C123" t="s">
        <v>272</v>
      </c>
      <c r="D123" t="s">
        <v>271</v>
      </c>
      <c r="E123" t="s">
        <v>190</v>
      </c>
      <c r="F123">
        <v>40</v>
      </c>
      <c r="G123">
        <v>40</v>
      </c>
    </row>
    <row r="124" spans="1:7" x14ac:dyDescent="0.15">
      <c r="A124" t="str">
        <f>E124&amp;"in"&amp;B124</f>
        <v>【ケヤキ】・アラカシ・タブノキ・イロハモミジ・ヤブツバキin豊田市（旧旭町）</v>
      </c>
      <c r="B124" t="s">
        <v>605</v>
      </c>
      <c r="C124" t="s">
        <v>272</v>
      </c>
      <c r="D124" t="s">
        <v>271</v>
      </c>
      <c r="E124" t="s">
        <v>190</v>
      </c>
      <c r="F124">
        <v>40</v>
      </c>
      <c r="G124">
        <v>40</v>
      </c>
    </row>
    <row r="125" spans="1:7" x14ac:dyDescent="0.15">
      <c r="A125" t="str">
        <f>E125&amp;"in"&amp;B125</f>
        <v>【ケヤキ】・アラカシ・タブノキ・イロハモミジ・ヤブツバキin豊田市（旧稲武町）</v>
      </c>
      <c r="B125" t="s">
        <v>606</v>
      </c>
      <c r="C125" t="s">
        <v>272</v>
      </c>
      <c r="D125" t="s">
        <v>271</v>
      </c>
      <c r="E125" t="s">
        <v>190</v>
      </c>
      <c r="F125">
        <v>40</v>
      </c>
      <c r="G125">
        <v>40</v>
      </c>
    </row>
    <row r="126" spans="1:7" x14ac:dyDescent="0.15">
      <c r="A126" t="str">
        <f t="shared" si="1"/>
        <v>【ムクノキ】・エノキ・ケヤキ・ヤブツバキ・ヤブニッケイinあま市</v>
      </c>
      <c r="B126" t="s">
        <v>95</v>
      </c>
      <c r="C126" t="s">
        <v>273</v>
      </c>
      <c r="D126" t="s">
        <v>273</v>
      </c>
      <c r="E126" t="s">
        <v>200</v>
      </c>
      <c r="F126">
        <v>40</v>
      </c>
      <c r="G126">
        <v>40</v>
      </c>
    </row>
    <row r="127" spans="1:7" x14ac:dyDescent="0.15">
      <c r="A127" t="str">
        <f t="shared" si="1"/>
        <v>【ムクノキ】・エノキ・ケヤキ・ヤブツバキ・ヤブニッケイin愛西市</v>
      </c>
      <c r="B127" t="s">
        <v>96</v>
      </c>
      <c r="C127" t="s">
        <v>273</v>
      </c>
      <c r="D127" t="s">
        <v>273</v>
      </c>
      <c r="E127" t="s">
        <v>200</v>
      </c>
      <c r="F127">
        <v>40</v>
      </c>
      <c r="G127">
        <v>40</v>
      </c>
    </row>
    <row r="128" spans="1:7" x14ac:dyDescent="0.15">
      <c r="A128" t="str">
        <f t="shared" si="1"/>
        <v>【ムクノキ】・エノキ・ケヤキ・ヤブツバキ・ヤブニッケイin安城市</v>
      </c>
      <c r="B128" t="s">
        <v>55</v>
      </c>
      <c r="C128" t="s">
        <v>273</v>
      </c>
      <c r="D128" t="s">
        <v>273</v>
      </c>
      <c r="E128" t="s">
        <v>200</v>
      </c>
      <c r="F128">
        <v>40</v>
      </c>
      <c r="G128">
        <v>40</v>
      </c>
    </row>
    <row r="129" spans="1:7" x14ac:dyDescent="0.15">
      <c r="A129" t="str">
        <f t="shared" si="1"/>
        <v>【ムクノキ】・エノキ・ケヤキ・ヤブツバキ・ヤブニッケイin一宮市</v>
      </c>
      <c r="B129" t="s">
        <v>97</v>
      </c>
      <c r="C129" t="s">
        <v>273</v>
      </c>
      <c r="D129" t="s">
        <v>273</v>
      </c>
      <c r="E129" t="s">
        <v>200</v>
      </c>
      <c r="F129">
        <v>40</v>
      </c>
      <c r="G129">
        <v>40</v>
      </c>
    </row>
    <row r="130" spans="1:7" x14ac:dyDescent="0.15">
      <c r="A130" t="str">
        <f t="shared" si="1"/>
        <v>【ムクノキ】・エノキ・ケヤキ・ヤブツバキ・ヤブニッケイin稲沢市</v>
      </c>
      <c r="B130" t="s">
        <v>98</v>
      </c>
      <c r="C130" t="s">
        <v>273</v>
      </c>
      <c r="D130" t="s">
        <v>273</v>
      </c>
      <c r="E130" t="s">
        <v>200</v>
      </c>
      <c r="F130">
        <v>40</v>
      </c>
      <c r="G130">
        <v>40</v>
      </c>
    </row>
    <row r="131" spans="1:7" x14ac:dyDescent="0.15">
      <c r="A131" t="str">
        <f t="shared" si="1"/>
        <v>【ムクノキ】・エノキ・ケヤキ・ヤブツバキ・ヤブニッケイin岡崎市</v>
      </c>
      <c r="B131" t="s">
        <v>5</v>
      </c>
      <c r="C131" t="s">
        <v>273</v>
      </c>
      <c r="D131" t="s">
        <v>273</v>
      </c>
      <c r="E131" t="s">
        <v>200</v>
      </c>
      <c r="F131">
        <v>40</v>
      </c>
      <c r="G131">
        <v>40</v>
      </c>
    </row>
    <row r="132" spans="1:7" x14ac:dyDescent="0.15">
      <c r="A132" t="str">
        <f t="shared" si="1"/>
        <v>【ムクノキ】・エノキ・ケヤキ・ヤブツバキ・ヤブニッケイin蟹江町</v>
      </c>
      <c r="B132" t="s">
        <v>99</v>
      </c>
      <c r="C132" t="s">
        <v>273</v>
      </c>
      <c r="D132" t="s">
        <v>273</v>
      </c>
      <c r="E132" t="s">
        <v>200</v>
      </c>
      <c r="F132">
        <v>40</v>
      </c>
      <c r="G132">
        <v>40</v>
      </c>
    </row>
    <row r="133" spans="1:7" x14ac:dyDescent="0.15">
      <c r="A133" t="str">
        <f t="shared" si="1"/>
        <v>【ムクノキ】・エノキ・ケヤキ・ヤブツバキ・ヤブニッケイin刈谷市</v>
      </c>
      <c r="B133" t="s">
        <v>100</v>
      </c>
      <c r="C133" t="s">
        <v>273</v>
      </c>
      <c r="D133" t="s">
        <v>273</v>
      </c>
      <c r="E133" t="s">
        <v>200</v>
      </c>
      <c r="F133">
        <v>40</v>
      </c>
      <c r="G133">
        <v>40</v>
      </c>
    </row>
    <row r="134" spans="1:7" x14ac:dyDescent="0.15">
      <c r="A134" t="str">
        <f t="shared" si="1"/>
        <v>【ムクノキ】・エノキ・ケヤキ・ヤブツバキ・ヤブニッケイin岩倉市</v>
      </c>
      <c r="B134" t="s">
        <v>101</v>
      </c>
      <c r="C134" t="s">
        <v>273</v>
      </c>
      <c r="D134" t="s">
        <v>273</v>
      </c>
      <c r="E134" t="s">
        <v>200</v>
      </c>
      <c r="F134">
        <v>40</v>
      </c>
      <c r="G134">
        <v>40</v>
      </c>
    </row>
    <row r="135" spans="1:7" x14ac:dyDescent="0.15">
      <c r="A135" t="str">
        <f t="shared" si="1"/>
        <v>【ムクノキ】・エノキ・ケヤキ・ヤブツバキ・ヤブニッケイin幸田町</v>
      </c>
      <c r="B135" t="s">
        <v>33</v>
      </c>
      <c r="C135" t="s">
        <v>273</v>
      </c>
      <c r="D135" t="s">
        <v>273</v>
      </c>
      <c r="E135" t="s">
        <v>200</v>
      </c>
      <c r="F135">
        <v>40</v>
      </c>
      <c r="G135">
        <v>40</v>
      </c>
    </row>
    <row r="136" spans="1:7" x14ac:dyDescent="0.15">
      <c r="A136" t="str">
        <f t="shared" si="1"/>
        <v>【ムクノキ】・エノキ・ケヤキ・ヤブツバキ・ヤブニッケイin江南市</v>
      </c>
      <c r="B136" t="s">
        <v>102</v>
      </c>
      <c r="C136" t="s">
        <v>273</v>
      </c>
      <c r="D136" t="s">
        <v>273</v>
      </c>
      <c r="E136" t="s">
        <v>200</v>
      </c>
      <c r="F136">
        <v>40</v>
      </c>
      <c r="G136">
        <v>40</v>
      </c>
    </row>
    <row r="137" spans="1:7" x14ac:dyDescent="0.15">
      <c r="A137" t="str">
        <f t="shared" si="1"/>
        <v>【ムクノキ】・エノキ・ケヤキ・ヤブツバキ・ヤブニッケイin高浜市</v>
      </c>
      <c r="B137" t="s">
        <v>56</v>
      </c>
      <c r="C137" t="s">
        <v>273</v>
      </c>
      <c r="D137" t="s">
        <v>273</v>
      </c>
      <c r="E137" t="s">
        <v>200</v>
      </c>
      <c r="F137">
        <v>40</v>
      </c>
      <c r="G137">
        <v>40</v>
      </c>
    </row>
    <row r="138" spans="1:7" x14ac:dyDescent="0.15">
      <c r="A138" t="str">
        <f t="shared" si="1"/>
        <v>【ムクノキ】・エノキ・ケヤキ・ヤブツバキ・ヤブニッケイinみよし市</v>
      </c>
      <c r="B138" t="s">
        <v>573</v>
      </c>
      <c r="C138" t="s">
        <v>273</v>
      </c>
      <c r="D138" t="s">
        <v>273</v>
      </c>
      <c r="E138" t="s">
        <v>200</v>
      </c>
      <c r="F138">
        <v>40</v>
      </c>
      <c r="G138">
        <v>40</v>
      </c>
    </row>
    <row r="139" spans="1:7" x14ac:dyDescent="0.15">
      <c r="A139" t="str">
        <f t="shared" si="1"/>
        <v>【ムクノキ】・エノキ・ケヤキ・ヤブツバキ・ヤブニッケイin春日井市</v>
      </c>
      <c r="B139" t="s">
        <v>40</v>
      </c>
      <c r="C139" t="s">
        <v>273</v>
      </c>
      <c r="D139" t="s">
        <v>273</v>
      </c>
      <c r="E139" t="s">
        <v>200</v>
      </c>
      <c r="F139">
        <v>40</v>
      </c>
      <c r="G139">
        <v>40</v>
      </c>
    </row>
    <row r="140" spans="1:7" x14ac:dyDescent="0.15">
      <c r="A140" t="str">
        <f t="shared" si="1"/>
        <v>【ムクノキ】・エノキ・ケヤキ・ヤブツバキ・ヤブニッケイin小牧市</v>
      </c>
      <c r="B140" t="s">
        <v>42</v>
      </c>
      <c r="C140" t="s">
        <v>273</v>
      </c>
      <c r="D140" t="s">
        <v>273</v>
      </c>
      <c r="E140" t="s">
        <v>200</v>
      </c>
      <c r="F140">
        <v>40</v>
      </c>
      <c r="G140">
        <v>40</v>
      </c>
    </row>
    <row r="141" spans="1:7" x14ac:dyDescent="0.15">
      <c r="A141" t="str">
        <f t="shared" si="1"/>
        <v>【ムクノキ】・エノキ・ケヤキ・ヤブツバキ・ヤブニッケイin新城市</v>
      </c>
      <c r="B141" t="s">
        <v>6</v>
      </c>
      <c r="C141" t="s">
        <v>273</v>
      </c>
      <c r="D141" t="s">
        <v>273</v>
      </c>
      <c r="E141" t="s">
        <v>200</v>
      </c>
      <c r="F141">
        <v>40</v>
      </c>
      <c r="G141">
        <v>40</v>
      </c>
    </row>
    <row r="142" spans="1:7" x14ac:dyDescent="0.15">
      <c r="A142" t="str">
        <f t="shared" si="1"/>
        <v>【ムクノキ】・エノキ・ケヤキ・ヤブツバキ・ヤブニッケイin清須市</v>
      </c>
      <c r="B142" t="s">
        <v>103</v>
      </c>
      <c r="C142" t="s">
        <v>273</v>
      </c>
      <c r="D142" t="s">
        <v>273</v>
      </c>
      <c r="E142" t="s">
        <v>200</v>
      </c>
      <c r="F142">
        <v>40</v>
      </c>
      <c r="G142">
        <v>40</v>
      </c>
    </row>
    <row r="143" spans="1:7" x14ac:dyDescent="0.15">
      <c r="A143" t="str">
        <f t="shared" si="1"/>
        <v>【ムクノキ】・エノキ・ケヤキ・ヤブツバキ・ヤブニッケイin西尾市</v>
      </c>
      <c r="B143" t="s">
        <v>104</v>
      </c>
      <c r="C143" t="s">
        <v>273</v>
      </c>
      <c r="D143" t="s">
        <v>273</v>
      </c>
      <c r="E143" t="s">
        <v>200</v>
      </c>
      <c r="F143">
        <v>40</v>
      </c>
      <c r="G143">
        <v>40</v>
      </c>
    </row>
    <row r="144" spans="1:7" x14ac:dyDescent="0.15">
      <c r="A144" t="str">
        <f t="shared" si="1"/>
        <v>【ムクノキ】・エノキ・ケヤキ・ヤブツバキ・ヤブニッケイin大口町</v>
      </c>
      <c r="B144" t="s">
        <v>41</v>
      </c>
      <c r="C144" t="s">
        <v>273</v>
      </c>
      <c r="D144" t="s">
        <v>273</v>
      </c>
      <c r="E144" t="s">
        <v>200</v>
      </c>
      <c r="F144">
        <v>40</v>
      </c>
      <c r="G144">
        <v>40</v>
      </c>
    </row>
    <row r="145" spans="1:7" x14ac:dyDescent="0.15">
      <c r="A145" t="str">
        <f t="shared" ref="A145:A217" si="3">E145&amp;"in"&amp;B145</f>
        <v>【ムクノキ】・エノキ・ケヤキ・ヤブツバキ・ヤブニッケイin大治町</v>
      </c>
      <c r="B145" t="s">
        <v>106</v>
      </c>
      <c r="C145" t="s">
        <v>273</v>
      </c>
      <c r="D145" t="s">
        <v>273</v>
      </c>
      <c r="E145" t="s">
        <v>200</v>
      </c>
      <c r="F145">
        <v>40</v>
      </c>
      <c r="G145">
        <v>40</v>
      </c>
    </row>
    <row r="146" spans="1:7" x14ac:dyDescent="0.15">
      <c r="A146" t="str">
        <f t="shared" si="3"/>
        <v>【ムクノキ】・エノキ・ケヤキ・ヤブツバキ・ヤブニッケイin大府市</v>
      </c>
      <c r="B146" t="s">
        <v>43</v>
      </c>
      <c r="C146" t="s">
        <v>273</v>
      </c>
      <c r="D146" t="s">
        <v>273</v>
      </c>
      <c r="E146" t="s">
        <v>200</v>
      </c>
      <c r="F146">
        <v>40</v>
      </c>
      <c r="G146">
        <v>40</v>
      </c>
    </row>
    <row r="147" spans="1:7" x14ac:dyDescent="0.15">
      <c r="A147" t="str">
        <f t="shared" si="3"/>
        <v>【ムクノキ】・エノキ・ケヤキ・ヤブツバキ・ヤブニッケイin知立市</v>
      </c>
      <c r="B147" t="s">
        <v>107</v>
      </c>
      <c r="C147" t="s">
        <v>273</v>
      </c>
      <c r="D147" t="s">
        <v>273</v>
      </c>
      <c r="E147" t="s">
        <v>200</v>
      </c>
      <c r="F147">
        <v>40</v>
      </c>
      <c r="G147">
        <v>40</v>
      </c>
    </row>
    <row r="148" spans="1:7" x14ac:dyDescent="0.15">
      <c r="A148" t="str">
        <f t="shared" si="3"/>
        <v>【ムクノキ】・エノキ・ケヤキ・ヤブツバキ・ヤブニッケイin津島市</v>
      </c>
      <c r="B148" t="s">
        <v>108</v>
      </c>
      <c r="C148" t="s">
        <v>273</v>
      </c>
      <c r="D148" t="s">
        <v>273</v>
      </c>
      <c r="E148" t="s">
        <v>200</v>
      </c>
      <c r="F148">
        <v>40</v>
      </c>
      <c r="G148">
        <v>40</v>
      </c>
    </row>
    <row r="149" spans="1:7" x14ac:dyDescent="0.15">
      <c r="A149" t="str">
        <f t="shared" si="3"/>
        <v>【ムクノキ】・エノキ・ケヤキ・ヤブツバキ・ヤブニッケイin半田市</v>
      </c>
      <c r="B149" t="s">
        <v>51</v>
      </c>
      <c r="C149" t="s">
        <v>273</v>
      </c>
      <c r="D149" t="s">
        <v>273</v>
      </c>
      <c r="E149" t="s">
        <v>200</v>
      </c>
      <c r="F149">
        <v>40</v>
      </c>
      <c r="G149">
        <v>40</v>
      </c>
    </row>
    <row r="150" spans="1:7" x14ac:dyDescent="0.15">
      <c r="A150" t="str">
        <f t="shared" si="3"/>
        <v>【ムクノキ】・エノキ・ケヤキ・ヤブツバキ・ヤブニッケイin飛島村</v>
      </c>
      <c r="B150" t="s">
        <v>109</v>
      </c>
      <c r="C150" t="s">
        <v>273</v>
      </c>
      <c r="D150" t="s">
        <v>273</v>
      </c>
      <c r="E150" t="s">
        <v>200</v>
      </c>
      <c r="F150">
        <v>40</v>
      </c>
      <c r="G150">
        <v>40</v>
      </c>
    </row>
    <row r="151" spans="1:7" x14ac:dyDescent="0.15">
      <c r="A151" t="str">
        <f t="shared" si="3"/>
        <v>【ムクノキ】・エノキ・ケヤキ・ヤブツバキ・ヤブニッケイin尾張旭市</v>
      </c>
      <c r="B151" t="s">
        <v>38</v>
      </c>
      <c r="C151" t="s">
        <v>273</v>
      </c>
      <c r="D151" t="s">
        <v>273</v>
      </c>
      <c r="E151" t="s">
        <v>200</v>
      </c>
      <c r="F151">
        <v>40</v>
      </c>
      <c r="G151">
        <v>40</v>
      </c>
    </row>
    <row r="152" spans="1:7" x14ac:dyDescent="0.15">
      <c r="A152" t="str">
        <f t="shared" si="3"/>
        <v>【ムクノキ】・エノキ・ケヤキ・ヤブツバキ・ヤブニッケイin扶桑町</v>
      </c>
      <c r="B152" t="s">
        <v>110</v>
      </c>
      <c r="C152" t="s">
        <v>273</v>
      </c>
      <c r="D152" t="s">
        <v>273</v>
      </c>
      <c r="E152" t="s">
        <v>200</v>
      </c>
      <c r="F152">
        <v>40</v>
      </c>
      <c r="G152">
        <v>40</v>
      </c>
    </row>
    <row r="153" spans="1:7" x14ac:dyDescent="0.15">
      <c r="A153" t="str">
        <f t="shared" si="3"/>
        <v>【ムクノキ】・エノキ・ケヤキ・ヤブツバキ・ヤブニッケイin武豊町</v>
      </c>
      <c r="B153" t="s">
        <v>53</v>
      </c>
      <c r="C153" t="s">
        <v>273</v>
      </c>
      <c r="D153" t="s">
        <v>273</v>
      </c>
      <c r="E153" t="s">
        <v>200</v>
      </c>
      <c r="F153">
        <v>40</v>
      </c>
      <c r="G153">
        <v>40</v>
      </c>
    </row>
    <row r="154" spans="1:7" x14ac:dyDescent="0.15">
      <c r="A154" t="str">
        <f t="shared" si="3"/>
        <v>【ムクノキ】・エノキ・ケヤキ・ヤブツバキ・ヤブニッケイin碧南市</v>
      </c>
      <c r="B154" t="s">
        <v>111</v>
      </c>
      <c r="C154" t="s">
        <v>273</v>
      </c>
      <c r="D154" t="s">
        <v>273</v>
      </c>
      <c r="E154" t="s">
        <v>200</v>
      </c>
      <c r="F154">
        <v>40</v>
      </c>
      <c r="G154">
        <v>40</v>
      </c>
    </row>
    <row r="155" spans="1:7" x14ac:dyDescent="0.15">
      <c r="A155" t="str">
        <f t="shared" si="3"/>
        <v>【ムクノキ】・エノキ・ケヤキ・ヤブツバキ・ヤブニッケイin豊橋市</v>
      </c>
      <c r="B155" t="s">
        <v>54</v>
      </c>
      <c r="C155" t="s">
        <v>273</v>
      </c>
      <c r="D155" t="s">
        <v>273</v>
      </c>
      <c r="E155" t="s">
        <v>200</v>
      </c>
      <c r="F155">
        <v>40</v>
      </c>
      <c r="G155">
        <v>40</v>
      </c>
    </row>
    <row r="156" spans="1:7" x14ac:dyDescent="0.15">
      <c r="A156" t="str">
        <f t="shared" si="3"/>
        <v>【ムクノキ】・エノキ・ケヤキ・ヤブツバキ・ヤブニッケイin豊山町</v>
      </c>
      <c r="B156" t="s">
        <v>113</v>
      </c>
      <c r="C156" t="s">
        <v>273</v>
      </c>
      <c r="D156" t="s">
        <v>273</v>
      </c>
      <c r="E156" t="s">
        <v>200</v>
      </c>
      <c r="F156">
        <v>40</v>
      </c>
      <c r="G156">
        <v>40</v>
      </c>
    </row>
    <row r="157" spans="1:7" x14ac:dyDescent="0.15">
      <c r="A157" t="str">
        <f t="shared" si="3"/>
        <v>【ムクノキ】・エノキ・ケヤキ・ヤブツバキ・ヤブニッケイin豊川市</v>
      </c>
      <c r="B157" t="s">
        <v>114</v>
      </c>
      <c r="C157" t="s">
        <v>273</v>
      </c>
      <c r="D157" t="s">
        <v>273</v>
      </c>
      <c r="E157" t="s">
        <v>200</v>
      </c>
      <c r="F157">
        <v>40</v>
      </c>
      <c r="G157">
        <v>40</v>
      </c>
    </row>
    <row r="158" spans="1:7" x14ac:dyDescent="0.15">
      <c r="A158" t="str">
        <f>E158&amp;"in"&amp;B158</f>
        <v>【ムクノキ】・エノキ・ケヤキ・ヤブツバキ・ヤブニッケイin豊田市（旧豊田市）</v>
      </c>
      <c r="B158" t="s">
        <v>601</v>
      </c>
      <c r="C158" t="s">
        <v>273</v>
      </c>
      <c r="D158" t="s">
        <v>273</v>
      </c>
      <c r="E158" t="s">
        <v>200</v>
      </c>
      <c r="F158">
        <v>40</v>
      </c>
      <c r="G158">
        <v>40</v>
      </c>
    </row>
    <row r="159" spans="1:7" x14ac:dyDescent="0.15">
      <c r="A159" t="str">
        <f t="shared" si="3"/>
        <v>【ムクノキ】・エノキ・ケヤキ・ヤブツバキ・ヤブニッケイin豊明市</v>
      </c>
      <c r="B159" t="s">
        <v>115</v>
      </c>
      <c r="C159" t="s">
        <v>273</v>
      </c>
      <c r="D159" t="s">
        <v>273</v>
      </c>
      <c r="E159" t="s">
        <v>200</v>
      </c>
      <c r="F159">
        <v>40</v>
      </c>
      <c r="G159">
        <v>40</v>
      </c>
    </row>
    <row r="160" spans="1:7" x14ac:dyDescent="0.15">
      <c r="A160" t="str">
        <f t="shared" si="3"/>
        <v>【ムクノキ】・エノキ・ケヤキ・ヤブツバキ・ヤブニッケイin北名古屋市</v>
      </c>
      <c r="B160" t="s">
        <v>116</v>
      </c>
      <c r="C160" t="s">
        <v>273</v>
      </c>
      <c r="D160" t="s">
        <v>273</v>
      </c>
      <c r="E160" t="s">
        <v>200</v>
      </c>
      <c r="F160">
        <v>40</v>
      </c>
      <c r="G160">
        <v>40</v>
      </c>
    </row>
    <row r="161" spans="1:7" x14ac:dyDescent="0.15">
      <c r="A161" t="str">
        <f t="shared" si="3"/>
        <v>【ムクノキ】・エノキ・ケヤキ・ヤブツバキ・ヤブニッケイin名古屋市</v>
      </c>
      <c r="B161" t="s">
        <v>58</v>
      </c>
      <c r="C161" t="s">
        <v>273</v>
      </c>
      <c r="D161" t="s">
        <v>273</v>
      </c>
      <c r="E161" t="s">
        <v>200</v>
      </c>
      <c r="F161">
        <v>40</v>
      </c>
      <c r="G161">
        <v>40</v>
      </c>
    </row>
    <row r="162" spans="1:7" x14ac:dyDescent="0.15">
      <c r="A162" t="str">
        <f t="shared" si="3"/>
        <v>【ムクノキ】・エノキ・ケヤキ・ヤブツバキ・ヤブニッケイin弥富市</v>
      </c>
      <c r="B162" t="s">
        <v>576</v>
      </c>
      <c r="C162" t="s">
        <v>273</v>
      </c>
      <c r="D162" t="s">
        <v>273</v>
      </c>
      <c r="E162" t="s">
        <v>200</v>
      </c>
      <c r="F162">
        <v>40</v>
      </c>
      <c r="G162">
        <v>40</v>
      </c>
    </row>
    <row r="163" spans="1:7" x14ac:dyDescent="0.15">
      <c r="A163" t="str">
        <f t="shared" si="3"/>
        <v>【ブナ】・ミズナラ・ミズメ・コハウチワカエデ・リョウブin設楽町</v>
      </c>
      <c r="B163" t="s">
        <v>105</v>
      </c>
      <c r="C163" t="s">
        <v>274</v>
      </c>
      <c r="D163" t="s">
        <v>274</v>
      </c>
      <c r="E163" t="s">
        <v>198</v>
      </c>
      <c r="F163">
        <v>40</v>
      </c>
      <c r="G163">
        <v>40</v>
      </c>
    </row>
    <row r="164" spans="1:7" x14ac:dyDescent="0.15">
      <c r="A164" t="str">
        <f t="shared" si="3"/>
        <v>【ブナ】・ミズナラ・ミズメ・コハウチワカエデ・リョウブin豊根村</v>
      </c>
      <c r="B164" t="s">
        <v>112</v>
      </c>
      <c r="C164" t="s">
        <v>274</v>
      </c>
      <c r="D164" t="s">
        <v>274</v>
      </c>
      <c r="E164" t="s">
        <v>198</v>
      </c>
      <c r="F164">
        <v>40</v>
      </c>
      <c r="G164">
        <v>40</v>
      </c>
    </row>
    <row r="165" spans="1:7" x14ac:dyDescent="0.15">
      <c r="A165" t="str">
        <f>E165&amp;"in"&amp;B165</f>
        <v>【ブナ】・ミズナラ・ミズメ・コハウチワカエデ・リョウブin豊田市（旧足助町）</v>
      </c>
      <c r="B165" t="s">
        <v>604</v>
      </c>
      <c r="C165" t="s">
        <v>274</v>
      </c>
      <c r="D165" t="s">
        <v>274</v>
      </c>
      <c r="E165" t="s">
        <v>198</v>
      </c>
      <c r="F165">
        <v>40</v>
      </c>
      <c r="G165">
        <v>40</v>
      </c>
    </row>
    <row r="166" spans="1:7" x14ac:dyDescent="0.15">
      <c r="A166" t="str">
        <f>E166&amp;"in"&amp;B166</f>
        <v>【ブナ】・ミズナラ・ミズメ・コハウチワカエデ・リョウブin豊田市（旧下山村）</v>
      </c>
      <c r="B166" t="s">
        <v>600</v>
      </c>
      <c r="C166" t="s">
        <v>274</v>
      </c>
      <c r="D166" t="s">
        <v>274</v>
      </c>
      <c r="E166" t="s">
        <v>198</v>
      </c>
      <c r="F166">
        <v>40</v>
      </c>
      <c r="G166">
        <v>40</v>
      </c>
    </row>
    <row r="167" spans="1:7" x14ac:dyDescent="0.15">
      <c r="A167" t="str">
        <f>E167&amp;"in"&amp;B167</f>
        <v>【ブナ】・ミズナラ・ミズメ・コハウチワカエデ・リョウブin豊田市（旧稲武町）</v>
      </c>
      <c r="B167" t="s">
        <v>606</v>
      </c>
      <c r="C167" t="s">
        <v>274</v>
      </c>
      <c r="D167" t="s">
        <v>274</v>
      </c>
      <c r="E167" t="s">
        <v>198</v>
      </c>
      <c r="F167">
        <v>40</v>
      </c>
      <c r="G167">
        <v>40</v>
      </c>
    </row>
    <row r="168" spans="1:7" x14ac:dyDescent="0.15">
      <c r="A168" t="str">
        <f t="shared" si="3"/>
        <v>【ミズナラ】・ホオノキ・クリ・リョウブ・ヒトツバカエデin設楽町</v>
      </c>
      <c r="B168" t="s">
        <v>105</v>
      </c>
      <c r="C168" t="s">
        <v>274</v>
      </c>
      <c r="D168" t="s">
        <v>275</v>
      </c>
      <c r="E168" t="s">
        <v>199</v>
      </c>
      <c r="F168">
        <v>40</v>
      </c>
      <c r="G168">
        <v>40</v>
      </c>
    </row>
    <row r="169" spans="1:7" x14ac:dyDescent="0.15">
      <c r="A169" t="str">
        <f t="shared" si="3"/>
        <v>【ミズナラ】・ホオノキ・クリ・リョウブ・ヒトツバカエデin豊根村</v>
      </c>
      <c r="B169" t="s">
        <v>112</v>
      </c>
      <c r="C169" t="s">
        <v>274</v>
      </c>
      <c r="D169" t="s">
        <v>275</v>
      </c>
      <c r="E169" t="s">
        <v>199</v>
      </c>
      <c r="F169">
        <v>40</v>
      </c>
      <c r="G169">
        <v>40</v>
      </c>
    </row>
    <row r="170" spans="1:7" x14ac:dyDescent="0.15">
      <c r="A170" t="str">
        <f>E170&amp;"in"&amp;B170</f>
        <v>【ミズナラ】・ホオノキ・クリ・リョウブ・ヒトツバカエデin豊田市（旧足助町）</v>
      </c>
      <c r="B170" t="s">
        <v>604</v>
      </c>
      <c r="C170" t="s">
        <v>274</v>
      </c>
      <c r="D170" t="s">
        <v>275</v>
      </c>
      <c r="E170" t="s">
        <v>199</v>
      </c>
      <c r="F170">
        <v>40</v>
      </c>
      <c r="G170">
        <v>40</v>
      </c>
    </row>
    <row r="171" spans="1:7" x14ac:dyDescent="0.15">
      <c r="A171" t="str">
        <f>E171&amp;"in"&amp;B171</f>
        <v>【ミズナラ】・ホオノキ・クリ・リョウブ・ヒトツバカエデin豊田市（旧下山村）</v>
      </c>
      <c r="B171" t="s">
        <v>600</v>
      </c>
      <c r="C171" t="s">
        <v>274</v>
      </c>
      <c r="D171" t="s">
        <v>275</v>
      </c>
      <c r="E171" t="s">
        <v>199</v>
      </c>
      <c r="F171">
        <v>40</v>
      </c>
      <c r="G171">
        <v>40</v>
      </c>
    </row>
    <row r="172" spans="1:7" x14ac:dyDescent="0.15">
      <c r="A172" t="str">
        <f>E172&amp;"in"&amp;B172</f>
        <v>【ミズナラ】・ホオノキ・クリ・リョウブ・ヒトツバカエデin豊田市（旧稲武町）</v>
      </c>
      <c r="B172" t="s">
        <v>606</v>
      </c>
      <c r="C172" t="s">
        <v>274</v>
      </c>
      <c r="D172" t="s">
        <v>275</v>
      </c>
      <c r="E172" t="s">
        <v>199</v>
      </c>
      <c r="F172">
        <v>40</v>
      </c>
      <c r="G172">
        <v>40</v>
      </c>
    </row>
    <row r="173" spans="1:7" x14ac:dyDescent="0.15">
      <c r="A173" t="str">
        <f t="shared" si="3"/>
        <v>【コナラ】・リョウブ・アラカシ・タカノツメin岡崎市</v>
      </c>
      <c r="B173" t="s">
        <v>5</v>
      </c>
      <c r="D173" t="s">
        <v>276</v>
      </c>
      <c r="E173" t="s">
        <v>191</v>
      </c>
      <c r="F173">
        <v>40</v>
      </c>
      <c r="G173">
        <v>40</v>
      </c>
    </row>
    <row r="174" spans="1:7" x14ac:dyDescent="0.15">
      <c r="A174" t="str">
        <f t="shared" si="3"/>
        <v>【コナラ】・リョウブ・アラカシ・タカノツメin新城市</v>
      </c>
      <c r="B174" t="s">
        <v>6</v>
      </c>
      <c r="D174" t="s">
        <v>276</v>
      </c>
      <c r="E174" t="s">
        <v>191</v>
      </c>
      <c r="F174">
        <v>40</v>
      </c>
      <c r="G174">
        <v>40</v>
      </c>
    </row>
    <row r="175" spans="1:7" x14ac:dyDescent="0.15">
      <c r="A175" t="str">
        <f t="shared" si="3"/>
        <v>【コナラ】・リョウブ・アラカシ・タカノツメin瀬戸市</v>
      </c>
      <c r="B175" t="s">
        <v>34</v>
      </c>
      <c r="D175" t="s">
        <v>276</v>
      </c>
      <c r="E175" t="s">
        <v>191</v>
      </c>
      <c r="F175">
        <v>40</v>
      </c>
      <c r="G175">
        <v>40</v>
      </c>
    </row>
    <row r="176" spans="1:7" x14ac:dyDescent="0.15">
      <c r="A176" t="str">
        <f t="shared" si="3"/>
        <v>【コナラ】・リョウブ・アラカシ・タカノツメin設楽町</v>
      </c>
      <c r="B176" t="s">
        <v>105</v>
      </c>
      <c r="D176" t="s">
        <v>276</v>
      </c>
      <c r="E176" t="s">
        <v>191</v>
      </c>
      <c r="F176">
        <v>40</v>
      </c>
      <c r="G176">
        <v>40</v>
      </c>
    </row>
    <row r="177" spans="1:7" x14ac:dyDescent="0.15">
      <c r="A177" t="str">
        <f t="shared" si="3"/>
        <v>【コナラ】・リョウブ・アラカシ・タカノツメin東栄町</v>
      </c>
      <c r="B177" t="s">
        <v>39</v>
      </c>
      <c r="D177" t="s">
        <v>276</v>
      </c>
      <c r="E177" t="s">
        <v>191</v>
      </c>
      <c r="F177">
        <v>40</v>
      </c>
      <c r="G177">
        <v>40</v>
      </c>
    </row>
    <row r="178" spans="1:7" x14ac:dyDescent="0.15">
      <c r="A178" t="str">
        <f t="shared" si="3"/>
        <v>【コナラ】・リョウブ・アラカシ・タカノツメin豊橋市</v>
      </c>
      <c r="B178" t="s">
        <v>54</v>
      </c>
      <c r="D178" t="s">
        <v>276</v>
      </c>
      <c r="E178" t="s">
        <v>191</v>
      </c>
      <c r="F178">
        <v>40</v>
      </c>
      <c r="G178">
        <v>40</v>
      </c>
    </row>
    <row r="179" spans="1:7" x14ac:dyDescent="0.15">
      <c r="A179" t="str">
        <f t="shared" si="3"/>
        <v>【コナラ】・リョウブ・アラカシ・タカノツメin豊根村</v>
      </c>
      <c r="B179" t="s">
        <v>112</v>
      </c>
      <c r="D179" t="s">
        <v>276</v>
      </c>
      <c r="E179" t="s">
        <v>191</v>
      </c>
      <c r="F179">
        <v>40</v>
      </c>
      <c r="G179">
        <v>40</v>
      </c>
    </row>
    <row r="180" spans="1:7" x14ac:dyDescent="0.15">
      <c r="A180" t="str">
        <f t="shared" si="3"/>
        <v>【コナラ】・リョウブ・アラカシ・タカノツメin豊川市</v>
      </c>
      <c r="B180" t="s">
        <v>114</v>
      </c>
      <c r="D180" t="s">
        <v>276</v>
      </c>
      <c r="E180" t="s">
        <v>191</v>
      </c>
      <c r="F180">
        <v>40</v>
      </c>
      <c r="G180">
        <v>40</v>
      </c>
    </row>
    <row r="181" spans="1:7" x14ac:dyDescent="0.15">
      <c r="A181" t="str">
        <f t="shared" ref="A181:A186" si="4">E181&amp;"in"&amp;B181</f>
        <v>【コナラ】・リョウブ・アラカシ・タカノツメin豊田市（旧藤岡町）</v>
      </c>
      <c r="B181" s="2" t="s">
        <v>602</v>
      </c>
      <c r="D181" t="s">
        <v>276</v>
      </c>
      <c r="E181" t="s">
        <v>191</v>
      </c>
      <c r="F181">
        <v>40</v>
      </c>
      <c r="G181">
        <v>40</v>
      </c>
    </row>
    <row r="182" spans="1:7" x14ac:dyDescent="0.15">
      <c r="A182" t="str">
        <f t="shared" si="4"/>
        <v>【コナラ】・リョウブ・アラカシ・タカノツメin豊田市（旧小原村）</v>
      </c>
      <c r="B182" t="s">
        <v>603</v>
      </c>
      <c r="D182" t="s">
        <v>276</v>
      </c>
      <c r="E182" t="s">
        <v>191</v>
      </c>
      <c r="F182">
        <v>40</v>
      </c>
      <c r="G182">
        <v>40</v>
      </c>
    </row>
    <row r="183" spans="1:7" x14ac:dyDescent="0.15">
      <c r="A183" t="str">
        <f t="shared" si="4"/>
        <v>【コナラ】・リョウブ・アラカシ・タカノツメin豊田市（旧足助町）</v>
      </c>
      <c r="B183" t="s">
        <v>604</v>
      </c>
      <c r="D183" t="s">
        <v>276</v>
      </c>
      <c r="E183" t="s">
        <v>191</v>
      </c>
      <c r="F183">
        <v>40</v>
      </c>
      <c r="G183">
        <v>40</v>
      </c>
    </row>
    <row r="184" spans="1:7" x14ac:dyDescent="0.15">
      <c r="A184" t="str">
        <f t="shared" si="4"/>
        <v>【コナラ】・リョウブ・アラカシ・タカノツメin豊田市（旧下山村）</v>
      </c>
      <c r="B184" t="s">
        <v>600</v>
      </c>
      <c r="D184" t="s">
        <v>276</v>
      </c>
      <c r="E184" t="s">
        <v>191</v>
      </c>
      <c r="F184">
        <v>40</v>
      </c>
      <c r="G184">
        <v>40</v>
      </c>
    </row>
    <row r="185" spans="1:7" x14ac:dyDescent="0.15">
      <c r="A185" t="str">
        <f t="shared" si="4"/>
        <v>【コナラ】・リョウブ・アラカシ・タカノツメin豊田市（旧旭町）</v>
      </c>
      <c r="B185" t="s">
        <v>605</v>
      </c>
      <c r="D185" t="s">
        <v>276</v>
      </c>
      <c r="E185" t="s">
        <v>191</v>
      </c>
      <c r="F185">
        <v>40</v>
      </c>
      <c r="G185">
        <v>40</v>
      </c>
    </row>
    <row r="186" spans="1:7" x14ac:dyDescent="0.15">
      <c r="A186" t="str">
        <f t="shared" si="4"/>
        <v>【コナラ】・リョウブ・アラカシ・タカノツメin豊田市（旧稲武町）</v>
      </c>
      <c r="B186" t="s">
        <v>606</v>
      </c>
      <c r="D186" t="s">
        <v>276</v>
      </c>
      <c r="E186" t="s">
        <v>191</v>
      </c>
      <c r="F186">
        <v>40</v>
      </c>
      <c r="G186">
        <v>40</v>
      </c>
    </row>
    <row r="187" spans="1:7" x14ac:dyDescent="0.15">
      <c r="A187" t="str">
        <f t="shared" si="3"/>
        <v>【コナラ】・アベマキ・リョウブ・タカノツメin阿久比町</v>
      </c>
      <c r="B187" t="s">
        <v>65</v>
      </c>
      <c r="D187" t="s">
        <v>277</v>
      </c>
      <c r="E187" t="s">
        <v>77</v>
      </c>
      <c r="F187">
        <v>40</v>
      </c>
      <c r="G187">
        <v>40</v>
      </c>
    </row>
    <row r="188" spans="1:7" x14ac:dyDescent="0.15">
      <c r="A188" t="str">
        <f t="shared" si="3"/>
        <v>【コナラ】・アベマキ・リョウブ・タカノツメin安城市</v>
      </c>
      <c r="B188" t="s">
        <v>55</v>
      </c>
      <c r="D188" t="s">
        <v>277</v>
      </c>
      <c r="E188" t="s">
        <v>77</v>
      </c>
      <c r="F188">
        <v>40</v>
      </c>
      <c r="G188">
        <v>40</v>
      </c>
    </row>
    <row r="189" spans="1:7" x14ac:dyDescent="0.15">
      <c r="A189" t="str">
        <f t="shared" si="3"/>
        <v>【コナラ】・アベマキ・リョウブ・タカノツメin一宮市</v>
      </c>
      <c r="B189" t="s">
        <v>97</v>
      </c>
      <c r="D189" t="s">
        <v>277</v>
      </c>
      <c r="E189" t="s">
        <v>77</v>
      </c>
      <c r="F189">
        <v>40</v>
      </c>
      <c r="G189">
        <v>40</v>
      </c>
    </row>
    <row r="190" spans="1:7" x14ac:dyDescent="0.15">
      <c r="A190" t="str">
        <f t="shared" si="3"/>
        <v>【コナラ】・アベマキ・リョウブ・タカノツメin岡崎市</v>
      </c>
      <c r="B190" t="s">
        <v>5</v>
      </c>
      <c r="D190" t="s">
        <v>277</v>
      </c>
      <c r="E190" t="s">
        <v>77</v>
      </c>
      <c r="F190">
        <v>40</v>
      </c>
      <c r="G190">
        <v>40</v>
      </c>
    </row>
    <row r="191" spans="1:7" x14ac:dyDescent="0.15">
      <c r="A191" t="str">
        <f t="shared" si="3"/>
        <v>【コナラ】・アベマキ・リョウブ・タカノツメin蒲郡市</v>
      </c>
      <c r="B191" t="s">
        <v>44</v>
      </c>
      <c r="D191" t="s">
        <v>277</v>
      </c>
      <c r="E191" t="s">
        <v>77</v>
      </c>
      <c r="F191">
        <v>40</v>
      </c>
      <c r="G191">
        <v>40</v>
      </c>
    </row>
    <row r="192" spans="1:7" x14ac:dyDescent="0.15">
      <c r="A192" t="str">
        <f t="shared" si="3"/>
        <v>【コナラ】・アベマキ・リョウブ・タカノツメin刈谷市</v>
      </c>
      <c r="B192" t="s">
        <v>100</v>
      </c>
      <c r="D192" t="s">
        <v>277</v>
      </c>
      <c r="E192" t="s">
        <v>77</v>
      </c>
      <c r="F192">
        <v>40</v>
      </c>
      <c r="G192">
        <v>40</v>
      </c>
    </row>
    <row r="193" spans="1:7" x14ac:dyDescent="0.15">
      <c r="A193" t="str">
        <f t="shared" si="3"/>
        <v>【コナラ】・アベマキ・リョウブ・タカノツメin岩倉市</v>
      </c>
      <c r="B193" t="s">
        <v>101</v>
      </c>
      <c r="D193" t="s">
        <v>277</v>
      </c>
      <c r="E193" t="s">
        <v>77</v>
      </c>
      <c r="F193">
        <v>40</v>
      </c>
      <c r="G193">
        <v>40</v>
      </c>
    </row>
    <row r="194" spans="1:7" x14ac:dyDescent="0.15">
      <c r="A194" t="str">
        <f t="shared" si="3"/>
        <v>【コナラ】・アベマキ・リョウブ・タカノツメin犬山市</v>
      </c>
      <c r="B194" t="s">
        <v>57</v>
      </c>
      <c r="D194" t="s">
        <v>277</v>
      </c>
      <c r="E194" t="s">
        <v>77</v>
      </c>
      <c r="F194">
        <v>40</v>
      </c>
      <c r="G194">
        <v>40</v>
      </c>
    </row>
    <row r="195" spans="1:7" x14ac:dyDescent="0.15">
      <c r="A195" t="str">
        <f t="shared" si="3"/>
        <v>【コナラ】・アベマキ・リョウブ・タカノツメin幸田町</v>
      </c>
      <c r="B195" t="s">
        <v>33</v>
      </c>
      <c r="D195" t="s">
        <v>277</v>
      </c>
      <c r="E195" t="s">
        <v>77</v>
      </c>
      <c r="F195">
        <v>40</v>
      </c>
      <c r="G195">
        <v>40</v>
      </c>
    </row>
    <row r="196" spans="1:7" x14ac:dyDescent="0.15">
      <c r="A196" t="str">
        <f t="shared" si="3"/>
        <v>【コナラ】・アベマキ・リョウブ・タカノツメin江南市</v>
      </c>
      <c r="B196" t="s">
        <v>102</v>
      </c>
      <c r="D196" t="s">
        <v>277</v>
      </c>
      <c r="E196" t="s">
        <v>77</v>
      </c>
      <c r="F196">
        <v>40</v>
      </c>
      <c r="G196">
        <v>40</v>
      </c>
    </row>
    <row r="197" spans="1:7" x14ac:dyDescent="0.15">
      <c r="A197" t="str">
        <f t="shared" si="3"/>
        <v>【コナラ】・アベマキ・リョウブ・タカノツメin高浜市</v>
      </c>
      <c r="B197" t="s">
        <v>56</v>
      </c>
      <c r="D197" t="s">
        <v>277</v>
      </c>
      <c r="E197" t="s">
        <v>77</v>
      </c>
      <c r="F197">
        <v>40</v>
      </c>
      <c r="G197">
        <v>40</v>
      </c>
    </row>
    <row r="198" spans="1:7" x14ac:dyDescent="0.15">
      <c r="A198" t="str">
        <f t="shared" si="3"/>
        <v>【コナラ】・アベマキ・リョウブ・タカノツメinみよし市</v>
      </c>
      <c r="B198" t="s">
        <v>573</v>
      </c>
      <c r="D198" t="s">
        <v>277</v>
      </c>
      <c r="E198" t="s">
        <v>77</v>
      </c>
      <c r="F198">
        <v>40</v>
      </c>
      <c r="G198">
        <v>40</v>
      </c>
    </row>
    <row r="199" spans="1:7" x14ac:dyDescent="0.15">
      <c r="A199" t="str">
        <f t="shared" si="3"/>
        <v>【コナラ】・アベマキ・リョウブ・タカノツメin春日井市</v>
      </c>
      <c r="B199" t="s">
        <v>40</v>
      </c>
      <c r="D199" t="s">
        <v>277</v>
      </c>
      <c r="E199" t="s">
        <v>77</v>
      </c>
      <c r="F199">
        <v>40</v>
      </c>
      <c r="G199">
        <v>40</v>
      </c>
    </row>
    <row r="200" spans="1:7" x14ac:dyDescent="0.15">
      <c r="A200" t="str">
        <f t="shared" si="3"/>
        <v>【コナラ】・アベマキ・リョウブ・タカノツメin小牧市</v>
      </c>
      <c r="B200" t="s">
        <v>42</v>
      </c>
      <c r="D200" t="s">
        <v>277</v>
      </c>
      <c r="E200" t="s">
        <v>77</v>
      </c>
      <c r="F200">
        <v>40</v>
      </c>
      <c r="G200">
        <v>40</v>
      </c>
    </row>
    <row r="201" spans="1:7" x14ac:dyDescent="0.15">
      <c r="A201" t="str">
        <f t="shared" si="3"/>
        <v>【コナラ】・アベマキ・リョウブ・タカノツメin常滑市</v>
      </c>
      <c r="B201" t="s">
        <v>45</v>
      </c>
      <c r="D201" t="s">
        <v>277</v>
      </c>
      <c r="E201" t="s">
        <v>77</v>
      </c>
      <c r="F201">
        <v>40</v>
      </c>
      <c r="G201">
        <v>40</v>
      </c>
    </row>
    <row r="202" spans="1:7" x14ac:dyDescent="0.15">
      <c r="A202" t="str">
        <f t="shared" si="3"/>
        <v>【コナラ】・アベマキ・リョウブ・タカノツメin新城市</v>
      </c>
      <c r="B202" t="s">
        <v>6</v>
      </c>
      <c r="D202" t="s">
        <v>277</v>
      </c>
      <c r="E202" t="s">
        <v>77</v>
      </c>
      <c r="F202">
        <v>40</v>
      </c>
      <c r="G202">
        <v>40</v>
      </c>
    </row>
    <row r="203" spans="1:7" x14ac:dyDescent="0.15">
      <c r="A203" t="str">
        <f t="shared" si="3"/>
        <v>【コナラ】・アベマキ・リョウブ・タカノツメin瀬戸市</v>
      </c>
      <c r="B203" t="s">
        <v>34</v>
      </c>
      <c r="D203" t="s">
        <v>277</v>
      </c>
      <c r="E203" t="s">
        <v>77</v>
      </c>
      <c r="F203">
        <v>40</v>
      </c>
      <c r="G203">
        <v>40</v>
      </c>
    </row>
    <row r="204" spans="1:7" x14ac:dyDescent="0.15">
      <c r="A204" t="str">
        <f t="shared" si="3"/>
        <v>【コナラ】・アベマキ・リョウブ・タカノツメin西尾市</v>
      </c>
      <c r="B204" t="s">
        <v>104</v>
      </c>
      <c r="D204" t="s">
        <v>277</v>
      </c>
      <c r="E204" t="s">
        <v>77</v>
      </c>
      <c r="F204">
        <v>40</v>
      </c>
      <c r="G204">
        <v>40</v>
      </c>
    </row>
    <row r="205" spans="1:7" x14ac:dyDescent="0.15">
      <c r="A205" t="str">
        <f t="shared" si="3"/>
        <v>【コナラ】・アベマキ・リョウブ・タカノツメin大口町</v>
      </c>
      <c r="B205" t="s">
        <v>41</v>
      </c>
      <c r="D205" t="s">
        <v>277</v>
      </c>
      <c r="E205" t="s">
        <v>77</v>
      </c>
      <c r="F205">
        <v>40</v>
      </c>
      <c r="G205">
        <v>40</v>
      </c>
    </row>
    <row r="206" spans="1:7" x14ac:dyDescent="0.15">
      <c r="A206" t="str">
        <f t="shared" si="3"/>
        <v>【コナラ】・アベマキ・リョウブ・タカノツメin大府市</v>
      </c>
      <c r="B206" t="s">
        <v>43</v>
      </c>
      <c r="D206" t="s">
        <v>277</v>
      </c>
      <c r="E206" t="s">
        <v>77</v>
      </c>
      <c r="F206">
        <v>40</v>
      </c>
      <c r="G206">
        <v>40</v>
      </c>
    </row>
    <row r="207" spans="1:7" x14ac:dyDescent="0.15">
      <c r="A207" t="str">
        <f t="shared" si="3"/>
        <v>【コナラ】・アベマキ・リョウブ・タカノツメin知多市</v>
      </c>
      <c r="B207" t="s">
        <v>46</v>
      </c>
      <c r="D207" t="s">
        <v>277</v>
      </c>
      <c r="E207" t="s">
        <v>77</v>
      </c>
      <c r="F207">
        <v>40</v>
      </c>
      <c r="G207">
        <v>40</v>
      </c>
    </row>
    <row r="208" spans="1:7" x14ac:dyDescent="0.15">
      <c r="A208" t="str">
        <f t="shared" si="3"/>
        <v>【コナラ】・アベマキ・リョウブ・タカノツメin知立市</v>
      </c>
      <c r="B208" t="s">
        <v>107</v>
      </c>
      <c r="D208" t="s">
        <v>277</v>
      </c>
      <c r="E208" t="s">
        <v>77</v>
      </c>
      <c r="F208">
        <v>40</v>
      </c>
      <c r="G208">
        <v>40</v>
      </c>
    </row>
    <row r="209" spans="1:7" x14ac:dyDescent="0.15">
      <c r="A209" t="str">
        <f t="shared" si="3"/>
        <v>【コナラ】・アベマキ・リョウブ・タカノツメin長久手市</v>
      </c>
      <c r="B209" t="s">
        <v>35</v>
      </c>
      <c r="D209" t="s">
        <v>277</v>
      </c>
      <c r="E209" t="s">
        <v>77</v>
      </c>
      <c r="F209">
        <v>40</v>
      </c>
      <c r="G209">
        <v>40</v>
      </c>
    </row>
    <row r="210" spans="1:7" x14ac:dyDescent="0.15">
      <c r="A210" t="str">
        <f t="shared" si="3"/>
        <v>【コナラ】・アベマキ・リョウブ・タカノツメin田原市</v>
      </c>
      <c r="B210" t="s">
        <v>47</v>
      </c>
      <c r="D210" t="s">
        <v>277</v>
      </c>
      <c r="E210" t="s">
        <v>77</v>
      </c>
      <c r="F210">
        <v>40</v>
      </c>
      <c r="G210">
        <v>40</v>
      </c>
    </row>
    <row r="211" spans="1:7" x14ac:dyDescent="0.15">
      <c r="A211" t="str">
        <f t="shared" si="3"/>
        <v>【コナラ】・アベマキ・リョウブ・タカノツメin東浦町</v>
      </c>
      <c r="B211" t="s">
        <v>48</v>
      </c>
      <c r="D211" t="s">
        <v>277</v>
      </c>
      <c r="E211" t="s">
        <v>77</v>
      </c>
      <c r="F211">
        <v>40</v>
      </c>
      <c r="G211">
        <v>40</v>
      </c>
    </row>
    <row r="212" spans="1:7" x14ac:dyDescent="0.15">
      <c r="A212" t="str">
        <f t="shared" si="3"/>
        <v>【コナラ】・アベマキ・リョウブ・タカノツメin東海市</v>
      </c>
      <c r="B212" t="s">
        <v>49</v>
      </c>
      <c r="D212" t="s">
        <v>277</v>
      </c>
      <c r="E212" t="s">
        <v>77</v>
      </c>
      <c r="F212">
        <v>40</v>
      </c>
      <c r="G212">
        <v>40</v>
      </c>
    </row>
    <row r="213" spans="1:7" x14ac:dyDescent="0.15">
      <c r="A213" t="str">
        <f t="shared" si="3"/>
        <v>【コナラ】・アベマキ・リョウブ・タカノツメin東郷町</v>
      </c>
      <c r="B213" t="s">
        <v>36</v>
      </c>
      <c r="D213" t="s">
        <v>277</v>
      </c>
      <c r="E213" t="s">
        <v>77</v>
      </c>
      <c r="F213">
        <v>40</v>
      </c>
      <c r="G213">
        <v>40</v>
      </c>
    </row>
    <row r="214" spans="1:7" x14ac:dyDescent="0.15">
      <c r="A214" t="str">
        <f t="shared" si="3"/>
        <v>【コナラ】・アベマキ・リョウブ・タカノツメin南知多町</v>
      </c>
      <c r="B214" t="s">
        <v>50</v>
      </c>
      <c r="D214" t="s">
        <v>277</v>
      </c>
      <c r="E214" t="s">
        <v>77</v>
      </c>
      <c r="F214">
        <v>40</v>
      </c>
      <c r="G214">
        <v>40</v>
      </c>
    </row>
    <row r="215" spans="1:7" x14ac:dyDescent="0.15">
      <c r="A215" t="str">
        <f t="shared" si="3"/>
        <v>【コナラ】・アベマキ・リョウブ・タカノツメin日進市</v>
      </c>
      <c r="B215" t="s">
        <v>37</v>
      </c>
      <c r="D215" t="s">
        <v>277</v>
      </c>
      <c r="E215" t="s">
        <v>77</v>
      </c>
      <c r="F215">
        <v>40</v>
      </c>
      <c r="G215">
        <v>40</v>
      </c>
    </row>
    <row r="216" spans="1:7" x14ac:dyDescent="0.15">
      <c r="A216" t="str">
        <f t="shared" si="3"/>
        <v>【コナラ】・アベマキ・リョウブ・タカノツメin半田市</v>
      </c>
      <c r="B216" t="s">
        <v>51</v>
      </c>
      <c r="D216" t="s">
        <v>277</v>
      </c>
      <c r="E216" t="s">
        <v>77</v>
      </c>
      <c r="F216">
        <v>40</v>
      </c>
      <c r="G216">
        <v>40</v>
      </c>
    </row>
    <row r="217" spans="1:7" x14ac:dyDescent="0.15">
      <c r="A217" t="str">
        <f t="shared" si="3"/>
        <v>【コナラ】・アベマキ・リョウブ・タカノツメin尾張旭市</v>
      </c>
      <c r="B217" t="s">
        <v>38</v>
      </c>
      <c r="D217" t="s">
        <v>277</v>
      </c>
      <c r="E217" t="s">
        <v>77</v>
      </c>
      <c r="F217">
        <v>40</v>
      </c>
      <c r="G217">
        <v>40</v>
      </c>
    </row>
    <row r="218" spans="1:7" x14ac:dyDescent="0.15">
      <c r="A218" t="str">
        <f t="shared" ref="A218:A295" si="5">E218&amp;"in"&amp;B218</f>
        <v>【コナラ】・アベマキ・リョウブ・タカノツメin美浜町</v>
      </c>
      <c r="B218" t="s">
        <v>52</v>
      </c>
      <c r="D218" t="s">
        <v>277</v>
      </c>
      <c r="E218" t="s">
        <v>77</v>
      </c>
      <c r="F218">
        <v>40</v>
      </c>
      <c r="G218">
        <v>40</v>
      </c>
    </row>
    <row r="219" spans="1:7" x14ac:dyDescent="0.15">
      <c r="A219" t="str">
        <f t="shared" si="5"/>
        <v>【コナラ】・アベマキ・リョウブ・タカノツメin扶桑町</v>
      </c>
      <c r="B219" t="s">
        <v>110</v>
      </c>
      <c r="D219" t="s">
        <v>277</v>
      </c>
      <c r="E219" t="s">
        <v>77</v>
      </c>
      <c r="F219">
        <v>40</v>
      </c>
      <c r="G219">
        <v>40</v>
      </c>
    </row>
    <row r="220" spans="1:7" x14ac:dyDescent="0.15">
      <c r="A220" t="str">
        <f t="shared" si="5"/>
        <v>【コナラ】・アベマキ・リョウブ・タカノツメin武豊町</v>
      </c>
      <c r="B220" t="s">
        <v>53</v>
      </c>
      <c r="D220" t="s">
        <v>277</v>
      </c>
      <c r="E220" t="s">
        <v>77</v>
      </c>
      <c r="F220">
        <v>40</v>
      </c>
      <c r="G220">
        <v>40</v>
      </c>
    </row>
    <row r="221" spans="1:7" x14ac:dyDescent="0.15">
      <c r="A221" t="str">
        <f t="shared" si="5"/>
        <v>【コナラ】・アベマキ・リョウブ・タカノツメin碧南市</v>
      </c>
      <c r="B221" t="s">
        <v>111</v>
      </c>
      <c r="D221" t="s">
        <v>277</v>
      </c>
      <c r="E221" t="s">
        <v>77</v>
      </c>
      <c r="F221">
        <v>40</v>
      </c>
      <c r="G221">
        <v>40</v>
      </c>
    </row>
    <row r="222" spans="1:7" x14ac:dyDescent="0.15">
      <c r="A222" t="str">
        <f t="shared" si="5"/>
        <v>【コナラ】・アベマキ・リョウブ・タカノツメin豊橋市</v>
      </c>
      <c r="B222" t="s">
        <v>54</v>
      </c>
      <c r="D222" t="s">
        <v>277</v>
      </c>
      <c r="E222" t="s">
        <v>77</v>
      </c>
      <c r="F222">
        <v>40</v>
      </c>
      <c r="G222">
        <v>40</v>
      </c>
    </row>
    <row r="223" spans="1:7" x14ac:dyDescent="0.15">
      <c r="A223" t="str">
        <f t="shared" si="5"/>
        <v>【コナラ】・アベマキ・リョウブ・タカノツメin豊山町</v>
      </c>
      <c r="B223" t="s">
        <v>113</v>
      </c>
      <c r="D223" t="s">
        <v>277</v>
      </c>
      <c r="E223" t="s">
        <v>77</v>
      </c>
      <c r="F223">
        <v>40</v>
      </c>
      <c r="G223">
        <v>40</v>
      </c>
    </row>
    <row r="224" spans="1:7" x14ac:dyDescent="0.15">
      <c r="A224" t="str">
        <f t="shared" si="5"/>
        <v>【コナラ】・アベマキ・リョウブ・タカノツメin豊川市</v>
      </c>
      <c r="B224" t="s">
        <v>114</v>
      </c>
      <c r="D224" t="s">
        <v>277</v>
      </c>
      <c r="E224" t="s">
        <v>77</v>
      </c>
      <c r="F224">
        <v>40</v>
      </c>
      <c r="G224">
        <v>40</v>
      </c>
    </row>
    <row r="225" spans="1:7" x14ac:dyDescent="0.15">
      <c r="A225" t="str">
        <f t="shared" ref="A225:A231" si="6">E225&amp;"in"&amp;B225</f>
        <v>【コナラ】・アベマキ・リョウブ・タカノツメin豊田市（旧豊田市）</v>
      </c>
      <c r="B225" t="s">
        <v>601</v>
      </c>
      <c r="D225" t="s">
        <v>277</v>
      </c>
      <c r="E225" t="s">
        <v>77</v>
      </c>
      <c r="F225">
        <v>40</v>
      </c>
      <c r="G225">
        <v>40</v>
      </c>
    </row>
    <row r="226" spans="1:7" x14ac:dyDescent="0.15">
      <c r="A226" t="str">
        <f t="shared" si="6"/>
        <v>【コナラ】・アベマキ・リョウブ・タカノツメin豊田市（旧藤岡町）</v>
      </c>
      <c r="B226" s="2" t="s">
        <v>602</v>
      </c>
      <c r="D226" t="s">
        <v>277</v>
      </c>
      <c r="E226" t="s">
        <v>77</v>
      </c>
      <c r="F226">
        <v>40</v>
      </c>
      <c r="G226">
        <v>40</v>
      </c>
    </row>
    <row r="227" spans="1:7" x14ac:dyDescent="0.15">
      <c r="A227" t="str">
        <f t="shared" si="6"/>
        <v>【コナラ】・アベマキ・リョウブ・タカノツメin豊田市（旧小原村）</v>
      </c>
      <c r="B227" t="s">
        <v>603</v>
      </c>
      <c r="D227" t="s">
        <v>277</v>
      </c>
      <c r="E227" t="s">
        <v>77</v>
      </c>
      <c r="F227">
        <v>40</v>
      </c>
      <c r="G227">
        <v>40</v>
      </c>
    </row>
    <row r="228" spans="1:7" x14ac:dyDescent="0.15">
      <c r="A228" t="str">
        <f t="shared" si="6"/>
        <v>【コナラ】・アベマキ・リョウブ・タカノツメin豊田市（旧足助町）</v>
      </c>
      <c r="B228" t="s">
        <v>604</v>
      </c>
      <c r="D228" t="s">
        <v>277</v>
      </c>
      <c r="E228" t="s">
        <v>77</v>
      </c>
      <c r="F228">
        <v>40</v>
      </c>
      <c r="G228">
        <v>40</v>
      </c>
    </row>
    <row r="229" spans="1:7" x14ac:dyDescent="0.15">
      <c r="A229" t="str">
        <f t="shared" si="6"/>
        <v>【コナラ】・アベマキ・リョウブ・タカノツメin豊田市（旧下山村）</v>
      </c>
      <c r="B229" t="s">
        <v>600</v>
      </c>
      <c r="D229" t="s">
        <v>277</v>
      </c>
      <c r="E229" t="s">
        <v>77</v>
      </c>
      <c r="F229">
        <v>40</v>
      </c>
      <c r="G229">
        <v>40</v>
      </c>
    </row>
    <row r="230" spans="1:7" x14ac:dyDescent="0.15">
      <c r="A230" t="str">
        <f t="shared" si="6"/>
        <v>【コナラ】・アベマキ・リョウブ・タカノツメin豊田市（旧旭町）</v>
      </c>
      <c r="B230" t="s">
        <v>605</v>
      </c>
      <c r="D230" t="s">
        <v>277</v>
      </c>
      <c r="E230" t="s">
        <v>77</v>
      </c>
      <c r="F230">
        <v>40</v>
      </c>
      <c r="G230">
        <v>40</v>
      </c>
    </row>
    <row r="231" spans="1:7" x14ac:dyDescent="0.15">
      <c r="A231" t="str">
        <f t="shared" si="6"/>
        <v>【コナラ】・アベマキ・リョウブ・タカノツメin豊田市（旧稲武町）</v>
      </c>
      <c r="B231" t="s">
        <v>606</v>
      </c>
      <c r="D231" t="s">
        <v>277</v>
      </c>
      <c r="E231" t="s">
        <v>77</v>
      </c>
      <c r="F231">
        <v>40</v>
      </c>
      <c r="G231">
        <v>40</v>
      </c>
    </row>
    <row r="232" spans="1:7" x14ac:dyDescent="0.15">
      <c r="A232" t="str">
        <f t="shared" si="5"/>
        <v>【コナラ】・アベマキ・リョウブ・タカノツメin豊明市</v>
      </c>
      <c r="B232" t="s">
        <v>115</v>
      </c>
      <c r="D232" t="s">
        <v>277</v>
      </c>
      <c r="E232" t="s">
        <v>77</v>
      </c>
      <c r="F232">
        <v>40</v>
      </c>
      <c r="G232">
        <v>40</v>
      </c>
    </row>
    <row r="233" spans="1:7" x14ac:dyDescent="0.15">
      <c r="A233" t="str">
        <f t="shared" si="5"/>
        <v>【コナラ】・アベマキ・リョウブ・タカノツメin北名古屋市</v>
      </c>
      <c r="B233" t="s">
        <v>116</v>
      </c>
      <c r="D233" t="s">
        <v>277</v>
      </c>
      <c r="E233" t="s">
        <v>77</v>
      </c>
      <c r="F233">
        <v>40</v>
      </c>
      <c r="G233">
        <v>40</v>
      </c>
    </row>
    <row r="234" spans="1:7" x14ac:dyDescent="0.15">
      <c r="A234" t="str">
        <f t="shared" si="5"/>
        <v>【コナラ】・アベマキ・リョウブ・タカノツメin名古屋市</v>
      </c>
      <c r="B234" t="s">
        <v>58</v>
      </c>
      <c r="D234" t="s">
        <v>277</v>
      </c>
      <c r="E234" t="s">
        <v>77</v>
      </c>
      <c r="F234">
        <v>40</v>
      </c>
      <c r="G234">
        <v>40</v>
      </c>
    </row>
    <row r="235" spans="1:7" x14ac:dyDescent="0.15">
      <c r="A235" t="str">
        <f t="shared" si="5"/>
        <v>【アカマツ】・ホオノキ・コナラ・アカシデin設楽町</v>
      </c>
      <c r="B235" t="s">
        <v>105</v>
      </c>
      <c r="D235" t="s">
        <v>278</v>
      </c>
      <c r="E235" t="s">
        <v>189</v>
      </c>
      <c r="F235">
        <v>40</v>
      </c>
      <c r="G235">
        <v>40</v>
      </c>
    </row>
    <row r="236" spans="1:7" x14ac:dyDescent="0.15">
      <c r="A236" t="str">
        <f t="shared" si="5"/>
        <v>【アカマツ】・ホオノキ・コナラ・アカシデin豊根村</v>
      </c>
      <c r="B236" t="s">
        <v>112</v>
      </c>
      <c r="D236" t="s">
        <v>278</v>
      </c>
      <c r="E236" t="s">
        <v>189</v>
      </c>
      <c r="F236">
        <v>40</v>
      </c>
      <c r="G236">
        <v>40</v>
      </c>
    </row>
    <row r="237" spans="1:7" x14ac:dyDescent="0.15">
      <c r="A237" t="str">
        <f>E237&amp;"in"&amp;B237</f>
        <v>【アカマツ】・ホオノキ・コナラ・アカシデin豊田市（旧足助町）</v>
      </c>
      <c r="B237" t="s">
        <v>604</v>
      </c>
      <c r="D237" t="s">
        <v>278</v>
      </c>
      <c r="E237" t="s">
        <v>189</v>
      </c>
      <c r="F237">
        <v>40</v>
      </c>
      <c r="G237">
        <v>40</v>
      </c>
    </row>
    <row r="238" spans="1:7" x14ac:dyDescent="0.15">
      <c r="A238" t="str">
        <f>E238&amp;"in"&amp;B238</f>
        <v>【アカマツ】・ホオノキ・コナラ・アカシデin豊田市（旧下山村）</v>
      </c>
      <c r="B238" t="s">
        <v>600</v>
      </c>
      <c r="D238" t="s">
        <v>278</v>
      </c>
      <c r="E238" t="s">
        <v>189</v>
      </c>
      <c r="F238">
        <v>40</v>
      </c>
      <c r="G238">
        <v>40</v>
      </c>
    </row>
    <row r="239" spans="1:7" x14ac:dyDescent="0.15">
      <c r="A239" t="str">
        <f>E239&amp;"in"&amp;B239</f>
        <v>【アカマツ】・ホオノキ・コナラ・アカシデin豊田市（旧稲武町）</v>
      </c>
      <c r="B239" t="s">
        <v>606</v>
      </c>
      <c r="D239" t="s">
        <v>278</v>
      </c>
      <c r="E239" t="s">
        <v>189</v>
      </c>
      <c r="F239">
        <v>40</v>
      </c>
      <c r="G239">
        <v>40</v>
      </c>
    </row>
    <row r="240" spans="1:7" x14ac:dyDescent="0.15">
      <c r="A240" t="str">
        <f t="shared" si="5"/>
        <v>【アカマツ】・コナラ・ソヨゴ・リョウブin阿久比町</v>
      </c>
      <c r="B240" t="s">
        <v>65</v>
      </c>
      <c r="D240" t="s">
        <v>279</v>
      </c>
      <c r="E240" t="s">
        <v>188</v>
      </c>
      <c r="F240">
        <v>40</v>
      </c>
      <c r="G240">
        <v>40</v>
      </c>
    </row>
    <row r="241" spans="1:7" x14ac:dyDescent="0.15">
      <c r="A241" t="str">
        <f t="shared" si="5"/>
        <v>【アカマツ】・コナラ・ソヨゴ・リョウブin安城市</v>
      </c>
      <c r="B241" t="s">
        <v>55</v>
      </c>
      <c r="D241" t="s">
        <v>279</v>
      </c>
      <c r="E241" t="s">
        <v>188</v>
      </c>
      <c r="F241">
        <v>40</v>
      </c>
      <c r="G241">
        <v>40</v>
      </c>
    </row>
    <row r="242" spans="1:7" x14ac:dyDescent="0.15">
      <c r="A242" t="str">
        <f t="shared" si="5"/>
        <v>【アカマツ】・コナラ・ソヨゴ・リョウブin一宮市</v>
      </c>
      <c r="B242" t="s">
        <v>97</v>
      </c>
      <c r="D242" t="s">
        <v>279</v>
      </c>
      <c r="E242" t="s">
        <v>188</v>
      </c>
      <c r="F242">
        <v>40</v>
      </c>
      <c r="G242">
        <v>40</v>
      </c>
    </row>
    <row r="243" spans="1:7" x14ac:dyDescent="0.15">
      <c r="A243" t="str">
        <f t="shared" si="5"/>
        <v>【アカマツ】・コナラ・ソヨゴ・リョウブin岡崎市</v>
      </c>
      <c r="B243" t="s">
        <v>5</v>
      </c>
      <c r="D243" t="s">
        <v>279</v>
      </c>
      <c r="E243" t="s">
        <v>188</v>
      </c>
      <c r="F243">
        <v>40</v>
      </c>
      <c r="G243">
        <v>40</v>
      </c>
    </row>
    <row r="244" spans="1:7" x14ac:dyDescent="0.15">
      <c r="A244" t="str">
        <f t="shared" si="5"/>
        <v>【アカマツ】・コナラ・ソヨゴ・リョウブin蒲郡市</v>
      </c>
      <c r="B244" t="s">
        <v>44</v>
      </c>
      <c r="D244" t="s">
        <v>279</v>
      </c>
      <c r="E244" t="s">
        <v>188</v>
      </c>
      <c r="F244">
        <v>40</v>
      </c>
      <c r="G244">
        <v>40</v>
      </c>
    </row>
    <row r="245" spans="1:7" x14ac:dyDescent="0.15">
      <c r="A245" t="str">
        <f t="shared" si="5"/>
        <v>【アカマツ】・コナラ・ソヨゴ・リョウブin刈谷市</v>
      </c>
      <c r="B245" t="s">
        <v>100</v>
      </c>
      <c r="D245" t="s">
        <v>279</v>
      </c>
      <c r="E245" t="s">
        <v>188</v>
      </c>
      <c r="F245">
        <v>40</v>
      </c>
      <c r="G245">
        <v>40</v>
      </c>
    </row>
    <row r="246" spans="1:7" x14ac:dyDescent="0.15">
      <c r="A246" t="str">
        <f t="shared" si="5"/>
        <v>【アカマツ】・コナラ・ソヨゴ・リョウブin岩倉市</v>
      </c>
      <c r="B246" t="s">
        <v>101</v>
      </c>
      <c r="D246" t="s">
        <v>279</v>
      </c>
      <c r="E246" t="s">
        <v>188</v>
      </c>
      <c r="F246">
        <v>40</v>
      </c>
      <c r="G246">
        <v>40</v>
      </c>
    </row>
    <row r="247" spans="1:7" x14ac:dyDescent="0.15">
      <c r="A247" t="str">
        <f t="shared" si="5"/>
        <v>【アカマツ】・コナラ・ソヨゴ・リョウブin犬山市</v>
      </c>
      <c r="B247" t="s">
        <v>57</v>
      </c>
      <c r="D247" t="s">
        <v>279</v>
      </c>
      <c r="E247" t="s">
        <v>188</v>
      </c>
      <c r="F247">
        <v>40</v>
      </c>
      <c r="G247">
        <v>40</v>
      </c>
    </row>
    <row r="248" spans="1:7" x14ac:dyDescent="0.15">
      <c r="A248" t="str">
        <f t="shared" si="5"/>
        <v>【アカマツ】・コナラ・ソヨゴ・リョウブin幸田町</v>
      </c>
      <c r="B248" t="s">
        <v>33</v>
      </c>
      <c r="D248" t="s">
        <v>279</v>
      </c>
      <c r="E248" t="s">
        <v>188</v>
      </c>
      <c r="F248">
        <v>40</v>
      </c>
      <c r="G248">
        <v>40</v>
      </c>
    </row>
    <row r="249" spans="1:7" x14ac:dyDescent="0.15">
      <c r="A249" t="str">
        <f t="shared" si="5"/>
        <v>【アカマツ】・コナラ・ソヨゴ・リョウブin江南市</v>
      </c>
      <c r="B249" t="s">
        <v>102</v>
      </c>
      <c r="D249" t="s">
        <v>279</v>
      </c>
      <c r="E249" t="s">
        <v>188</v>
      </c>
      <c r="F249">
        <v>40</v>
      </c>
      <c r="G249">
        <v>40</v>
      </c>
    </row>
    <row r="250" spans="1:7" x14ac:dyDescent="0.15">
      <c r="A250" t="str">
        <f t="shared" si="5"/>
        <v>【アカマツ】・コナラ・ソヨゴ・リョウブin高浜市</v>
      </c>
      <c r="B250" t="s">
        <v>56</v>
      </c>
      <c r="D250" t="s">
        <v>279</v>
      </c>
      <c r="E250" t="s">
        <v>188</v>
      </c>
      <c r="F250">
        <v>40</v>
      </c>
      <c r="G250">
        <v>40</v>
      </c>
    </row>
    <row r="251" spans="1:7" x14ac:dyDescent="0.15">
      <c r="A251" t="str">
        <f t="shared" si="5"/>
        <v>【アカマツ】・コナラ・ソヨゴ・リョウブinみよし市</v>
      </c>
      <c r="B251" t="s">
        <v>573</v>
      </c>
      <c r="D251" t="s">
        <v>279</v>
      </c>
      <c r="E251" t="s">
        <v>188</v>
      </c>
      <c r="F251">
        <v>40</v>
      </c>
      <c r="G251">
        <v>40</v>
      </c>
    </row>
    <row r="252" spans="1:7" x14ac:dyDescent="0.15">
      <c r="A252" t="str">
        <f t="shared" si="5"/>
        <v>【アカマツ】・コナラ・ソヨゴ・リョウブin春日井市</v>
      </c>
      <c r="B252" t="s">
        <v>40</v>
      </c>
      <c r="D252" t="s">
        <v>279</v>
      </c>
      <c r="E252" t="s">
        <v>188</v>
      </c>
      <c r="F252">
        <v>40</v>
      </c>
      <c r="G252">
        <v>40</v>
      </c>
    </row>
    <row r="253" spans="1:7" x14ac:dyDescent="0.15">
      <c r="A253" t="str">
        <f t="shared" si="5"/>
        <v>【アカマツ】・コナラ・ソヨゴ・リョウブin小牧市</v>
      </c>
      <c r="B253" t="s">
        <v>42</v>
      </c>
      <c r="D253" t="s">
        <v>279</v>
      </c>
      <c r="E253" t="s">
        <v>188</v>
      </c>
      <c r="F253">
        <v>40</v>
      </c>
      <c r="G253">
        <v>40</v>
      </c>
    </row>
    <row r="254" spans="1:7" x14ac:dyDescent="0.15">
      <c r="A254" t="str">
        <f t="shared" si="5"/>
        <v>【アカマツ】・コナラ・ソヨゴ・リョウブin常滑市</v>
      </c>
      <c r="B254" t="s">
        <v>45</v>
      </c>
      <c r="D254" t="s">
        <v>279</v>
      </c>
      <c r="E254" t="s">
        <v>188</v>
      </c>
      <c r="F254">
        <v>40</v>
      </c>
      <c r="G254">
        <v>40</v>
      </c>
    </row>
    <row r="255" spans="1:7" x14ac:dyDescent="0.15">
      <c r="A255" t="str">
        <f t="shared" si="5"/>
        <v>【アカマツ】・コナラ・ソヨゴ・リョウブin新城市</v>
      </c>
      <c r="B255" t="s">
        <v>6</v>
      </c>
      <c r="D255" t="s">
        <v>279</v>
      </c>
      <c r="E255" t="s">
        <v>188</v>
      </c>
      <c r="F255">
        <v>40</v>
      </c>
      <c r="G255">
        <v>40</v>
      </c>
    </row>
    <row r="256" spans="1:7" x14ac:dyDescent="0.15">
      <c r="A256" t="str">
        <f t="shared" si="5"/>
        <v>【アカマツ】・コナラ・ソヨゴ・リョウブin瀬戸市</v>
      </c>
      <c r="B256" t="s">
        <v>34</v>
      </c>
      <c r="D256" t="s">
        <v>279</v>
      </c>
      <c r="E256" t="s">
        <v>188</v>
      </c>
      <c r="F256">
        <v>40</v>
      </c>
      <c r="G256">
        <v>40</v>
      </c>
    </row>
    <row r="257" spans="1:7" x14ac:dyDescent="0.15">
      <c r="A257" t="str">
        <f t="shared" si="5"/>
        <v>【アカマツ】・コナラ・ソヨゴ・リョウブin西尾市</v>
      </c>
      <c r="B257" t="s">
        <v>104</v>
      </c>
      <c r="D257" t="s">
        <v>279</v>
      </c>
      <c r="E257" t="s">
        <v>188</v>
      </c>
      <c r="F257">
        <v>40</v>
      </c>
      <c r="G257">
        <v>40</v>
      </c>
    </row>
    <row r="258" spans="1:7" x14ac:dyDescent="0.15">
      <c r="A258" t="str">
        <f t="shared" si="5"/>
        <v>【アカマツ】・コナラ・ソヨゴ・リョウブin設楽町</v>
      </c>
      <c r="B258" t="s">
        <v>105</v>
      </c>
      <c r="D258" t="s">
        <v>279</v>
      </c>
      <c r="E258" t="s">
        <v>188</v>
      </c>
      <c r="F258">
        <v>40</v>
      </c>
      <c r="G258">
        <v>40</v>
      </c>
    </row>
    <row r="259" spans="1:7" x14ac:dyDescent="0.15">
      <c r="A259" t="str">
        <f t="shared" si="5"/>
        <v>【アカマツ】・コナラ・ソヨゴ・リョウブin大口町</v>
      </c>
      <c r="B259" t="s">
        <v>41</v>
      </c>
      <c r="D259" t="s">
        <v>279</v>
      </c>
      <c r="E259" t="s">
        <v>188</v>
      </c>
      <c r="F259">
        <v>40</v>
      </c>
      <c r="G259">
        <v>40</v>
      </c>
    </row>
    <row r="260" spans="1:7" x14ac:dyDescent="0.15">
      <c r="A260" t="str">
        <f t="shared" si="5"/>
        <v>【アカマツ】・コナラ・ソヨゴ・リョウブin大府市</v>
      </c>
      <c r="B260" t="s">
        <v>43</v>
      </c>
      <c r="D260" t="s">
        <v>279</v>
      </c>
      <c r="E260" t="s">
        <v>188</v>
      </c>
      <c r="F260">
        <v>40</v>
      </c>
      <c r="G260">
        <v>40</v>
      </c>
    </row>
    <row r="261" spans="1:7" x14ac:dyDescent="0.15">
      <c r="A261" t="str">
        <f t="shared" si="5"/>
        <v>【アカマツ】・コナラ・ソヨゴ・リョウブin知多市</v>
      </c>
      <c r="B261" t="s">
        <v>46</v>
      </c>
      <c r="D261" t="s">
        <v>279</v>
      </c>
      <c r="E261" t="s">
        <v>188</v>
      </c>
      <c r="F261">
        <v>40</v>
      </c>
      <c r="G261">
        <v>40</v>
      </c>
    </row>
    <row r="262" spans="1:7" x14ac:dyDescent="0.15">
      <c r="A262" t="str">
        <f t="shared" si="5"/>
        <v>【アカマツ】・コナラ・ソヨゴ・リョウブin知立市</v>
      </c>
      <c r="B262" t="s">
        <v>107</v>
      </c>
      <c r="D262" t="s">
        <v>279</v>
      </c>
      <c r="E262" t="s">
        <v>188</v>
      </c>
      <c r="F262">
        <v>40</v>
      </c>
      <c r="G262">
        <v>40</v>
      </c>
    </row>
    <row r="263" spans="1:7" x14ac:dyDescent="0.15">
      <c r="A263" t="str">
        <f t="shared" si="5"/>
        <v>【アカマツ】・コナラ・ソヨゴ・リョウブin長久手市</v>
      </c>
      <c r="B263" t="s">
        <v>35</v>
      </c>
      <c r="D263" t="s">
        <v>279</v>
      </c>
      <c r="E263" t="s">
        <v>188</v>
      </c>
      <c r="F263">
        <v>40</v>
      </c>
      <c r="G263">
        <v>40</v>
      </c>
    </row>
    <row r="264" spans="1:7" x14ac:dyDescent="0.15">
      <c r="A264" t="str">
        <f t="shared" si="5"/>
        <v>【アカマツ】・コナラ・ソヨゴ・リョウブin田原市</v>
      </c>
      <c r="B264" t="s">
        <v>47</v>
      </c>
      <c r="D264" t="s">
        <v>279</v>
      </c>
      <c r="E264" t="s">
        <v>188</v>
      </c>
      <c r="F264">
        <v>40</v>
      </c>
      <c r="G264">
        <v>40</v>
      </c>
    </row>
    <row r="265" spans="1:7" x14ac:dyDescent="0.15">
      <c r="A265" t="str">
        <f t="shared" si="5"/>
        <v>【アカマツ】・コナラ・ソヨゴ・リョウブin東浦町</v>
      </c>
      <c r="B265" t="s">
        <v>48</v>
      </c>
      <c r="D265" t="s">
        <v>279</v>
      </c>
      <c r="E265" t="s">
        <v>188</v>
      </c>
      <c r="F265">
        <v>40</v>
      </c>
      <c r="G265">
        <v>40</v>
      </c>
    </row>
    <row r="266" spans="1:7" x14ac:dyDescent="0.15">
      <c r="A266" t="str">
        <f t="shared" si="5"/>
        <v>【アカマツ】・コナラ・ソヨゴ・リョウブin東栄町</v>
      </c>
      <c r="B266" t="s">
        <v>39</v>
      </c>
      <c r="D266" t="s">
        <v>279</v>
      </c>
      <c r="E266" t="s">
        <v>188</v>
      </c>
      <c r="F266">
        <v>40</v>
      </c>
      <c r="G266">
        <v>40</v>
      </c>
    </row>
    <row r="267" spans="1:7" x14ac:dyDescent="0.15">
      <c r="A267" t="str">
        <f t="shared" si="5"/>
        <v>【アカマツ】・コナラ・ソヨゴ・リョウブin東海市</v>
      </c>
      <c r="B267" t="s">
        <v>49</v>
      </c>
      <c r="D267" t="s">
        <v>279</v>
      </c>
      <c r="E267" t="s">
        <v>188</v>
      </c>
      <c r="F267">
        <v>40</v>
      </c>
      <c r="G267">
        <v>40</v>
      </c>
    </row>
    <row r="268" spans="1:7" x14ac:dyDescent="0.15">
      <c r="A268" t="str">
        <f t="shared" si="5"/>
        <v>【アカマツ】・コナラ・ソヨゴ・リョウブin東郷町</v>
      </c>
      <c r="B268" t="s">
        <v>36</v>
      </c>
      <c r="D268" t="s">
        <v>279</v>
      </c>
      <c r="E268" t="s">
        <v>188</v>
      </c>
      <c r="F268">
        <v>40</v>
      </c>
      <c r="G268">
        <v>40</v>
      </c>
    </row>
    <row r="269" spans="1:7" x14ac:dyDescent="0.15">
      <c r="A269" t="str">
        <f t="shared" si="5"/>
        <v>【アカマツ】・コナラ・ソヨゴ・リョウブin南知多町</v>
      </c>
      <c r="B269" t="s">
        <v>50</v>
      </c>
      <c r="D269" t="s">
        <v>279</v>
      </c>
      <c r="E269" t="s">
        <v>188</v>
      </c>
      <c r="F269">
        <v>40</v>
      </c>
      <c r="G269">
        <v>40</v>
      </c>
    </row>
    <row r="270" spans="1:7" x14ac:dyDescent="0.15">
      <c r="A270" t="str">
        <f t="shared" si="5"/>
        <v>【アカマツ】・コナラ・ソヨゴ・リョウブin日進市</v>
      </c>
      <c r="B270" t="s">
        <v>37</v>
      </c>
      <c r="D270" t="s">
        <v>279</v>
      </c>
      <c r="E270" t="s">
        <v>188</v>
      </c>
      <c r="F270">
        <v>40</v>
      </c>
      <c r="G270">
        <v>40</v>
      </c>
    </row>
    <row r="271" spans="1:7" x14ac:dyDescent="0.15">
      <c r="A271" t="str">
        <f t="shared" si="5"/>
        <v>【アカマツ】・コナラ・ソヨゴ・リョウブin半田市</v>
      </c>
      <c r="B271" t="s">
        <v>51</v>
      </c>
      <c r="D271" t="s">
        <v>279</v>
      </c>
      <c r="E271" t="s">
        <v>188</v>
      </c>
      <c r="F271">
        <v>40</v>
      </c>
      <c r="G271">
        <v>40</v>
      </c>
    </row>
    <row r="272" spans="1:7" x14ac:dyDescent="0.15">
      <c r="A272" t="str">
        <f t="shared" si="5"/>
        <v>【アカマツ】・コナラ・ソヨゴ・リョウブin尾張旭市</v>
      </c>
      <c r="B272" t="s">
        <v>38</v>
      </c>
      <c r="D272" t="s">
        <v>279</v>
      </c>
      <c r="E272" t="s">
        <v>188</v>
      </c>
      <c r="F272">
        <v>40</v>
      </c>
      <c r="G272">
        <v>40</v>
      </c>
    </row>
    <row r="273" spans="1:7" x14ac:dyDescent="0.15">
      <c r="A273" t="str">
        <f t="shared" si="5"/>
        <v>【アカマツ】・コナラ・ソヨゴ・リョウブin美浜町</v>
      </c>
      <c r="B273" t="s">
        <v>52</v>
      </c>
      <c r="D273" t="s">
        <v>279</v>
      </c>
      <c r="E273" t="s">
        <v>188</v>
      </c>
      <c r="F273">
        <v>40</v>
      </c>
      <c r="G273">
        <v>40</v>
      </c>
    </row>
    <row r="274" spans="1:7" x14ac:dyDescent="0.15">
      <c r="A274" t="str">
        <f t="shared" si="5"/>
        <v>【アカマツ】・コナラ・ソヨゴ・リョウブin扶桑町</v>
      </c>
      <c r="B274" t="s">
        <v>110</v>
      </c>
      <c r="D274" t="s">
        <v>279</v>
      </c>
      <c r="E274" t="s">
        <v>188</v>
      </c>
      <c r="F274">
        <v>40</v>
      </c>
      <c r="G274">
        <v>40</v>
      </c>
    </row>
    <row r="275" spans="1:7" x14ac:dyDescent="0.15">
      <c r="A275" t="str">
        <f t="shared" si="5"/>
        <v>【アカマツ】・コナラ・ソヨゴ・リョウブin武豊町</v>
      </c>
      <c r="B275" t="s">
        <v>53</v>
      </c>
      <c r="D275" t="s">
        <v>279</v>
      </c>
      <c r="E275" t="s">
        <v>188</v>
      </c>
      <c r="F275">
        <v>40</v>
      </c>
      <c r="G275">
        <v>40</v>
      </c>
    </row>
    <row r="276" spans="1:7" x14ac:dyDescent="0.15">
      <c r="A276" t="str">
        <f t="shared" si="5"/>
        <v>【アカマツ】・コナラ・ソヨゴ・リョウブin碧南市</v>
      </c>
      <c r="B276" t="s">
        <v>111</v>
      </c>
      <c r="D276" t="s">
        <v>279</v>
      </c>
      <c r="E276" t="s">
        <v>188</v>
      </c>
      <c r="F276">
        <v>40</v>
      </c>
      <c r="G276">
        <v>40</v>
      </c>
    </row>
    <row r="277" spans="1:7" x14ac:dyDescent="0.15">
      <c r="A277" t="str">
        <f t="shared" si="5"/>
        <v>【アカマツ】・コナラ・ソヨゴ・リョウブin豊橋市</v>
      </c>
      <c r="B277" t="s">
        <v>54</v>
      </c>
      <c r="D277" t="s">
        <v>279</v>
      </c>
      <c r="E277" t="s">
        <v>188</v>
      </c>
      <c r="F277">
        <v>40</v>
      </c>
      <c r="G277">
        <v>40</v>
      </c>
    </row>
    <row r="278" spans="1:7" x14ac:dyDescent="0.15">
      <c r="A278" t="str">
        <f t="shared" si="5"/>
        <v>【アカマツ】・コナラ・ソヨゴ・リョウブin豊根村</v>
      </c>
      <c r="B278" t="s">
        <v>112</v>
      </c>
      <c r="D278" t="s">
        <v>279</v>
      </c>
      <c r="E278" t="s">
        <v>188</v>
      </c>
      <c r="F278">
        <v>40</v>
      </c>
      <c r="G278">
        <v>40</v>
      </c>
    </row>
    <row r="279" spans="1:7" x14ac:dyDescent="0.15">
      <c r="A279" t="str">
        <f t="shared" si="5"/>
        <v>【アカマツ】・コナラ・ソヨゴ・リョウブin豊山町</v>
      </c>
      <c r="B279" t="s">
        <v>113</v>
      </c>
      <c r="D279" t="s">
        <v>279</v>
      </c>
      <c r="E279" t="s">
        <v>188</v>
      </c>
      <c r="F279">
        <v>40</v>
      </c>
      <c r="G279">
        <v>40</v>
      </c>
    </row>
    <row r="280" spans="1:7" x14ac:dyDescent="0.15">
      <c r="A280" t="str">
        <f t="shared" si="5"/>
        <v>【アカマツ】・コナラ・ソヨゴ・リョウブin豊川市</v>
      </c>
      <c r="B280" t="s">
        <v>114</v>
      </c>
      <c r="D280" t="s">
        <v>279</v>
      </c>
      <c r="E280" t="s">
        <v>188</v>
      </c>
      <c r="F280">
        <v>40</v>
      </c>
      <c r="G280">
        <v>40</v>
      </c>
    </row>
    <row r="281" spans="1:7" x14ac:dyDescent="0.15">
      <c r="A281" t="str">
        <f t="shared" ref="A281:A287" si="7">E281&amp;"in"&amp;B281</f>
        <v>【アカマツ】・コナラ・ソヨゴ・リョウブin豊田市（旧豊田市）</v>
      </c>
      <c r="B281" t="s">
        <v>601</v>
      </c>
      <c r="D281" t="s">
        <v>279</v>
      </c>
      <c r="E281" t="s">
        <v>188</v>
      </c>
      <c r="F281">
        <v>40</v>
      </c>
      <c r="G281">
        <v>40</v>
      </c>
    </row>
    <row r="282" spans="1:7" x14ac:dyDescent="0.15">
      <c r="A282" t="str">
        <f t="shared" si="7"/>
        <v>【アカマツ】・コナラ・ソヨゴ・リョウブin豊田市（旧藤岡町）</v>
      </c>
      <c r="B282" s="2" t="s">
        <v>602</v>
      </c>
      <c r="D282" t="s">
        <v>279</v>
      </c>
      <c r="E282" t="s">
        <v>188</v>
      </c>
      <c r="F282">
        <v>40</v>
      </c>
      <c r="G282">
        <v>40</v>
      </c>
    </row>
    <row r="283" spans="1:7" x14ac:dyDescent="0.15">
      <c r="A283" t="str">
        <f t="shared" si="7"/>
        <v>【アカマツ】・コナラ・ソヨゴ・リョウブin豊田市（旧小原村）</v>
      </c>
      <c r="B283" t="s">
        <v>603</v>
      </c>
      <c r="D283" t="s">
        <v>279</v>
      </c>
      <c r="E283" t="s">
        <v>188</v>
      </c>
      <c r="F283">
        <v>40</v>
      </c>
      <c r="G283">
        <v>40</v>
      </c>
    </row>
    <row r="284" spans="1:7" x14ac:dyDescent="0.15">
      <c r="A284" t="str">
        <f t="shared" si="7"/>
        <v>【アカマツ】・コナラ・ソヨゴ・リョウブin豊田市（旧足助町）</v>
      </c>
      <c r="B284" t="s">
        <v>604</v>
      </c>
      <c r="D284" t="s">
        <v>279</v>
      </c>
      <c r="E284" t="s">
        <v>188</v>
      </c>
      <c r="F284">
        <v>40</v>
      </c>
      <c r="G284">
        <v>40</v>
      </c>
    </row>
    <row r="285" spans="1:7" x14ac:dyDescent="0.15">
      <c r="A285" t="str">
        <f t="shared" si="7"/>
        <v>【アカマツ】・コナラ・ソヨゴ・リョウブin豊田市（旧下山村）</v>
      </c>
      <c r="B285" t="s">
        <v>600</v>
      </c>
      <c r="D285" t="s">
        <v>279</v>
      </c>
      <c r="E285" t="s">
        <v>188</v>
      </c>
      <c r="F285">
        <v>40</v>
      </c>
      <c r="G285">
        <v>40</v>
      </c>
    </row>
    <row r="286" spans="1:7" x14ac:dyDescent="0.15">
      <c r="A286" t="str">
        <f t="shared" si="7"/>
        <v>【アカマツ】・コナラ・ソヨゴ・リョウブin豊田市（旧旭町）</v>
      </c>
      <c r="B286" t="s">
        <v>605</v>
      </c>
      <c r="D286" t="s">
        <v>279</v>
      </c>
      <c r="E286" t="s">
        <v>188</v>
      </c>
      <c r="F286">
        <v>40</v>
      </c>
      <c r="G286">
        <v>40</v>
      </c>
    </row>
    <row r="287" spans="1:7" x14ac:dyDescent="0.15">
      <c r="A287" t="str">
        <f t="shared" si="7"/>
        <v>【アカマツ】・コナラ・ソヨゴ・リョウブin豊田市（旧稲武町）</v>
      </c>
      <c r="B287" t="s">
        <v>606</v>
      </c>
      <c r="D287" t="s">
        <v>279</v>
      </c>
      <c r="E287" t="s">
        <v>188</v>
      </c>
      <c r="F287">
        <v>40</v>
      </c>
      <c r="G287">
        <v>40</v>
      </c>
    </row>
    <row r="288" spans="1:7" x14ac:dyDescent="0.15">
      <c r="A288" t="str">
        <f t="shared" si="5"/>
        <v>【アカマツ】・コナラ・ソヨゴ・リョウブin豊明市</v>
      </c>
      <c r="B288" t="s">
        <v>115</v>
      </c>
      <c r="D288" t="s">
        <v>279</v>
      </c>
      <c r="E288" t="s">
        <v>188</v>
      </c>
      <c r="F288">
        <v>40</v>
      </c>
      <c r="G288">
        <v>40</v>
      </c>
    </row>
    <row r="289" spans="1:7" x14ac:dyDescent="0.15">
      <c r="A289" t="str">
        <f t="shared" si="5"/>
        <v>【アカマツ】・コナラ・ソヨゴ・リョウブin北名古屋市</v>
      </c>
      <c r="B289" t="s">
        <v>116</v>
      </c>
      <c r="D289" t="s">
        <v>279</v>
      </c>
      <c r="E289" t="s">
        <v>188</v>
      </c>
      <c r="F289">
        <v>40</v>
      </c>
      <c r="G289">
        <v>40</v>
      </c>
    </row>
    <row r="290" spans="1:7" x14ac:dyDescent="0.15">
      <c r="A290" t="str">
        <f t="shared" si="5"/>
        <v>【アカマツ】・コナラ・ソヨゴ・リョウブin名古屋市</v>
      </c>
      <c r="B290" t="s">
        <v>58</v>
      </c>
      <c r="D290" t="s">
        <v>279</v>
      </c>
      <c r="E290" t="s">
        <v>188</v>
      </c>
      <c r="F290">
        <v>40</v>
      </c>
      <c r="G290">
        <v>40</v>
      </c>
    </row>
    <row r="291" spans="1:7" x14ac:dyDescent="0.15">
      <c r="A291" t="str">
        <f t="shared" si="5"/>
        <v>【スギ】・【ヒノキ】・【サワラ】in愛西市</v>
      </c>
      <c r="B291" s="2" t="s">
        <v>96</v>
      </c>
      <c r="E291" t="s">
        <v>221</v>
      </c>
      <c r="F291">
        <v>5</v>
      </c>
      <c r="G291">
        <v>5</v>
      </c>
    </row>
    <row r="292" spans="1:7" x14ac:dyDescent="0.15">
      <c r="A292" t="str">
        <f t="shared" si="5"/>
        <v>【スギ】・【ヒノキ】・【サワラ】in阿久比町</v>
      </c>
      <c r="B292" s="2" t="s">
        <v>65</v>
      </c>
      <c r="E292" t="s">
        <v>221</v>
      </c>
      <c r="F292">
        <v>5</v>
      </c>
      <c r="G292">
        <v>5</v>
      </c>
    </row>
    <row r="293" spans="1:7" x14ac:dyDescent="0.15">
      <c r="A293" t="str">
        <f t="shared" si="5"/>
        <v>【スギ】・【ヒノキ】・【サワラ】inあま市</v>
      </c>
      <c r="B293" s="2" t="s">
        <v>95</v>
      </c>
      <c r="E293" t="s">
        <v>221</v>
      </c>
      <c r="F293">
        <v>5</v>
      </c>
      <c r="G293">
        <v>5</v>
      </c>
    </row>
    <row r="294" spans="1:7" x14ac:dyDescent="0.15">
      <c r="A294" t="str">
        <f t="shared" si="5"/>
        <v>【スギ】・【ヒノキ】・【サワラ】in安城市</v>
      </c>
      <c r="B294" s="2" t="s">
        <v>55</v>
      </c>
      <c r="E294" t="s">
        <v>221</v>
      </c>
      <c r="F294">
        <v>5</v>
      </c>
      <c r="G294">
        <v>5</v>
      </c>
    </row>
    <row r="295" spans="1:7" x14ac:dyDescent="0.15">
      <c r="A295" t="str">
        <f t="shared" si="5"/>
        <v>【スギ】・【ヒノキ】・【サワラ】in一宮市</v>
      </c>
      <c r="B295" s="2" t="s">
        <v>97</v>
      </c>
      <c r="E295" t="s">
        <v>221</v>
      </c>
      <c r="F295">
        <v>5</v>
      </c>
      <c r="G295">
        <v>5</v>
      </c>
    </row>
    <row r="296" spans="1:7" x14ac:dyDescent="0.15">
      <c r="A296" t="str">
        <f t="shared" ref="A296:A365" si="8">E296&amp;"in"&amp;B296</f>
        <v>【スギ】・【ヒノキ】・【サワラ】in稲沢市</v>
      </c>
      <c r="B296" s="2" t="s">
        <v>98</v>
      </c>
      <c r="E296" t="s">
        <v>221</v>
      </c>
      <c r="F296">
        <v>5</v>
      </c>
      <c r="G296">
        <v>5</v>
      </c>
    </row>
    <row r="297" spans="1:7" x14ac:dyDescent="0.15">
      <c r="A297" t="str">
        <f t="shared" si="8"/>
        <v>【スギ】・【ヒノキ】・【サワラ】in犬山市</v>
      </c>
      <c r="B297" s="2" t="s">
        <v>57</v>
      </c>
      <c r="E297" t="s">
        <v>221</v>
      </c>
      <c r="F297">
        <v>5</v>
      </c>
      <c r="G297">
        <v>5</v>
      </c>
    </row>
    <row r="298" spans="1:7" x14ac:dyDescent="0.15">
      <c r="A298" t="str">
        <f t="shared" si="8"/>
        <v>【スギ】・【ヒノキ】・【サワラ】in岩倉市</v>
      </c>
      <c r="B298" s="2" t="s">
        <v>101</v>
      </c>
      <c r="E298" t="s">
        <v>221</v>
      </c>
      <c r="F298">
        <v>5</v>
      </c>
      <c r="G298">
        <v>5</v>
      </c>
    </row>
    <row r="299" spans="1:7" x14ac:dyDescent="0.15">
      <c r="A299" t="str">
        <f t="shared" si="8"/>
        <v>【スギ】・【ヒノキ】・【サワラ】in大口町</v>
      </c>
      <c r="B299" s="2" t="s">
        <v>41</v>
      </c>
      <c r="E299" t="s">
        <v>221</v>
      </c>
      <c r="F299">
        <v>5</v>
      </c>
      <c r="G299">
        <v>5</v>
      </c>
    </row>
    <row r="300" spans="1:7" x14ac:dyDescent="0.15">
      <c r="A300" t="str">
        <f t="shared" si="8"/>
        <v>【スギ】・【ヒノキ】・【サワラ】in大治町</v>
      </c>
      <c r="B300" s="2" t="s">
        <v>106</v>
      </c>
      <c r="E300" t="s">
        <v>221</v>
      </c>
      <c r="F300">
        <v>5</v>
      </c>
      <c r="G300">
        <v>5</v>
      </c>
    </row>
    <row r="301" spans="1:7" x14ac:dyDescent="0.15">
      <c r="A301" t="str">
        <f t="shared" si="8"/>
        <v>【スギ】・【ヒノキ】・【サワラ】in大府市</v>
      </c>
      <c r="B301" s="2" t="s">
        <v>43</v>
      </c>
      <c r="E301" t="s">
        <v>221</v>
      </c>
      <c r="F301">
        <v>5</v>
      </c>
      <c r="G301">
        <v>5</v>
      </c>
    </row>
    <row r="302" spans="1:7" x14ac:dyDescent="0.15">
      <c r="A302" t="str">
        <f t="shared" si="8"/>
        <v>【スギ】・【ヒノキ】・【サワラ】in岡崎市</v>
      </c>
      <c r="B302" s="2" t="s">
        <v>5</v>
      </c>
      <c r="E302" t="s">
        <v>221</v>
      </c>
      <c r="F302">
        <v>5</v>
      </c>
      <c r="G302">
        <v>5</v>
      </c>
    </row>
    <row r="303" spans="1:7" x14ac:dyDescent="0.15">
      <c r="A303" t="str">
        <f t="shared" si="8"/>
        <v>【スギ】・【ヒノキ】・【サワラ】in尾張旭市</v>
      </c>
      <c r="B303" s="2" t="s">
        <v>38</v>
      </c>
      <c r="E303" t="s">
        <v>221</v>
      </c>
      <c r="F303">
        <v>5</v>
      </c>
      <c r="G303">
        <v>5</v>
      </c>
    </row>
    <row r="304" spans="1:7" x14ac:dyDescent="0.15">
      <c r="A304" t="str">
        <f t="shared" si="8"/>
        <v>【スギ】・【ヒノキ】・【サワラ】in春日井市</v>
      </c>
      <c r="B304" s="2" t="s">
        <v>40</v>
      </c>
      <c r="E304" t="s">
        <v>221</v>
      </c>
      <c r="F304">
        <v>5</v>
      </c>
      <c r="G304">
        <v>5</v>
      </c>
    </row>
    <row r="305" spans="1:7" x14ac:dyDescent="0.15">
      <c r="A305" t="str">
        <f t="shared" si="8"/>
        <v>【スギ】・【ヒノキ】・【サワラ】in蟹江町</v>
      </c>
      <c r="B305" s="2" t="s">
        <v>99</v>
      </c>
      <c r="E305" t="s">
        <v>221</v>
      </c>
      <c r="F305">
        <v>5</v>
      </c>
      <c r="G305">
        <v>5</v>
      </c>
    </row>
    <row r="306" spans="1:7" x14ac:dyDescent="0.15">
      <c r="A306" t="str">
        <f t="shared" si="8"/>
        <v>【スギ】・【ヒノキ】・【サワラ】in蒲郡市</v>
      </c>
      <c r="B306" s="2" t="s">
        <v>44</v>
      </c>
      <c r="E306" t="s">
        <v>221</v>
      </c>
      <c r="F306">
        <v>5</v>
      </c>
      <c r="G306">
        <v>5</v>
      </c>
    </row>
    <row r="307" spans="1:7" x14ac:dyDescent="0.15">
      <c r="A307" t="str">
        <f t="shared" si="8"/>
        <v>【スギ】・【ヒノキ】・【サワラ】in刈谷市</v>
      </c>
      <c r="B307" s="2" t="s">
        <v>100</v>
      </c>
      <c r="E307" t="s">
        <v>221</v>
      </c>
      <c r="F307">
        <v>5</v>
      </c>
      <c r="G307">
        <v>5</v>
      </c>
    </row>
    <row r="308" spans="1:7" x14ac:dyDescent="0.15">
      <c r="A308" t="str">
        <f t="shared" si="8"/>
        <v>【スギ】・【ヒノキ】・【サワラ】in北名古屋市</v>
      </c>
      <c r="B308" s="2" t="s">
        <v>116</v>
      </c>
      <c r="E308" t="s">
        <v>221</v>
      </c>
      <c r="F308">
        <v>5</v>
      </c>
      <c r="G308">
        <v>5</v>
      </c>
    </row>
    <row r="309" spans="1:7" x14ac:dyDescent="0.15">
      <c r="A309" t="str">
        <f t="shared" si="8"/>
        <v>【スギ】・【ヒノキ】・【サワラ】in清須市</v>
      </c>
      <c r="B309" s="2" t="s">
        <v>103</v>
      </c>
      <c r="E309" t="s">
        <v>221</v>
      </c>
      <c r="F309">
        <v>5</v>
      </c>
      <c r="G309">
        <v>5</v>
      </c>
    </row>
    <row r="310" spans="1:7" x14ac:dyDescent="0.15">
      <c r="A310" t="str">
        <f t="shared" si="8"/>
        <v>【スギ】・【ヒノキ】・【サワラ】in幸田町</v>
      </c>
      <c r="B310" s="2" t="s">
        <v>33</v>
      </c>
      <c r="E310" t="s">
        <v>221</v>
      </c>
      <c r="F310">
        <v>5</v>
      </c>
      <c r="G310">
        <v>5</v>
      </c>
    </row>
    <row r="311" spans="1:7" x14ac:dyDescent="0.15">
      <c r="A311" t="str">
        <f t="shared" si="8"/>
        <v>【スギ】・【ヒノキ】・【サワラ】in江南市</v>
      </c>
      <c r="B311" s="2" t="s">
        <v>102</v>
      </c>
      <c r="E311" t="s">
        <v>221</v>
      </c>
      <c r="F311">
        <v>5</v>
      </c>
      <c r="G311">
        <v>5</v>
      </c>
    </row>
    <row r="312" spans="1:7" x14ac:dyDescent="0.15">
      <c r="A312" t="str">
        <f t="shared" si="8"/>
        <v>【スギ】・【ヒノキ】・【サワラ】in小牧市</v>
      </c>
      <c r="B312" s="2" t="s">
        <v>42</v>
      </c>
      <c r="E312" t="s">
        <v>221</v>
      </c>
      <c r="F312">
        <v>5</v>
      </c>
      <c r="G312">
        <v>5</v>
      </c>
    </row>
    <row r="313" spans="1:7" x14ac:dyDescent="0.15">
      <c r="A313" t="str">
        <f t="shared" si="8"/>
        <v>【スギ】・【ヒノキ】・【サワラ】in設楽町</v>
      </c>
      <c r="B313" s="2" t="s">
        <v>105</v>
      </c>
      <c r="E313" t="s">
        <v>221</v>
      </c>
      <c r="F313">
        <v>5</v>
      </c>
      <c r="G313">
        <v>5</v>
      </c>
    </row>
    <row r="314" spans="1:7" x14ac:dyDescent="0.15">
      <c r="A314" t="str">
        <f t="shared" si="8"/>
        <v>【スギ】・【ヒノキ】・【サワラ】in新城市</v>
      </c>
      <c r="B314" s="2" t="s">
        <v>6</v>
      </c>
      <c r="E314" t="s">
        <v>221</v>
      </c>
      <c r="F314">
        <v>5</v>
      </c>
      <c r="G314">
        <v>5</v>
      </c>
    </row>
    <row r="315" spans="1:7" x14ac:dyDescent="0.15">
      <c r="A315" t="str">
        <f t="shared" si="8"/>
        <v>【スギ】・【ヒノキ】・【サワラ】in瀬戸市</v>
      </c>
      <c r="B315" s="2" t="s">
        <v>34</v>
      </c>
      <c r="E315" t="s">
        <v>221</v>
      </c>
      <c r="F315">
        <v>5</v>
      </c>
      <c r="G315">
        <v>5</v>
      </c>
    </row>
    <row r="316" spans="1:7" x14ac:dyDescent="0.15">
      <c r="A316" t="str">
        <f t="shared" si="8"/>
        <v>【スギ】・【ヒノキ】・【サワラ】in高浜市</v>
      </c>
      <c r="B316" s="2" t="s">
        <v>56</v>
      </c>
      <c r="E316" t="s">
        <v>221</v>
      </c>
      <c r="F316">
        <v>5</v>
      </c>
      <c r="G316">
        <v>5</v>
      </c>
    </row>
    <row r="317" spans="1:7" x14ac:dyDescent="0.15">
      <c r="A317" t="str">
        <f t="shared" si="8"/>
        <v>【スギ】・【ヒノキ】・【サワラ】in武豊町</v>
      </c>
      <c r="B317" s="2" t="s">
        <v>169</v>
      </c>
      <c r="E317" t="s">
        <v>221</v>
      </c>
      <c r="F317">
        <v>5</v>
      </c>
      <c r="G317">
        <v>5</v>
      </c>
    </row>
    <row r="318" spans="1:7" x14ac:dyDescent="0.15">
      <c r="A318" t="str">
        <f t="shared" si="8"/>
        <v>【スギ】・【ヒノキ】・【サワラ】in田原市</v>
      </c>
      <c r="B318" s="2" t="s">
        <v>47</v>
      </c>
      <c r="E318" t="s">
        <v>221</v>
      </c>
      <c r="F318">
        <v>5</v>
      </c>
      <c r="G318">
        <v>5</v>
      </c>
    </row>
    <row r="319" spans="1:7" x14ac:dyDescent="0.15">
      <c r="A319" t="str">
        <f t="shared" si="8"/>
        <v>【スギ】・【ヒノキ】・【サワラ】in知多市</v>
      </c>
      <c r="B319" s="2" t="s">
        <v>46</v>
      </c>
      <c r="E319" t="s">
        <v>221</v>
      </c>
      <c r="F319">
        <v>5</v>
      </c>
      <c r="G319">
        <v>5</v>
      </c>
    </row>
    <row r="320" spans="1:7" x14ac:dyDescent="0.15">
      <c r="A320" t="str">
        <f t="shared" si="8"/>
        <v>【スギ】・【ヒノキ】・【サワラ】in知立市</v>
      </c>
      <c r="B320" s="2" t="s">
        <v>107</v>
      </c>
      <c r="E320" t="s">
        <v>221</v>
      </c>
      <c r="F320">
        <v>5</v>
      </c>
      <c r="G320">
        <v>5</v>
      </c>
    </row>
    <row r="321" spans="1:7" x14ac:dyDescent="0.15">
      <c r="A321" t="str">
        <f t="shared" si="8"/>
        <v>【スギ】・【ヒノキ】・【サワラ】in津島市</v>
      </c>
      <c r="B321" s="2" t="s">
        <v>108</v>
      </c>
      <c r="E321" t="s">
        <v>221</v>
      </c>
      <c r="F321">
        <v>5</v>
      </c>
      <c r="G321">
        <v>5</v>
      </c>
    </row>
    <row r="322" spans="1:7" x14ac:dyDescent="0.15">
      <c r="A322" t="str">
        <f t="shared" si="8"/>
        <v>【スギ】・【ヒノキ】・【サワラ】in東栄町</v>
      </c>
      <c r="B322" s="2" t="s">
        <v>39</v>
      </c>
      <c r="E322" t="s">
        <v>221</v>
      </c>
      <c r="F322">
        <v>5</v>
      </c>
      <c r="G322">
        <v>5</v>
      </c>
    </row>
    <row r="323" spans="1:7" x14ac:dyDescent="0.15">
      <c r="A323" t="str">
        <f t="shared" si="8"/>
        <v>【スギ】・【ヒノキ】・【サワラ】in東海市</v>
      </c>
      <c r="B323" s="2" t="s">
        <v>49</v>
      </c>
      <c r="E323" t="s">
        <v>221</v>
      </c>
      <c r="F323">
        <v>5</v>
      </c>
      <c r="G323">
        <v>5</v>
      </c>
    </row>
    <row r="324" spans="1:7" x14ac:dyDescent="0.15">
      <c r="A324" t="str">
        <f t="shared" si="8"/>
        <v>【スギ】・【ヒノキ】・【サワラ】in東郷町</v>
      </c>
      <c r="B324" s="2" t="s">
        <v>36</v>
      </c>
      <c r="E324" t="s">
        <v>221</v>
      </c>
      <c r="F324">
        <v>5</v>
      </c>
      <c r="G324">
        <v>5</v>
      </c>
    </row>
    <row r="325" spans="1:7" x14ac:dyDescent="0.15">
      <c r="A325" t="str">
        <f t="shared" si="8"/>
        <v>【スギ】・【ヒノキ】・【サワラ】in常滑市</v>
      </c>
      <c r="B325" s="2" t="s">
        <v>45</v>
      </c>
      <c r="E325" t="s">
        <v>221</v>
      </c>
      <c r="F325">
        <v>5</v>
      </c>
      <c r="G325">
        <v>5</v>
      </c>
    </row>
    <row r="326" spans="1:7" x14ac:dyDescent="0.15">
      <c r="A326" t="str">
        <f t="shared" si="8"/>
        <v>【スギ】・【ヒノキ】・【サワラ】in飛島村</v>
      </c>
      <c r="B326" s="2" t="s">
        <v>109</v>
      </c>
      <c r="E326" t="s">
        <v>221</v>
      </c>
      <c r="F326">
        <v>5</v>
      </c>
      <c r="G326">
        <v>5</v>
      </c>
    </row>
    <row r="327" spans="1:7" x14ac:dyDescent="0.15">
      <c r="A327" t="str">
        <f t="shared" si="8"/>
        <v>【スギ】・【ヒノキ】・【サワラ】in豊明市</v>
      </c>
      <c r="B327" s="2" t="s">
        <v>115</v>
      </c>
      <c r="E327" t="s">
        <v>221</v>
      </c>
      <c r="F327">
        <v>5</v>
      </c>
      <c r="G327">
        <v>5</v>
      </c>
    </row>
    <row r="328" spans="1:7" x14ac:dyDescent="0.15">
      <c r="A328" t="str">
        <f t="shared" si="8"/>
        <v>【スギ】・【ヒノキ】・【サワラ】in豊川市</v>
      </c>
      <c r="B328" s="2" t="s">
        <v>114</v>
      </c>
      <c r="E328" t="s">
        <v>221</v>
      </c>
      <c r="F328">
        <v>5</v>
      </c>
      <c r="G328">
        <v>5</v>
      </c>
    </row>
    <row r="329" spans="1:7" x14ac:dyDescent="0.15">
      <c r="A329" t="str">
        <f t="shared" ref="A329:A335" si="9">E329&amp;"in"&amp;B329</f>
        <v>【スギ】・【ヒノキ】・【サワラ】in豊田市（旧豊田市）</v>
      </c>
      <c r="B329" t="s">
        <v>601</v>
      </c>
      <c r="E329" t="s">
        <v>221</v>
      </c>
      <c r="F329">
        <v>5</v>
      </c>
      <c r="G329">
        <v>5</v>
      </c>
    </row>
    <row r="330" spans="1:7" x14ac:dyDescent="0.15">
      <c r="A330" t="str">
        <f t="shared" si="9"/>
        <v>【スギ】・【ヒノキ】・【サワラ】in豊田市（旧藤岡町）</v>
      </c>
      <c r="B330" s="2" t="s">
        <v>602</v>
      </c>
      <c r="E330" t="s">
        <v>221</v>
      </c>
      <c r="F330">
        <v>5</v>
      </c>
      <c r="G330">
        <v>5</v>
      </c>
    </row>
    <row r="331" spans="1:7" x14ac:dyDescent="0.15">
      <c r="A331" t="str">
        <f t="shared" si="9"/>
        <v>【スギ】・【ヒノキ】・【サワラ】in豊田市（旧小原村）</v>
      </c>
      <c r="B331" t="s">
        <v>603</v>
      </c>
      <c r="E331" t="s">
        <v>221</v>
      </c>
      <c r="F331">
        <v>5</v>
      </c>
      <c r="G331">
        <v>5</v>
      </c>
    </row>
    <row r="332" spans="1:7" x14ac:dyDescent="0.15">
      <c r="A332" t="str">
        <f t="shared" si="9"/>
        <v>【スギ】・【ヒノキ】・【サワラ】in豊田市（旧足助町）</v>
      </c>
      <c r="B332" t="s">
        <v>604</v>
      </c>
      <c r="E332" t="s">
        <v>221</v>
      </c>
      <c r="F332">
        <v>5</v>
      </c>
      <c r="G332">
        <v>5</v>
      </c>
    </row>
    <row r="333" spans="1:7" x14ac:dyDescent="0.15">
      <c r="A333" t="str">
        <f t="shared" si="9"/>
        <v>【スギ】・【ヒノキ】・【サワラ】in豊田市（旧下山村）</v>
      </c>
      <c r="B333" t="s">
        <v>600</v>
      </c>
      <c r="E333" t="s">
        <v>221</v>
      </c>
      <c r="F333">
        <v>5</v>
      </c>
      <c r="G333">
        <v>5</v>
      </c>
    </row>
    <row r="334" spans="1:7" x14ac:dyDescent="0.15">
      <c r="A334" t="str">
        <f t="shared" si="9"/>
        <v>【スギ】・【ヒノキ】・【サワラ】in豊田市（旧旭町）</v>
      </c>
      <c r="B334" t="s">
        <v>605</v>
      </c>
      <c r="E334" t="s">
        <v>221</v>
      </c>
      <c r="F334">
        <v>5</v>
      </c>
      <c r="G334">
        <v>5</v>
      </c>
    </row>
    <row r="335" spans="1:7" x14ac:dyDescent="0.15">
      <c r="A335" t="str">
        <f t="shared" si="9"/>
        <v>【スギ】・【ヒノキ】・【サワラ】in豊田市（旧稲武町）</v>
      </c>
      <c r="B335" t="s">
        <v>606</v>
      </c>
      <c r="E335" t="s">
        <v>221</v>
      </c>
      <c r="F335">
        <v>5</v>
      </c>
      <c r="G335">
        <v>5</v>
      </c>
    </row>
    <row r="336" spans="1:7" x14ac:dyDescent="0.15">
      <c r="A336" t="str">
        <f t="shared" si="8"/>
        <v>【スギ】・【ヒノキ】・【サワラ】in豊根村</v>
      </c>
      <c r="B336" s="2" t="s">
        <v>112</v>
      </c>
      <c r="E336" t="s">
        <v>221</v>
      </c>
      <c r="F336">
        <v>5</v>
      </c>
      <c r="G336">
        <v>5</v>
      </c>
    </row>
    <row r="337" spans="1:7" x14ac:dyDescent="0.15">
      <c r="A337" t="str">
        <f t="shared" si="8"/>
        <v>【スギ】・【ヒノキ】・【サワラ】in豊橋市</v>
      </c>
      <c r="B337" s="2" t="s">
        <v>54</v>
      </c>
      <c r="E337" t="s">
        <v>221</v>
      </c>
      <c r="F337">
        <v>5</v>
      </c>
      <c r="G337">
        <v>5</v>
      </c>
    </row>
    <row r="338" spans="1:7" x14ac:dyDescent="0.15">
      <c r="A338" t="str">
        <f t="shared" si="8"/>
        <v>【スギ】・【ヒノキ】・【サワラ】in豊山町</v>
      </c>
      <c r="B338" s="2" t="s">
        <v>113</v>
      </c>
      <c r="E338" t="s">
        <v>221</v>
      </c>
      <c r="F338">
        <v>5</v>
      </c>
      <c r="G338">
        <v>5</v>
      </c>
    </row>
    <row r="339" spans="1:7" x14ac:dyDescent="0.15">
      <c r="A339" t="str">
        <f t="shared" si="8"/>
        <v>【スギ】・【ヒノキ】・【サワラ】in長久手市</v>
      </c>
      <c r="B339" s="2" t="s">
        <v>35</v>
      </c>
      <c r="E339" t="s">
        <v>221</v>
      </c>
      <c r="F339">
        <v>5</v>
      </c>
      <c r="G339">
        <v>5</v>
      </c>
    </row>
    <row r="340" spans="1:7" x14ac:dyDescent="0.15">
      <c r="A340" t="str">
        <f t="shared" si="8"/>
        <v>【スギ】・【ヒノキ】・【サワラ】in名古屋市</v>
      </c>
      <c r="B340" s="2" t="s">
        <v>58</v>
      </c>
      <c r="E340" t="s">
        <v>221</v>
      </c>
      <c r="F340">
        <v>5</v>
      </c>
      <c r="G340">
        <v>5</v>
      </c>
    </row>
    <row r="341" spans="1:7" x14ac:dyDescent="0.15">
      <c r="A341" t="str">
        <f t="shared" si="8"/>
        <v>【スギ】・【ヒノキ】・【サワラ】in西尾市</v>
      </c>
      <c r="B341" s="2" t="s">
        <v>104</v>
      </c>
      <c r="E341" t="s">
        <v>221</v>
      </c>
      <c r="F341">
        <v>5</v>
      </c>
      <c r="G341">
        <v>5</v>
      </c>
    </row>
    <row r="342" spans="1:7" x14ac:dyDescent="0.15">
      <c r="A342" t="str">
        <f t="shared" si="8"/>
        <v>【スギ】・【ヒノキ】・【サワラ】in日進市</v>
      </c>
      <c r="B342" s="2" t="s">
        <v>37</v>
      </c>
      <c r="E342" t="s">
        <v>221</v>
      </c>
      <c r="F342">
        <v>5</v>
      </c>
      <c r="G342">
        <v>5</v>
      </c>
    </row>
    <row r="343" spans="1:7" x14ac:dyDescent="0.15">
      <c r="A343" t="str">
        <f t="shared" si="8"/>
        <v>【スギ】・【ヒノキ】・【サワラ】in半田市</v>
      </c>
      <c r="B343" s="2" t="s">
        <v>51</v>
      </c>
      <c r="E343" t="s">
        <v>221</v>
      </c>
      <c r="F343">
        <v>5</v>
      </c>
      <c r="G343">
        <v>5</v>
      </c>
    </row>
    <row r="344" spans="1:7" x14ac:dyDescent="0.15">
      <c r="A344" t="str">
        <f t="shared" si="8"/>
        <v>【スギ】・【ヒノキ】・【サワラ】in東浦町</v>
      </c>
      <c r="B344" s="2" t="s">
        <v>48</v>
      </c>
      <c r="E344" t="s">
        <v>221</v>
      </c>
      <c r="F344">
        <v>5</v>
      </c>
      <c r="G344">
        <v>5</v>
      </c>
    </row>
    <row r="345" spans="1:7" x14ac:dyDescent="0.15">
      <c r="A345" t="str">
        <f t="shared" si="8"/>
        <v>【スギ】・【ヒノキ】・【サワラ】in美浜町</v>
      </c>
      <c r="B345" s="2" t="s">
        <v>52</v>
      </c>
      <c r="E345" t="s">
        <v>221</v>
      </c>
      <c r="F345">
        <v>5</v>
      </c>
      <c r="G345">
        <v>5</v>
      </c>
    </row>
    <row r="346" spans="1:7" x14ac:dyDescent="0.15">
      <c r="A346" t="str">
        <f t="shared" si="8"/>
        <v>【スギ】・【ヒノキ】・【サワラ】in扶桑町</v>
      </c>
      <c r="B346" s="2" t="s">
        <v>110</v>
      </c>
      <c r="E346" t="s">
        <v>221</v>
      </c>
      <c r="F346">
        <v>5</v>
      </c>
      <c r="G346">
        <v>5</v>
      </c>
    </row>
    <row r="347" spans="1:7" x14ac:dyDescent="0.15">
      <c r="A347" t="str">
        <f t="shared" si="8"/>
        <v>【スギ】・【ヒノキ】・【サワラ】in碧南市</v>
      </c>
      <c r="B347" s="2" t="s">
        <v>111</v>
      </c>
      <c r="E347" t="s">
        <v>221</v>
      </c>
      <c r="F347">
        <v>5</v>
      </c>
      <c r="G347">
        <v>5</v>
      </c>
    </row>
    <row r="348" spans="1:7" x14ac:dyDescent="0.15">
      <c r="A348" t="str">
        <f t="shared" si="8"/>
        <v>【スギ】・【ヒノキ】・【サワラ】in南知多町</v>
      </c>
      <c r="B348" s="2" t="s">
        <v>50</v>
      </c>
      <c r="E348" t="s">
        <v>221</v>
      </c>
      <c r="F348">
        <v>5</v>
      </c>
      <c r="G348">
        <v>5</v>
      </c>
    </row>
    <row r="349" spans="1:7" x14ac:dyDescent="0.15">
      <c r="A349" t="str">
        <f t="shared" si="8"/>
        <v>【スギ】・【ヒノキ】・【サワラ】inみよし市</v>
      </c>
      <c r="B349" s="2" t="s">
        <v>573</v>
      </c>
      <c r="E349" t="s">
        <v>221</v>
      </c>
      <c r="F349">
        <v>5</v>
      </c>
      <c r="G349">
        <v>5</v>
      </c>
    </row>
    <row r="350" spans="1:7" x14ac:dyDescent="0.15">
      <c r="A350" t="str">
        <f t="shared" si="8"/>
        <v>【スギ】・【ヒノキ】・【サワラ】in弥富市</v>
      </c>
      <c r="B350" s="2" t="s">
        <v>576</v>
      </c>
      <c r="E350" t="s">
        <v>221</v>
      </c>
      <c r="F350">
        <v>5</v>
      </c>
      <c r="G350">
        <v>5</v>
      </c>
    </row>
    <row r="351" spans="1:7" x14ac:dyDescent="0.15">
      <c r="A351" t="str">
        <f t="shared" si="8"/>
        <v>その他の広葉樹in愛西市</v>
      </c>
      <c r="B351" s="2" t="s">
        <v>96</v>
      </c>
      <c r="E351" t="s">
        <v>202</v>
      </c>
      <c r="F351">
        <v>20</v>
      </c>
      <c r="G351">
        <v>20</v>
      </c>
    </row>
    <row r="352" spans="1:7" x14ac:dyDescent="0.15">
      <c r="A352" t="str">
        <f t="shared" si="8"/>
        <v>その他の広葉樹in阿久比町</v>
      </c>
      <c r="B352" s="2" t="s">
        <v>65</v>
      </c>
      <c r="E352" t="s">
        <v>202</v>
      </c>
      <c r="F352">
        <v>20</v>
      </c>
      <c r="G352">
        <v>20</v>
      </c>
    </row>
    <row r="353" spans="1:7" x14ac:dyDescent="0.15">
      <c r="A353" t="str">
        <f t="shared" si="8"/>
        <v>その他の広葉樹inあま市</v>
      </c>
      <c r="B353" s="2" t="s">
        <v>95</v>
      </c>
      <c r="E353" t="s">
        <v>202</v>
      </c>
      <c r="F353">
        <v>20</v>
      </c>
      <c r="G353">
        <v>20</v>
      </c>
    </row>
    <row r="354" spans="1:7" x14ac:dyDescent="0.15">
      <c r="A354" t="str">
        <f t="shared" si="8"/>
        <v>その他の広葉樹in安城市</v>
      </c>
      <c r="B354" s="2" t="s">
        <v>55</v>
      </c>
      <c r="E354" t="s">
        <v>202</v>
      </c>
      <c r="F354">
        <v>20</v>
      </c>
      <c r="G354">
        <v>20</v>
      </c>
    </row>
    <row r="355" spans="1:7" x14ac:dyDescent="0.15">
      <c r="A355" t="str">
        <f t="shared" si="8"/>
        <v>その他の広葉樹in一宮市</v>
      </c>
      <c r="B355" s="2" t="s">
        <v>97</v>
      </c>
      <c r="E355" t="s">
        <v>202</v>
      </c>
      <c r="F355">
        <v>20</v>
      </c>
      <c r="G355">
        <v>20</v>
      </c>
    </row>
    <row r="356" spans="1:7" x14ac:dyDescent="0.15">
      <c r="A356" t="str">
        <f t="shared" si="8"/>
        <v>その他の広葉樹in稲沢市</v>
      </c>
      <c r="B356" s="2" t="s">
        <v>98</v>
      </c>
      <c r="E356" t="s">
        <v>202</v>
      </c>
      <c r="F356">
        <v>20</v>
      </c>
      <c r="G356">
        <v>20</v>
      </c>
    </row>
    <row r="357" spans="1:7" x14ac:dyDescent="0.15">
      <c r="A357" t="str">
        <f t="shared" si="8"/>
        <v>その他の広葉樹in犬山市</v>
      </c>
      <c r="B357" s="2" t="s">
        <v>57</v>
      </c>
      <c r="E357" t="s">
        <v>202</v>
      </c>
      <c r="F357">
        <v>20</v>
      </c>
      <c r="G357">
        <v>20</v>
      </c>
    </row>
    <row r="358" spans="1:7" x14ac:dyDescent="0.15">
      <c r="A358" t="str">
        <f t="shared" si="8"/>
        <v>その他の広葉樹in岩倉市</v>
      </c>
      <c r="B358" s="2" t="s">
        <v>101</v>
      </c>
      <c r="E358" t="s">
        <v>202</v>
      </c>
      <c r="F358">
        <v>20</v>
      </c>
      <c r="G358">
        <v>20</v>
      </c>
    </row>
    <row r="359" spans="1:7" x14ac:dyDescent="0.15">
      <c r="A359" t="str">
        <f t="shared" si="8"/>
        <v>その他の広葉樹in大口町</v>
      </c>
      <c r="B359" s="2" t="s">
        <v>41</v>
      </c>
      <c r="E359" t="s">
        <v>202</v>
      </c>
      <c r="F359">
        <v>20</v>
      </c>
      <c r="G359">
        <v>20</v>
      </c>
    </row>
    <row r="360" spans="1:7" x14ac:dyDescent="0.15">
      <c r="A360" t="str">
        <f t="shared" si="8"/>
        <v>その他の広葉樹in大治町</v>
      </c>
      <c r="B360" s="2" t="s">
        <v>106</v>
      </c>
      <c r="E360" t="s">
        <v>202</v>
      </c>
      <c r="F360">
        <v>20</v>
      </c>
      <c r="G360">
        <v>20</v>
      </c>
    </row>
    <row r="361" spans="1:7" x14ac:dyDescent="0.15">
      <c r="A361" t="str">
        <f t="shared" si="8"/>
        <v>その他の広葉樹in大府市</v>
      </c>
      <c r="B361" s="2" t="s">
        <v>43</v>
      </c>
      <c r="E361" t="s">
        <v>202</v>
      </c>
      <c r="F361">
        <v>20</v>
      </c>
      <c r="G361">
        <v>20</v>
      </c>
    </row>
    <row r="362" spans="1:7" x14ac:dyDescent="0.15">
      <c r="A362" t="str">
        <f t="shared" si="8"/>
        <v>その他の広葉樹in岡崎市</v>
      </c>
      <c r="B362" s="2" t="s">
        <v>5</v>
      </c>
      <c r="E362" t="s">
        <v>202</v>
      </c>
      <c r="F362">
        <v>20</v>
      </c>
      <c r="G362">
        <v>20</v>
      </c>
    </row>
    <row r="363" spans="1:7" x14ac:dyDescent="0.15">
      <c r="A363" t="str">
        <f t="shared" si="8"/>
        <v>その他の広葉樹in尾張旭市</v>
      </c>
      <c r="B363" s="2" t="s">
        <v>38</v>
      </c>
      <c r="E363" t="s">
        <v>202</v>
      </c>
      <c r="F363">
        <v>20</v>
      </c>
      <c r="G363">
        <v>20</v>
      </c>
    </row>
    <row r="364" spans="1:7" x14ac:dyDescent="0.15">
      <c r="A364" t="str">
        <f t="shared" si="8"/>
        <v>その他の広葉樹in春日井市</v>
      </c>
      <c r="B364" s="2" t="s">
        <v>40</v>
      </c>
      <c r="E364" t="s">
        <v>202</v>
      </c>
      <c r="F364">
        <v>20</v>
      </c>
      <c r="G364">
        <v>20</v>
      </c>
    </row>
    <row r="365" spans="1:7" x14ac:dyDescent="0.15">
      <c r="A365" t="str">
        <f t="shared" si="8"/>
        <v>その他の広葉樹in蟹江町</v>
      </c>
      <c r="B365" s="2" t="s">
        <v>99</v>
      </c>
      <c r="E365" t="s">
        <v>202</v>
      </c>
      <c r="F365">
        <v>20</v>
      </c>
      <c r="G365">
        <v>20</v>
      </c>
    </row>
    <row r="366" spans="1:7" x14ac:dyDescent="0.15">
      <c r="A366" t="str">
        <f t="shared" ref="A366:A435" si="10">E366&amp;"in"&amp;B366</f>
        <v>その他の広葉樹in蒲郡市</v>
      </c>
      <c r="B366" s="2" t="s">
        <v>44</v>
      </c>
      <c r="E366" t="s">
        <v>202</v>
      </c>
      <c r="F366">
        <v>20</v>
      </c>
      <c r="G366">
        <v>20</v>
      </c>
    </row>
    <row r="367" spans="1:7" x14ac:dyDescent="0.15">
      <c r="A367" t="str">
        <f t="shared" si="10"/>
        <v>その他の広葉樹in刈谷市</v>
      </c>
      <c r="B367" s="2" t="s">
        <v>100</v>
      </c>
      <c r="E367" t="s">
        <v>202</v>
      </c>
      <c r="F367">
        <v>20</v>
      </c>
      <c r="G367">
        <v>20</v>
      </c>
    </row>
    <row r="368" spans="1:7" x14ac:dyDescent="0.15">
      <c r="A368" t="str">
        <f t="shared" si="10"/>
        <v>その他の広葉樹in北名古屋市</v>
      </c>
      <c r="B368" s="2" t="s">
        <v>116</v>
      </c>
      <c r="E368" t="s">
        <v>202</v>
      </c>
      <c r="F368">
        <v>20</v>
      </c>
      <c r="G368">
        <v>20</v>
      </c>
    </row>
    <row r="369" spans="1:7" x14ac:dyDescent="0.15">
      <c r="A369" t="str">
        <f t="shared" si="10"/>
        <v>その他の広葉樹in清須市</v>
      </c>
      <c r="B369" s="2" t="s">
        <v>103</v>
      </c>
      <c r="E369" t="s">
        <v>202</v>
      </c>
      <c r="F369">
        <v>20</v>
      </c>
      <c r="G369">
        <v>20</v>
      </c>
    </row>
    <row r="370" spans="1:7" x14ac:dyDescent="0.15">
      <c r="A370" t="str">
        <f t="shared" si="10"/>
        <v>その他の広葉樹in幸田町</v>
      </c>
      <c r="B370" s="2" t="s">
        <v>33</v>
      </c>
      <c r="E370" t="s">
        <v>202</v>
      </c>
      <c r="F370">
        <v>20</v>
      </c>
      <c r="G370">
        <v>20</v>
      </c>
    </row>
    <row r="371" spans="1:7" x14ac:dyDescent="0.15">
      <c r="A371" t="str">
        <f t="shared" si="10"/>
        <v>その他の広葉樹in江南市</v>
      </c>
      <c r="B371" s="2" t="s">
        <v>102</v>
      </c>
      <c r="E371" t="s">
        <v>202</v>
      </c>
      <c r="F371">
        <v>20</v>
      </c>
      <c r="G371">
        <v>20</v>
      </c>
    </row>
    <row r="372" spans="1:7" x14ac:dyDescent="0.15">
      <c r="A372" t="str">
        <f t="shared" si="10"/>
        <v>その他の広葉樹in小牧市</v>
      </c>
      <c r="B372" s="2" t="s">
        <v>42</v>
      </c>
      <c r="E372" t="s">
        <v>202</v>
      </c>
      <c r="F372">
        <v>20</v>
      </c>
      <c r="G372">
        <v>20</v>
      </c>
    </row>
    <row r="373" spans="1:7" x14ac:dyDescent="0.15">
      <c r="A373" t="str">
        <f t="shared" si="10"/>
        <v>その他の広葉樹in設楽町</v>
      </c>
      <c r="B373" s="2" t="s">
        <v>105</v>
      </c>
      <c r="E373" t="s">
        <v>202</v>
      </c>
      <c r="F373">
        <v>20</v>
      </c>
      <c r="G373">
        <v>20</v>
      </c>
    </row>
    <row r="374" spans="1:7" x14ac:dyDescent="0.15">
      <c r="A374" t="str">
        <f t="shared" si="10"/>
        <v>その他の広葉樹in新城市</v>
      </c>
      <c r="B374" s="2" t="s">
        <v>6</v>
      </c>
      <c r="E374" t="s">
        <v>202</v>
      </c>
      <c r="F374">
        <v>20</v>
      </c>
      <c r="G374">
        <v>20</v>
      </c>
    </row>
    <row r="375" spans="1:7" x14ac:dyDescent="0.15">
      <c r="A375" t="str">
        <f t="shared" si="10"/>
        <v>その他の広葉樹in瀬戸市</v>
      </c>
      <c r="B375" s="2" t="s">
        <v>34</v>
      </c>
      <c r="E375" t="s">
        <v>202</v>
      </c>
      <c r="F375">
        <v>20</v>
      </c>
      <c r="G375">
        <v>20</v>
      </c>
    </row>
    <row r="376" spans="1:7" x14ac:dyDescent="0.15">
      <c r="A376" t="str">
        <f t="shared" si="10"/>
        <v>その他の広葉樹in高浜市</v>
      </c>
      <c r="B376" s="2" t="s">
        <v>56</v>
      </c>
      <c r="E376" t="s">
        <v>202</v>
      </c>
      <c r="F376">
        <v>20</v>
      </c>
      <c r="G376">
        <v>20</v>
      </c>
    </row>
    <row r="377" spans="1:7" x14ac:dyDescent="0.15">
      <c r="A377" t="str">
        <f t="shared" si="10"/>
        <v>その他の広葉樹in武豊町</v>
      </c>
      <c r="B377" s="2" t="s">
        <v>169</v>
      </c>
      <c r="E377" t="s">
        <v>202</v>
      </c>
      <c r="F377">
        <v>20</v>
      </c>
      <c r="G377">
        <v>20</v>
      </c>
    </row>
    <row r="378" spans="1:7" x14ac:dyDescent="0.15">
      <c r="A378" t="str">
        <f t="shared" si="10"/>
        <v>その他の広葉樹in田原市</v>
      </c>
      <c r="B378" s="2" t="s">
        <v>47</v>
      </c>
      <c r="E378" t="s">
        <v>202</v>
      </c>
      <c r="F378">
        <v>20</v>
      </c>
      <c r="G378">
        <v>20</v>
      </c>
    </row>
    <row r="379" spans="1:7" x14ac:dyDescent="0.15">
      <c r="A379" t="str">
        <f t="shared" si="10"/>
        <v>その他の広葉樹in知多市</v>
      </c>
      <c r="B379" s="2" t="s">
        <v>46</v>
      </c>
      <c r="E379" t="s">
        <v>202</v>
      </c>
      <c r="F379">
        <v>20</v>
      </c>
      <c r="G379">
        <v>20</v>
      </c>
    </row>
    <row r="380" spans="1:7" x14ac:dyDescent="0.15">
      <c r="A380" t="str">
        <f t="shared" si="10"/>
        <v>その他の広葉樹in知立市</v>
      </c>
      <c r="B380" s="2" t="s">
        <v>107</v>
      </c>
      <c r="E380" t="s">
        <v>202</v>
      </c>
      <c r="F380">
        <v>20</v>
      </c>
      <c r="G380">
        <v>20</v>
      </c>
    </row>
    <row r="381" spans="1:7" x14ac:dyDescent="0.15">
      <c r="A381" t="str">
        <f t="shared" si="10"/>
        <v>その他の広葉樹in津島市</v>
      </c>
      <c r="B381" s="2" t="s">
        <v>108</v>
      </c>
      <c r="E381" t="s">
        <v>202</v>
      </c>
      <c r="F381">
        <v>20</v>
      </c>
      <c r="G381">
        <v>20</v>
      </c>
    </row>
    <row r="382" spans="1:7" x14ac:dyDescent="0.15">
      <c r="A382" t="str">
        <f t="shared" si="10"/>
        <v>その他の広葉樹in東栄町</v>
      </c>
      <c r="B382" s="2" t="s">
        <v>39</v>
      </c>
      <c r="E382" t="s">
        <v>202</v>
      </c>
      <c r="F382">
        <v>20</v>
      </c>
      <c r="G382">
        <v>20</v>
      </c>
    </row>
    <row r="383" spans="1:7" x14ac:dyDescent="0.15">
      <c r="A383" t="str">
        <f t="shared" si="10"/>
        <v>その他の広葉樹in東海市</v>
      </c>
      <c r="B383" s="2" t="s">
        <v>49</v>
      </c>
      <c r="E383" t="s">
        <v>202</v>
      </c>
      <c r="F383">
        <v>20</v>
      </c>
      <c r="G383">
        <v>20</v>
      </c>
    </row>
    <row r="384" spans="1:7" x14ac:dyDescent="0.15">
      <c r="A384" t="str">
        <f t="shared" si="10"/>
        <v>その他の広葉樹in東郷町</v>
      </c>
      <c r="B384" s="2" t="s">
        <v>36</v>
      </c>
      <c r="E384" t="s">
        <v>202</v>
      </c>
      <c r="F384">
        <v>20</v>
      </c>
      <c r="G384">
        <v>20</v>
      </c>
    </row>
    <row r="385" spans="1:7" x14ac:dyDescent="0.15">
      <c r="A385" t="str">
        <f t="shared" si="10"/>
        <v>その他の広葉樹in常滑市</v>
      </c>
      <c r="B385" s="2" t="s">
        <v>45</v>
      </c>
      <c r="E385" t="s">
        <v>202</v>
      </c>
      <c r="F385">
        <v>20</v>
      </c>
      <c r="G385">
        <v>20</v>
      </c>
    </row>
    <row r="386" spans="1:7" x14ac:dyDescent="0.15">
      <c r="A386" t="str">
        <f t="shared" si="10"/>
        <v>その他の広葉樹in飛島村</v>
      </c>
      <c r="B386" s="2" t="s">
        <v>109</v>
      </c>
      <c r="E386" t="s">
        <v>202</v>
      </c>
      <c r="F386">
        <v>20</v>
      </c>
      <c r="G386">
        <v>20</v>
      </c>
    </row>
    <row r="387" spans="1:7" x14ac:dyDescent="0.15">
      <c r="A387" t="str">
        <f t="shared" si="10"/>
        <v>その他の広葉樹in豊明市</v>
      </c>
      <c r="B387" s="2" t="s">
        <v>115</v>
      </c>
      <c r="E387" t="s">
        <v>202</v>
      </c>
      <c r="F387">
        <v>20</v>
      </c>
      <c r="G387">
        <v>20</v>
      </c>
    </row>
    <row r="388" spans="1:7" x14ac:dyDescent="0.15">
      <c r="A388" t="str">
        <f t="shared" si="10"/>
        <v>その他の広葉樹in豊川市</v>
      </c>
      <c r="B388" s="2" t="s">
        <v>114</v>
      </c>
      <c r="E388" t="s">
        <v>202</v>
      </c>
      <c r="F388">
        <v>20</v>
      </c>
      <c r="G388">
        <v>20</v>
      </c>
    </row>
    <row r="389" spans="1:7" x14ac:dyDescent="0.15">
      <c r="A389" t="str">
        <f t="shared" ref="A389:A395" si="11">E389&amp;"in"&amp;B389</f>
        <v>その他の広葉樹in豊田市（旧豊田市）</v>
      </c>
      <c r="B389" t="s">
        <v>601</v>
      </c>
      <c r="E389" t="s">
        <v>202</v>
      </c>
      <c r="F389">
        <v>20</v>
      </c>
      <c r="G389">
        <v>20</v>
      </c>
    </row>
    <row r="390" spans="1:7" x14ac:dyDescent="0.15">
      <c r="A390" t="str">
        <f t="shared" si="11"/>
        <v>その他の広葉樹in豊田市（旧藤岡町）</v>
      </c>
      <c r="B390" s="2" t="s">
        <v>602</v>
      </c>
      <c r="E390" t="s">
        <v>202</v>
      </c>
      <c r="F390">
        <v>20</v>
      </c>
      <c r="G390">
        <v>20</v>
      </c>
    </row>
    <row r="391" spans="1:7" x14ac:dyDescent="0.15">
      <c r="A391" t="str">
        <f t="shared" si="11"/>
        <v>その他の広葉樹in豊田市（旧小原村）</v>
      </c>
      <c r="B391" t="s">
        <v>603</v>
      </c>
      <c r="E391" t="s">
        <v>202</v>
      </c>
      <c r="F391">
        <v>20</v>
      </c>
      <c r="G391">
        <v>20</v>
      </c>
    </row>
    <row r="392" spans="1:7" x14ac:dyDescent="0.15">
      <c r="A392" t="str">
        <f t="shared" si="11"/>
        <v>その他の広葉樹in豊田市（旧足助町）</v>
      </c>
      <c r="B392" t="s">
        <v>604</v>
      </c>
      <c r="E392" t="s">
        <v>202</v>
      </c>
      <c r="F392">
        <v>20</v>
      </c>
      <c r="G392">
        <v>20</v>
      </c>
    </row>
    <row r="393" spans="1:7" x14ac:dyDescent="0.15">
      <c r="A393" t="str">
        <f t="shared" si="11"/>
        <v>その他の広葉樹in豊田市（旧下山村）</v>
      </c>
      <c r="B393" t="s">
        <v>600</v>
      </c>
      <c r="E393" t="s">
        <v>202</v>
      </c>
      <c r="F393">
        <v>20</v>
      </c>
      <c r="G393">
        <v>20</v>
      </c>
    </row>
    <row r="394" spans="1:7" x14ac:dyDescent="0.15">
      <c r="A394" t="str">
        <f t="shared" si="11"/>
        <v>その他の広葉樹in豊田市（旧旭町）</v>
      </c>
      <c r="B394" t="s">
        <v>605</v>
      </c>
      <c r="E394" t="s">
        <v>202</v>
      </c>
      <c r="F394">
        <v>20</v>
      </c>
      <c r="G394">
        <v>20</v>
      </c>
    </row>
    <row r="395" spans="1:7" x14ac:dyDescent="0.15">
      <c r="A395" t="str">
        <f t="shared" si="11"/>
        <v>その他の広葉樹in豊田市（旧稲武町）</v>
      </c>
      <c r="B395" t="s">
        <v>606</v>
      </c>
      <c r="E395" t="s">
        <v>202</v>
      </c>
      <c r="F395">
        <v>20</v>
      </c>
      <c r="G395">
        <v>20</v>
      </c>
    </row>
    <row r="396" spans="1:7" x14ac:dyDescent="0.15">
      <c r="A396" t="str">
        <f t="shared" si="10"/>
        <v>その他の広葉樹in豊根村</v>
      </c>
      <c r="B396" s="2" t="s">
        <v>112</v>
      </c>
      <c r="E396" t="s">
        <v>202</v>
      </c>
      <c r="F396">
        <v>20</v>
      </c>
      <c r="G396">
        <v>20</v>
      </c>
    </row>
    <row r="397" spans="1:7" x14ac:dyDescent="0.15">
      <c r="A397" t="str">
        <f t="shared" si="10"/>
        <v>その他の広葉樹in豊橋市</v>
      </c>
      <c r="B397" s="2" t="s">
        <v>54</v>
      </c>
      <c r="E397" t="s">
        <v>202</v>
      </c>
      <c r="F397">
        <v>20</v>
      </c>
      <c r="G397">
        <v>20</v>
      </c>
    </row>
    <row r="398" spans="1:7" x14ac:dyDescent="0.15">
      <c r="A398" t="str">
        <f t="shared" si="10"/>
        <v>その他の広葉樹in豊山町</v>
      </c>
      <c r="B398" s="2" t="s">
        <v>113</v>
      </c>
      <c r="E398" t="s">
        <v>202</v>
      </c>
      <c r="F398">
        <v>20</v>
      </c>
      <c r="G398">
        <v>20</v>
      </c>
    </row>
    <row r="399" spans="1:7" x14ac:dyDescent="0.15">
      <c r="A399" t="str">
        <f t="shared" si="10"/>
        <v>その他の広葉樹in長久手市</v>
      </c>
      <c r="B399" s="2" t="s">
        <v>35</v>
      </c>
      <c r="E399" t="s">
        <v>202</v>
      </c>
      <c r="F399">
        <v>20</v>
      </c>
      <c r="G399">
        <v>20</v>
      </c>
    </row>
    <row r="400" spans="1:7" x14ac:dyDescent="0.15">
      <c r="A400" t="str">
        <f t="shared" si="10"/>
        <v>その他の広葉樹in名古屋市</v>
      </c>
      <c r="B400" s="2" t="s">
        <v>58</v>
      </c>
      <c r="E400" t="s">
        <v>202</v>
      </c>
      <c r="F400">
        <v>20</v>
      </c>
      <c r="G400">
        <v>20</v>
      </c>
    </row>
    <row r="401" spans="1:7" x14ac:dyDescent="0.15">
      <c r="A401" t="str">
        <f t="shared" si="10"/>
        <v>その他の広葉樹in西尾市</v>
      </c>
      <c r="B401" s="2" t="s">
        <v>104</v>
      </c>
      <c r="E401" t="s">
        <v>202</v>
      </c>
      <c r="F401">
        <v>20</v>
      </c>
      <c r="G401">
        <v>20</v>
      </c>
    </row>
    <row r="402" spans="1:7" x14ac:dyDescent="0.15">
      <c r="A402" t="str">
        <f t="shared" si="10"/>
        <v>その他の広葉樹in日進市</v>
      </c>
      <c r="B402" s="2" t="s">
        <v>37</v>
      </c>
      <c r="E402" t="s">
        <v>202</v>
      </c>
      <c r="F402">
        <v>20</v>
      </c>
      <c r="G402">
        <v>20</v>
      </c>
    </row>
    <row r="403" spans="1:7" x14ac:dyDescent="0.15">
      <c r="A403" t="str">
        <f t="shared" si="10"/>
        <v>その他の広葉樹in半田市</v>
      </c>
      <c r="B403" s="2" t="s">
        <v>51</v>
      </c>
      <c r="E403" t="s">
        <v>202</v>
      </c>
      <c r="F403">
        <v>20</v>
      </c>
      <c r="G403">
        <v>20</v>
      </c>
    </row>
    <row r="404" spans="1:7" x14ac:dyDescent="0.15">
      <c r="A404" t="str">
        <f t="shared" si="10"/>
        <v>その他の広葉樹in東浦町</v>
      </c>
      <c r="B404" s="2" t="s">
        <v>48</v>
      </c>
      <c r="E404" t="s">
        <v>202</v>
      </c>
      <c r="F404">
        <v>20</v>
      </c>
      <c r="G404">
        <v>20</v>
      </c>
    </row>
    <row r="405" spans="1:7" x14ac:dyDescent="0.15">
      <c r="A405" t="str">
        <f t="shared" si="10"/>
        <v>その他の広葉樹in美浜町</v>
      </c>
      <c r="B405" s="2" t="s">
        <v>52</v>
      </c>
      <c r="E405" t="s">
        <v>202</v>
      </c>
      <c r="F405">
        <v>20</v>
      </c>
      <c r="G405">
        <v>20</v>
      </c>
    </row>
    <row r="406" spans="1:7" x14ac:dyDescent="0.15">
      <c r="A406" t="str">
        <f t="shared" si="10"/>
        <v>その他の広葉樹in扶桑町</v>
      </c>
      <c r="B406" s="2" t="s">
        <v>110</v>
      </c>
      <c r="E406" t="s">
        <v>202</v>
      </c>
      <c r="F406">
        <v>20</v>
      </c>
      <c r="G406">
        <v>20</v>
      </c>
    </row>
    <row r="407" spans="1:7" x14ac:dyDescent="0.15">
      <c r="A407" t="str">
        <f t="shared" si="10"/>
        <v>その他の広葉樹in碧南市</v>
      </c>
      <c r="B407" s="2" t="s">
        <v>111</v>
      </c>
      <c r="E407" t="s">
        <v>202</v>
      </c>
      <c r="F407">
        <v>20</v>
      </c>
      <c r="G407">
        <v>20</v>
      </c>
    </row>
    <row r="408" spans="1:7" x14ac:dyDescent="0.15">
      <c r="A408" t="str">
        <f t="shared" si="10"/>
        <v>その他の広葉樹in南知多町</v>
      </c>
      <c r="B408" s="2" t="s">
        <v>50</v>
      </c>
      <c r="E408" t="s">
        <v>202</v>
      </c>
      <c r="F408">
        <v>20</v>
      </c>
      <c r="G408">
        <v>20</v>
      </c>
    </row>
    <row r="409" spans="1:7" x14ac:dyDescent="0.15">
      <c r="A409" t="str">
        <f t="shared" si="10"/>
        <v>その他の広葉樹inみよし市</v>
      </c>
      <c r="B409" s="2" t="s">
        <v>573</v>
      </c>
      <c r="E409" t="s">
        <v>202</v>
      </c>
      <c r="F409">
        <v>20</v>
      </c>
      <c r="G409">
        <v>20</v>
      </c>
    </row>
    <row r="410" spans="1:7" x14ac:dyDescent="0.15">
      <c r="A410" t="str">
        <f t="shared" si="10"/>
        <v>その他の広葉樹in弥富市</v>
      </c>
      <c r="B410" s="2" t="s">
        <v>576</v>
      </c>
      <c r="E410" t="s">
        <v>202</v>
      </c>
      <c r="F410">
        <v>20</v>
      </c>
      <c r="G410">
        <v>20</v>
      </c>
    </row>
    <row r="411" spans="1:7" x14ac:dyDescent="0.15">
      <c r="A411" t="str">
        <f t="shared" si="10"/>
        <v>その他の針葉樹in愛西市</v>
      </c>
      <c r="B411" s="2" t="s">
        <v>96</v>
      </c>
      <c r="E411" t="s">
        <v>203</v>
      </c>
      <c r="F411">
        <v>5</v>
      </c>
      <c r="G411">
        <v>5</v>
      </c>
    </row>
    <row r="412" spans="1:7" x14ac:dyDescent="0.15">
      <c r="A412" t="str">
        <f t="shared" si="10"/>
        <v>その他の針葉樹in阿久比町</v>
      </c>
      <c r="B412" s="2" t="s">
        <v>65</v>
      </c>
      <c r="E412" t="s">
        <v>203</v>
      </c>
      <c r="F412">
        <v>5</v>
      </c>
      <c r="G412">
        <v>5</v>
      </c>
    </row>
    <row r="413" spans="1:7" x14ac:dyDescent="0.15">
      <c r="A413" t="str">
        <f t="shared" si="10"/>
        <v>その他の針葉樹inあま市</v>
      </c>
      <c r="B413" s="2" t="s">
        <v>95</v>
      </c>
      <c r="E413" t="s">
        <v>203</v>
      </c>
      <c r="F413">
        <v>5</v>
      </c>
      <c r="G413">
        <v>5</v>
      </c>
    </row>
    <row r="414" spans="1:7" x14ac:dyDescent="0.15">
      <c r="A414" t="str">
        <f t="shared" si="10"/>
        <v>その他の針葉樹in安城市</v>
      </c>
      <c r="B414" s="2" t="s">
        <v>55</v>
      </c>
      <c r="E414" t="s">
        <v>203</v>
      </c>
      <c r="F414">
        <v>5</v>
      </c>
      <c r="G414">
        <v>5</v>
      </c>
    </row>
    <row r="415" spans="1:7" x14ac:dyDescent="0.15">
      <c r="A415" t="str">
        <f t="shared" si="10"/>
        <v>その他の針葉樹in一宮市</v>
      </c>
      <c r="B415" s="2" t="s">
        <v>97</v>
      </c>
      <c r="E415" t="s">
        <v>203</v>
      </c>
      <c r="F415">
        <v>5</v>
      </c>
      <c r="G415">
        <v>5</v>
      </c>
    </row>
    <row r="416" spans="1:7" x14ac:dyDescent="0.15">
      <c r="A416" t="str">
        <f t="shared" si="10"/>
        <v>その他の針葉樹in稲沢市</v>
      </c>
      <c r="B416" s="2" t="s">
        <v>98</v>
      </c>
      <c r="E416" t="s">
        <v>203</v>
      </c>
      <c r="F416">
        <v>5</v>
      </c>
      <c r="G416">
        <v>5</v>
      </c>
    </row>
    <row r="417" spans="1:7" x14ac:dyDescent="0.15">
      <c r="A417" t="str">
        <f t="shared" si="10"/>
        <v>その他の針葉樹in犬山市</v>
      </c>
      <c r="B417" s="2" t="s">
        <v>57</v>
      </c>
      <c r="E417" t="s">
        <v>203</v>
      </c>
      <c r="F417">
        <v>5</v>
      </c>
      <c r="G417">
        <v>5</v>
      </c>
    </row>
    <row r="418" spans="1:7" x14ac:dyDescent="0.15">
      <c r="A418" t="str">
        <f t="shared" si="10"/>
        <v>その他の針葉樹in岩倉市</v>
      </c>
      <c r="B418" s="2" t="s">
        <v>101</v>
      </c>
      <c r="E418" t="s">
        <v>203</v>
      </c>
      <c r="F418">
        <v>5</v>
      </c>
      <c r="G418">
        <v>5</v>
      </c>
    </row>
    <row r="419" spans="1:7" x14ac:dyDescent="0.15">
      <c r="A419" t="str">
        <f t="shared" si="10"/>
        <v>その他の針葉樹in大口町</v>
      </c>
      <c r="B419" s="2" t="s">
        <v>41</v>
      </c>
      <c r="E419" t="s">
        <v>203</v>
      </c>
      <c r="F419">
        <v>5</v>
      </c>
      <c r="G419">
        <v>5</v>
      </c>
    </row>
    <row r="420" spans="1:7" x14ac:dyDescent="0.15">
      <c r="A420" t="str">
        <f t="shared" si="10"/>
        <v>その他の針葉樹in大治町</v>
      </c>
      <c r="B420" s="2" t="s">
        <v>106</v>
      </c>
      <c r="E420" t="s">
        <v>203</v>
      </c>
      <c r="F420">
        <v>5</v>
      </c>
      <c r="G420">
        <v>5</v>
      </c>
    </row>
    <row r="421" spans="1:7" x14ac:dyDescent="0.15">
      <c r="A421" t="str">
        <f t="shared" si="10"/>
        <v>その他の針葉樹in大府市</v>
      </c>
      <c r="B421" s="2" t="s">
        <v>43</v>
      </c>
      <c r="E421" t="s">
        <v>203</v>
      </c>
      <c r="F421">
        <v>5</v>
      </c>
      <c r="G421">
        <v>5</v>
      </c>
    </row>
    <row r="422" spans="1:7" x14ac:dyDescent="0.15">
      <c r="A422" t="str">
        <f t="shared" si="10"/>
        <v>その他の針葉樹in岡崎市</v>
      </c>
      <c r="B422" s="2" t="s">
        <v>5</v>
      </c>
      <c r="E422" t="s">
        <v>203</v>
      </c>
      <c r="F422">
        <v>5</v>
      </c>
      <c r="G422">
        <v>5</v>
      </c>
    </row>
    <row r="423" spans="1:7" x14ac:dyDescent="0.15">
      <c r="A423" t="str">
        <f t="shared" si="10"/>
        <v>その他の針葉樹in尾張旭市</v>
      </c>
      <c r="B423" s="2" t="s">
        <v>38</v>
      </c>
      <c r="E423" t="s">
        <v>203</v>
      </c>
      <c r="F423">
        <v>5</v>
      </c>
      <c r="G423">
        <v>5</v>
      </c>
    </row>
    <row r="424" spans="1:7" x14ac:dyDescent="0.15">
      <c r="A424" t="str">
        <f t="shared" si="10"/>
        <v>その他の針葉樹in春日井市</v>
      </c>
      <c r="B424" s="2" t="s">
        <v>40</v>
      </c>
      <c r="E424" t="s">
        <v>203</v>
      </c>
      <c r="F424">
        <v>5</v>
      </c>
      <c r="G424">
        <v>5</v>
      </c>
    </row>
    <row r="425" spans="1:7" x14ac:dyDescent="0.15">
      <c r="A425" t="str">
        <f t="shared" si="10"/>
        <v>その他の針葉樹in蟹江町</v>
      </c>
      <c r="B425" s="2" t="s">
        <v>99</v>
      </c>
      <c r="E425" t="s">
        <v>203</v>
      </c>
      <c r="F425">
        <v>5</v>
      </c>
      <c r="G425">
        <v>5</v>
      </c>
    </row>
    <row r="426" spans="1:7" x14ac:dyDescent="0.15">
      <c r="A426" t="str">
        <f t="shared" si="10"/>
        <v>その他の針葉樹in蒲郡市</v>
      </c>
      <c r="B426" s="2" t="s">
        <v>44</v>
      </c>
      <c r="E426" t="s">
        <v>203</v>
      </c>
      <c r="F426">
        <v>5</v>
      </c>
      <c r="G426">
        <v>5</v>
      </c>
    </row>
    <row r="427" spans="1:7" x14ac:dyDescent="0.15">
      <c r="A427" t="str">
        <f t="shared" si="10"/>
        <v>その他の針葉樹in刈谷市</v>
      </c>
      <c r="B427" s="2" t="s">
        <v>100</v>
      </c>
      <c r="E427" t="s">
        <v>203</v>
      </c>
      <c r="F427">
        <v>5</v>
      </c>
      <c r="G427">
        <v>5</v>
      </c>
    </row>
    <row r="428" spans="1:7" x14ac:dyDescent="0.15">
      <c r="A428" t="str">
        <f t="shared" si="10"/>
        <v>その他の針葉樹in北名古屋市</v>
      </c>
      <c r="B428" s="2" t="s">
        <v>116</v>
      </c>
      <c r="E428" t="s">
        <v>203</v>
      </c>
      <c r="F428">
        <v>5</v>
      </c>
      <c r="G428">
        <v>5</v>
      </c>
    </row>
    <row r="429" spans="1:7" x14ac:dyDescent="0.15">
      <c r="A429" t="str">
        <f t="shared" si="10"/>
        <v>その他の針葉樹in清須市</v>
      </c>
      <c r="B429" s="2" t="s">
        <v>103</v>
      </c>
      <c r="E429" t="s">
        <v>203</v>
      </c>
      <c r="F429">
        <v>5</v>
      </c>
      <c r="G429">
        <v>5</v>
      </c>
    </row>
    <row r="430" spans="1:7" x14ac:dyDescent="0.15">
      <c r="A430" t="str">
        <f t="shared" si="10"/>
        <v>その他の針葉樹in幸田町</v>
      </c>
      <c r="B430" s="2" t="s">
        <v>33</v>
      </c>
      <c r="E430" t="s">
        <v>203</v>
      </c>
      <c r="F430">
        <v>5</v>
      </c>
      <c r="G430">
        <v>5</v>
      </c>
    </row>
    <row r="431" spans="1:7" x14ac:dyDescent="0.15">
      <c r="A431" t="str">
        <f t="shared" si="10"/>
        <v>その他の針葉樹in江南市</v>
      </c>
      <c r="B431" s="2" t="s">
        <v>102</v>
      </c>
      <c r="E431" t="s">
        <v>203</v>
      </c>
      <c r="F431">
        <v>5</v>
      </c>
      <c r="G431">
        <v>5</v>
      </c>
    </row>
    <row r="432" spans="1:7" x14ac:dyDescent="0.15">
      <c r="A432" t="str">
        <f t="shared" si="10"/>
        <v>その他の針葉樹in小牧市</v>
      </c>
      <c r="B432" s="2" t="s">
        <v>42</v>
      </c>
      <c r="E432" t="s">
        <v>203</v>
      </c>
      <c r="F432">
        <v>5</v>
      </c>
      <c r="G432">
        <v>5</v>
      </c>
    </row>
    <row r="433" spans="1:7" x14ac:dyDescent="0.15">
      <c r="A433" t="str">
        <f t="shared" si="10"/>
        <v>その他の針葉樹in設楽町</v>
      </c>
      <c r="B433" s="2" t="s">
        <v>105</v>
      </c>
      <c r="E433" t="s">
        <v>203</v>
      </c>
      <c r="F433">
        <v>5</v>
      </c>
      <c r="G433">
        <v>5</v>
      </c>
    </row>
    <row r="434" spans="1:7" x14ac:dyDescent="0.15">
      <c r="A434" t="str">
        <f t="shared" si="10"/>
        <v>その他の針葉樹in新城市</v>
      </c>
      <c r="B434" s="2" t="s">
        <v>6</v>
      </c>
      <c r="E434" t="s">
        <v>203</v>
      </c>
      <c r="F434">
        <v>5</v>
      </c>
      <c r="G434">
        <v>5</v>
      </c>
    </row>
    <row r="435" spans="1:7" x14ac:dyDescent="0.15">
      <c r="A435" t="str">
        <f t="shared" si="10"/>
        <v>その他の針葉樹in瀬戸市</v>
      </c>
      <c r="B435" s="2" t="s">
        <v>34</v>
      </c>
      <c r="E435" t="s">
        <v>203</v>
      </c>
      <c r="F435">
        <v>5</v>
      </c>
      <c r="G435">
        <v>5</v>
      </c>
    </row>
    <row r="436" spans="1:7" x14ac:dyDescent="0.15">
      <c r="A436" t="str">
        <f t="shared" ref="A436:A499" si="12">E436&amp;"in"&amp;B436</f>
        <v>その他の針葉樹in高浜市</v>
      </c>
      <c r="B436" s="2" t="s">
        <v>56</v>
      </c>
      <c r="E436" t="s">
        <v>203</v>
      </c>
      <c r="F436">
        <v>5</v>
      </c>
      <c r="G436">
        <v>5</v>
      </c>
    </row>
    <row r="437" spans="1:7" x14ac:dyDescent="0.15">
      <c r="A437" t="str">
        <f t="shared" si="12"/>
        <v>その他の針葉樹in武豊町</v>
      </c>
      <c r="B437" s="2" t="s">
        <v>169</v>
      </c>
      <c r="E437" t="s">
        <v>203</v>
      </c>
      <c r="F437">
        <v>5</v>
      </c>
      <c r="G437">
        <v>5</v>
      </c>
    </row>
    <row r="438" spans="1:7" x14ac:dyDescent="0.15">
      <c r="A438" t="str">
        <f t="shared" si="12"/>
        <v>その他の針葉樹in田原市</v>
      </c>
      <c r="B438" s="2" t="s">
        <v>47</v>
      </c>
      <c r="E438" t="s">
        <v>203</v>
      </c>
      <c r="F438">
        <v>5</v>
      </c>
      <c r="G438">
        <v>5</v>
      </c>
    </row>
    <row r="439" spans="1:7" x14ac:dyDescent="0.15">
      <c r="A439" t="str">
        <f t="shared" si="12"/>
        <v>その他の針葉樹in知多市</v>
      </c>
      <c r="B439" s="2" t="s">
        <v>46</v>
      </c>
      <c r="E439" t="s">
        <v>203</v>
      </c>
      <c r="F439">
        <v>5</v>
      </c>
      <c r="G439">
        <v>5</v>
      </c>
    </row>
    <row r="440" spans="1:7" x14ac:dyDescent="0.15">
      <c r="A440" t="str">
        <f t="shared" si="12"/>
        <v>その他の針葉樹in知立市</v>
      </c>
      <c r="B440" s="2" t="s">
        <v>107</v>
      </c>
      <c r="E440" t="s">
        <v>203</v>
      </c>
      <c r="F440">
        <v>5</v>
      </c>
      <c r="G440">
        <v>5</v>
      </c>
    </row>
    <row r="441" spans="1:7" x14ac:dyDescent="0.15">
      <c r="A441" t="str">
        <f t="shared" si="12"/>
        <v>その他の針葉樹in津島市</v>
      </c>
      <c r="B441" s="2" t="s">
        <v>108</v>
      </c>
      <c r="E441" t="s">
        <v>203</v>
      </c>
      <c r="F441">
        <v>5</v>
      </c>
      <c r="G441">
        <v>5</v>
      </c>
    </row>
    <row r="442" spans="1:7" x14ac:dyDescent="0.15">
      <c r="A442" t="str">
        <f t="shared" si="12"/>
        <v>その他の針葉樹in東栄町</v>
      </c>
      <c r="B442" s="2" t="s">
        <v>39</v>
      </c>
      <c r="E442" t="s">
        <v>203</v>
      </c>
      <c r="F442">
        <v>5</v>
      </c>
      <c r="G442">
        <v>5</v>
      </c>
    </row>
    <row r="443" spans="1:7" x14ac:dyDescent="0.15">
      <c r="A443" t="str">
        <f t="shared" si="12"/>
        <v>その他の針葉樹in東海市</v>
      </c>
      <c r="B443" s="2" t="s">
        <v>49</v>
      </c>
      <c r="E443" t="s">
        <v>203</v>
      </c>
      <c r="F443">
        <v>5</v>
      </c>
      <c r="G443">
        <v>5</v>
      </c>
    </row>
    <row r="444" spans="1:7" x14ac:dyDescent="0.15">
      <c r="A444" t="str">
        <f t="shared" si="12"/>
        <v>その他の針葉樹in東郷町</v>
      </c>
      <c r="B444" s="2" t="s">
        <v>36</v>
      </c>
      <c r="E444" t="s">
        <v>203</v>
      </c>
      <c r="F444">
        <v>5</v>
      </c>
      <c r="G444">
        <v>5</v>
      </c>
    </row>
    <row r="445" spans="1:7" x14ac:dyDescent="0.15">
      <c r="A445" t="str">
        <f t="shared" si="12"/>
        <v>その他の針葉樹in常滑市</v>
      </c>
      <c r="B445" s="2" t="s">
        <v>45</v>
      </c>
      <c r="E445" t="s">
        <v>203</v>
      </c>
      <c r="F445">
        <v>5</v>
      </c>
      <c r="G445">
        <v>5</v>
      </c>
    </row>
    <row r="446" spans="1:7" x14ac:dyDescent="0.15">
      <c r="A446" t="str">
        <f t="shared" si="12"/>
        <v>その他の針葉樹in飛島村</v>
      </c>
      <c r="B446" s="2" t="s">
        <v>109</v>
      </c>
      <c r="E446" t="s">
        <v>203</v>
      </c>
      <c r="F446">
        <v>5</v>
      </c>
      <c r="G446">
        <v>5</v>
      </c>
    </row>
    <row r="447" spans="1:7" x14ac:dyDescent="0.15">
      <c r="A447" t="str">
        <f t="shared" si="12"/>
        <v>その他の針葉樹in豊明市</v>
      </c>
      <c r="B447" s="2" t="s">
        <v>115</v>
      </c>
      <c r="E447" t="s">
        <v>203</v>
      </c>
      <c r="F447">
        <v>5</v>
      </c>
      <c r="G447">
        <v>5</v>
      </c>
    </row>
    <row r="448" spans="1:7" x14ac:dyDescent="0.15">
      <c r="A448" t="str">
        <f t="shared" si="12"/>
        <v>その他の針葉樹in豊川市</v>
      </c>
      <c r="B448" s="2" t="s">
        <v>114</v>
      </c>
      <c r="E448" t="s">
        <v>203</v>
      </c>
      <c r="F448">
        <v>5</v>
      </c>
      <c r="G448">
        <v>5</v>
      </c>
    </row>
    <row r="449" spans="1:7" x14ac:dyDescent="0.15">
      <c r="A449" t="str">
        <f t="shared" si="12"/>
        <v>その他の針葉樹in豊田市</v>
      </c>
      <c r="B449" s="2" t="s">
        <v>7</v>
      </c>
      <c r="E449" t="s">
        <v>203</v>
      </c>
      <c r="F449">
        <v>5</v>
      </c>
      <c r="G449">
        <v>5</v>
      </c>
    </row>
    <row r="450" spans="1:7" x14ac:dyDescent="0.15">
      <c r="A450" t="str">
        <f t="shared" si="12"/>
        <v>その他の針葉樹in豊根村</v>
      </c>
      <c r="B450" s="2" t="s">
        <v>112</v>
      </c>
      <c r="E450" t="s">
        <v>203</v>
      </c>
      <c r="F450">
        <v>5</v>
      </c>
      <c r="G450">
        <v>5</v>
      </c>
    </row>
    <row r="451" spans="1:7" x14ac:dyDescent="0.15">
      <c r="A451" t="str">
        <f t="shared" si="12"/>
        <v>その他の針葉樹in豊橋市</v>
      </c>
      <c r="B451" s="2" t="s">
        <v>54</v>
      </c>
      <c r="E451" t="s">
        <v>203</v>
      </c>
      <c r="F451">
        <v>5</v>
      </c>
      <c r="G451">
        <v>5</v>
      </c>
    </row>
    <row r="452" spans="1:7" x14ac:dyDescent="0.15">
      <c r="A452" t="str">
        <f t="shared" si="12"/>
        <v>その他の針葉樹in豊山町</v>
      </c>
      <c r="B452" s="2" t="s">
        <v>113</v>
      </c>
      <c r="E452" t="s">
        <v>203</v>
      </c>
      <c r="F452">
        <v>5</v>
      </c>
      <c r="G452">
        <v>5</v>
      </c>
    </row>
    <row r="453" spans="1:7" x14ac:dyDescent="0.15">
      <c r="A453" t="str">
        <f t="shared" si="12"/>
        <v>その他の針葉樹in長久手市</v>
      </c>
      <c r="B453" s="2" t="s">
        <v>35</v>
      </c>
      <c r="E453" t="s">
        <v>203</v>
      </c>
      <c r="F453">
        <v>5</v>
      </c>
      <c r="G453">
        <v>5</v>
      </c>
    </row>
    <row r="454" spans="1:7" x14ac:dyDescent="0.15">
      <c r="A454" t="str">
        <f t="shared" si="12"/>
        <v>その他の針葉樹in名古屋市</v>
      </c>
      <c r="B454" s="2" t="s">
        <v>58</v>
      </c>
      <c r="E454" t="s">
        <v>203</v>
      </c>
      <c r="F454">
        <v>5</v>
      </c>
      <c r="G454">
        <v>5</v>
      </c>
    </row>
    <row r="455" spans="1:7" x14ac:dyDescent="0.15">
      <c r="A455" t="str">
        <f t="shared" si="12"/>
        <v>その他の針葉樹in西尾市</v>
      </c>
      <c r="B455" s="2" t="s">
        <v>104</v>
      </c>
      <c r="E455" t="s">
        <v>203</v>
      </c>
      <c r="F455">
        <v>5</v>
      </c>
      <c r="G455">
        <v>5</v>
      </c>
    </row>
    <row r="456" spans="1:7" x14ac:dyDescent="0.15">
      <c r="A456" t="str">
        <f t="shared" si="12"/>
        <v>その他の針葉樹in日進市</v>
      </c>
      <c r="B456" s="2" t="s">
        <v>37</v>
      </c>
      <c r="E456" t="s">
        <v>203</v>
      </c>
      <c r="F456">
        <v>5</v>
      </c>
      <c r="G456">
        <v>5</v>
      </c>
    </row>
    <row r="457" spans="1:7" x14ac:dyDescent="0.15">
      <c r="A457" t="str">
        <f t="shared" si="12"/>
        <v>その他の針葉樹in半田市</v>
      </c>
      <c r="B457" s="2" t="s">
        <v>51</v>
      </c>
      <c r="E457" t="s">
        <v>203</v>
      </c>
      <c r="F457">
        <v>5</v>
      </c>
      <c r="G457">
        <v>5</v>
      </c>
    </row>
    <row r="458" spans="1:7" x14ac:dyDescent="0.15">
      <c r="A458" t="str">
        <f t="shared" si="12"/>
        <v>その他の針葉樹in東浦町</v>
      </c>
      <c r="B458" s="2" t="s">
        <v>48</v>
      </c>
      <c r="E458" t="s">
        <v>203</v>
      </c>
      <c r="F458">
        <v>5</v>
      </c>
      <c r="G458">
        <v>5</v>
      </c>
    </row>
    <row r="459" spans="1:7" x14ac:dyDescent="0.15">
      <c r="A459" t="str">
        <f t="shared" si="12"/>
        <v>その他の針葉樹in美浜町</v>
      </c>
      <c r="B459" s="2" t="s">
        <v>52</v>
      </c>
      <c r="E459" t="s">
        <v>203</v>
      </c>
      <c r="F459">
        <v>5</v>
      </c>
      <c r="G459">
        <v>5</v>
      </c>
    </row>
    <row r="460" spans="1:7" x14ac:dyDescent="0.15">
      <c r="A460" t="str">
        <f t="shared" si="12"/>
        <v>その他の針葉樹in扶桑町</v>
      </c>
      <c r="B460" s="2" t="s">
        <v>110</v>
      </c>
      <c r="E460" t="s">
        <v>203</v>
      </c>
      <c r="F460">
        <v>5</v>
      </c>
      <c r="G460">
        <v>5</v>
      </c>
    </row>
    <row r="461" spans="1:7" x14ac:dyDescent="0.15">
      <c r="A461" t="str">
        <f t="shared" si="12"/>
        <v>その他の針葉樹in碧南市</v>
      </c>
      <c r="B461" s="2" t="s">
        <v>111</v>
      </c>
      <c r="E461" t="s">
        <v>203</v>
      </c>
      <c r="F461">
        <v>5</v>
      </c>
      <c r="G461">
        <v>5</v>
      </c>
    </row>
    <row r="462" spans="1:7" x14ac:dyDescent="0.15">
      <c r="A462" t="str">
        <f t="shared" si="12"/>
        <v>その他の針葉樹in南知多町</v>
      </c>
      <c r="B462" s="2" t="s">
        <v>50</v>
      </c>
      <c r="E462" t="s">
        <v>203</v>
      </c>
      <c r="F462">
        <v>5</v>
      </c>
      <c r="G462">
        <v>5</v>
      </c>
    </row>
    <row r="463" spans="1:7" x14ac:dyDescent="0.15">
      <c r="A463" t="str">
        <f t="shared" si="12"/>
        <v>その他の針葉樹inみよし市</v>
      </c>
      <c r="B463" s="2" t="s">
        <v>573</v>
      </c>
      <c r="E463" t="s">
        <v>203</v>
      </c>
      <c r="F463">
        <v>5</v>
      </c>
      <c r="G463">
        <v>5</v>
      </c>
    </row>
    <row r="464" spans="1:7" x14ac:dyDescent="0.15">
      <c r="A464" t="str">
        <f t="shared" si="12"/>
        <v>その他の針葉樹in弥富市</v>
      </c>
      <c r="B464" s="2" t="s">
        <v>576</v>
      </c>
      <c r="E464" t="s">
        <v>203</v>
      </c>
      <c r="F464">
        <v>5</v>
      </c>
      <c r="G464">
        <v>5</v>
      </c>
    </row>
    <row r="465" spans="1:7" x14ac:dyDescent="0.15">
      <c r="A465" t="str">
        <f t="shared" si="12"/>
        <v>その他の針葉樹in愛西市</v>
      </c>
      <c r="B465" s="2" t="s">
        <v>96</v>
      </c>
      <c r="E465" t="s">
        <v>203</v>
      </c>
      <c r="F465">
        <v>5</v>
      </c>
      <c r="G465">
        <v>5</v>
      </c>
    </row>
    <row r="466" spans="1:7" x14ac:dyDescent="0.15">
      <c r="A466" t="str">
        <f t="shared" si="12"/>
        <v>その他の針葉樹in阿久比町</v>
      </c>
      <c r="B466" s="2" t="s">
        <v>65</v>
      </c>
      <c r="E466" t="s">
        <v>203</v>
      </c>
      <c r="F466">
        <v>5</v>
      </c>
      <c r="G466">
        <v>5</v>
      </c>
    </row>
    <row r="467" spans="1:7" x14ac:dyDescent="0.15">
      <c r="A467" t="str">
        <f t="shared" si="12"/>
        <v>その他の針葉樹inあま市</v>
      </c>
      <c r="B467" s="2" t="s">
        <v>95</v>
      </c>
      <c r="E467" t="s">
        <v>203</v>
      </c>
      <c r="F467">
        <v>5</v>
      </c>
      <c r="G467">
        <v>5</v>
      </c>
    </row>
    <row r="468" spans="1:7" x14ac:dyDescent="0.15">
      <c r="A468" t="str">
        <f t="shared" si="12"/>
        <v>その他の針葉樹in安城市</v>
      </c>
      <c r="B468" s="2" t="s">
        <v>55</v>
      </c>
      <c r="E468" t="s">
        <v>203</v>
      </c>
      <c r="F468">
        <v>5</v>
      </c>
      <c r="G468">
        <v>5</v>
      </c>
    </row>
    <row r="469" spans="1:7" x14ac:dyDescent="0.15">
      <c r="A469" t="str">
        <f t="shared" si="12"/>
        <v>その他の針葉樹in一宮市</v>
      </c>
      <c r="B469" s="2" t="s">
        <v>97</v>
      </c>
      <c r="E469" t="s">
        <v>203</v>
      </c>
      <c r="F469">
        <v>5</v>
      </c>
      <c r="G469">
        <v>5</v>
      </c>
    </row>
    <row r="470" spans="1:7" x14ac:dyDescent="0.15">
      <c r="A470" t="str">
        <f t="shared" si="12"/>
        <v>その他の針葉樹in稲沢市</v>
      </c>
      <c r="B470" s="2" t="s">
        <v>98</v>
      </c>
      <c r="E470" t="s">
        <v>203</v>
      </c>
      <c r="F470">
        <v>5</v>
      </c>
      <c r="G470">
        <v>5</v>
      </c>
    </row>
    <row r="471" spans="1:7" x14ac:dyDescent="0.15">
      <c r="A471" t="str">
        <f t="shared" si="12"/>
        <v>その他の針葉樹in犬山市</v>
      </c>
      <c r="B471" s="2" t="s">
        <v>57</v>
      </c>
      <c r="E471" t="s">
        <v>203</v>
      </c>
      <c r="F471">
        <v>5</v>
      </c>
      <c r="G471">
        <v>5</v>
      </c>
    </row>
    <row r="472" spans="1:7" x14ac:dyDescent="0.15">
      <c r="A472" t="str">
        <f t="shared" si="12"/>
        <v>その他の針葉樹in岩倉市</v>
      </c>
      <c r="B472" s="2" t="s">
        <v>101</v>
      </c>
      <c r="E472" t="s">
        <v>203</v>
      </c>
      <c r="F472">
        <v>5</v>
      </c>
      <c r="G472">
        <v>5</v>
      </c>
    </row>
    <row r="473" spans="1:7" x14ac:dyDescent="0.15">
      <c r="A473" t="str">
        <f t="shared" si="12"/>
        <v>その他の針葉樹in大口町</v>
      </c>
      <c r="B473" s="2" t="s">
        <v>41</v>
      </c>
      <c r="E473" t="s">
        <v>203</v>
      </c>
      <c r="F473">
        <v>5</v>
      </c>
      <c r="G473">
        <v>5</v>
      </c>
    </row>
    <row r="474" spans="1:7" x14ac:dyDescent="0.15">
      <c r="A474" t="str">
        <f t="shared" si="12"/>
        <v>その他の針葉樹in大治町</v>
      </c>
      <c r="B474" s="2" t="s">
        <v>106</v>
      </c>
      <c r="E474" t="s">
        <v>203</v>
      </c>
      <c r="F474">
        <v>5</v>
      </c>
      <c r="G474">
        <v>5</v>
      </c>
    </row>
    <row r="475" spans="1:7" x14ac:dyDescent="0.15">
      <c r="A475" t="str">
        <f t="shared" si="12"/>
        <v>その他の針葉樹in大府市</v>
      </c>
      <c r="B475" s="2" t="s">
        <v>43</v>
      </c>
      <c r="E475" t="s">
        <v>203</v>
      </c>
      <c r="F475">
        <v>5</v>
      </c>
      <c r="G475">
        <v>5</v>
      </c>
    </row>
    <row r="476" spans="1:7" x14ac:dyDescent="0.15">
      <c r="A476" t="str">
        <f t="shared" si="12"/>
        <v>その他の針葉樹in岡崎市</v>
      </c>
      <c r="B476" s="2" t="s">
        <v>5</v>
      </c>
      <c r="E476" t="s">
        <v>203</v>
      </c>
      <c r="F476">
        <v>5</v>
      </c>
      <c r="G476">
        <v>5</v>
      </c>
    </row>
    <row r="477" spans="1:7" x14ac:dyDescent="0.15">
      <c r="A477" t="str">
        <f t="shared" si="12"/>
        <v>その他の針葉樹in尾張旭市</v>
      </c>
      <c r="B477" s="2" t="s">
        <v>38</v>
      </c>
      <c r="E477" t="s">
        <v>203</v>
      </c>
      <c r="F477">
        <v>5</v>
      </c>
      <c r="G477">
        <v>5</v>
      </c>
    </row>
    <row r="478" spans="1:7" x14ac:dyDescent="0.15">
      <c r="A478" t="str">
        <f t="shared" si="12"/>
        <v>その他の針葉樹in春日井市</v>
      </c>
      <c r="B478" s="2" t="s">
        <v>40</v>
      </c>
      <c r="E478" t="s">
        <v>203</v>
      </c>
      <c r="F478">
        <v>5</v>
      </c>
      <c r="G478">
        <v>5</v>
      </c>
    </row>
    <row r="479" spans="1:7" x14ac:dyDescent="0.15">
      <c r="A479" t="str">
        <f t="shared" si="12"/>
        <v>その他の針葉樹in蟹江町</v>
      </c>
      <c r="B479" s="2" t="s">
        <v>99</v>
      </c>
      <c r="E479" t="s">
        <v>203</v>
      </c>
      <c r="F479">
        <v>5</v>
      </c>
      <c r="G479">
        <v>5</v>
      </c>
    </row>
    <row r="480" spans="1:7" x14ac:dyDescent="0.15">
      <c r="A480" t="str">
        <f t="shared" si="12"/>
        <v>その他の針葉樹in蒲郡市</v>
      </c>
      <c r="B480" s="2" t="s">
        <v>44</v>
      </c>
      <c r="E480" t="s">
        <v>203</v>
      </c>
      <c r="F480">
        <v>5</v>
      </c>
      <c r="G480">
        <v>5</v>
      </c>
    </row>
    <row r="481" spans="1:7" x14ac:dyDescent="0.15">
      <c r="A481" t="str">
        <f t="shared" si="12"/>
        <v>その他の針葉樹in刈谷市</v>
      </c>
      <c r="B481" s="2" t="s">
        <v>100</v>
      </c>
      <c r="E481" t="s">
        <v>203</v>
      </c>
      <c r="F481">
        <v>5</v>
      </c>
      <c r="G481">
        <v>5</v>
      </c>
    </row>
    <row r="482" spans="1:7" x14ac:dyDescent="0.15">
      <c r="A482" t="str">
        <f t="shared" si="12"/>
        <v>その他の針葉樹in北名古屋市</v>
      </c>
      <c r="B482" s="2" t="s">
        <v>116</v>
      </c>
      <c r="E482" t="s">
        <v>203</v>
      </c>
      <c r="F482">
        <v>5</v>
      </c>
      <c r="G482">
        <v>5</v>
      </c>
    </row>
    <row r="483" spans="1:7" x14ac:dyDescent="0.15">
      <c r="A483" t="str">
        <f t="shared" si="12"/>
        <v>その他の針葉樹in清須市</v>
      </c>
      <c r="B483" s="2" t="s">
        <v>103</v>
      </c>
      <c r="E483" t="s">
        <v>203</v>
      </c>
      <c r="F483">
        <v>5</v>
      </c>
      <c r="G483">
        <v>5</v>
      </c>
    </row>
    <row r="484" spans="1:7" x14ac:dyDescent="0.15">
      <c r="A484" t="str">
        <f t="shared" si="12"/>
        <v>その他の針葉樹in幸田町</v>
      </c>
      <c r="B484" s="2" t="s">
        <v>33</v>
      </c>
      <c r="E484" t="s">
        <v>203</v>
      </c>
      <c r="F484">
        <v>5</v>
      </c>
      <c r="G484">
        <v>5</v>
      </c>
    </row>
    <row r="485" spans="1:7" x14ac:dyDescent="0.15">
      <c r="A485" t="str">
        <f t="shared" si="12"/>
        <v>その他の針葉樹in江南市</v>
      </c>
      <c r="B485" s="2" t="s">
        <v>102</v>
      </c>
      <c r="E485" t="s">
        <v>203</v>
      </c>
      <c r="F485">
        <v>5</v>
      </c>
      <c r="G485">
        <v>5</v>
      </c>
    </row>
    <row r="486" spans="1:7" x14ac:dyDescent="0.15">
      <c r="A486" t="str">
        <f t="shared" si="12"/>
        <v>その他の針葉樹in小牧市</v>
      </c>
      <c r="B486" s="2" t="s">
        <v>42</v>
      </c>
      <c r="E486" t="s">
        <v>203</v>
      </c>
      <c r="F486">
        <v>5</v>
      </c>
      <c r="G486">
        <v>5</v>
      </c>
    </row>
    <row r="487" spans="1:7" x14ac:dyDescent="0.15">
      <c r="A487" t="str">
        <f t="shared" si="12"/>
        <v>その他の針葉樹in設楽町</v>
      </c>
      <c r="B487" s="2" t="s">
        <v>105</v>
      </c>
      <c r="E487" t="s">
        <v>203</v>
      </c>
      <c r="F487">
        <v>5</v>
      </c>
      <c r="G487">
        <v>5</v>
      </c>
    </row>
    <row r="488" spans="1:7" x14ac:dyDescent="0.15">
      <c r="A488" t="str">
        <f t="shared" si="12"/>
        <v>その他の針葉樹in新城市</v>
      </c>
      <c r="B488" s="2" t="s">
        <v>6</v>
      </c>
      <c r="E488" t="s">
        <v>203</v>
      </c>
      <c r="F488">
        <v>5</v>
      </c>
      <c r="G488">
        <v>5</v>
      </c>
    </row>
    <row r="489" spans="1:7" x14ac:dyDescent="0.15">
      <c r="A489" t="str">
        <f t="shared" si="12"/>
        <v>その他の針葉樹in瀬戸市</v>
      </c>
      <c r="B489" s="2" t="s">
        <v>34</v>
      </c>
      <c r="E489" t="s">
        <v>203</v>
      </c>
      <c r="F489">
        <v>5</v>
      </c>
      <c r="G489">
        <v>5</v>
      </c>
    </row>
    <row r="490" spans="1:7" x14ac:dyDescent="0.15">
      <c r="A490" t="str">
        <f t="shared" si="12"/>
        <v>その他の針葉樹in高浜市</v>
      </c>
      <c r="B490" s="2" t="s">
        <v>56</v>
      </c>
      <c r="E490" t="s">
        <v>203</v>
      </c>
      <c r="F490">
        <v>5</v>
      </c>
      <c r="G490">
        <v>5</v>
      </c>
    </row>
    <row r="491" spans="1:7" x14ac:dyDescent="0.15">
      <c r="A491" t="str">
        <f t="shared" si="12"/>
        <v>その他の針葉樹in武豊町</v>
      </c>
      <c r="B491" s="2" t="s">
        <v>169</v>
      </c>
      <c r="E491" t="s">
        <v>203</v>
      </c>
      <c r="F491">
        <v>5</v>
      </c>
      <c r="G491">
        <v>5</v>
      </c>
    </row>
    <row r="492" spans="1:7" x14ac:dyDescent="0.15">
      <c r="A492" t="str">
        <f t="shared" si="12"/>
        <v>その他の針葉樹in田原市</v>
      </c>
      <c r="B492" s="2" t="s">
        <v>47</v>
      </c>
      <c r="E492" t="s">
        <v>203</v>
      </c>
      <c r="F492">
        <v>5</v>
      </c>
      <c r="G492">
        <v>5</v>
      </c>
    </row>
    <row r="493" spans="1:7" x14ac:dyDescent="0.15">
      <c r="A493" t="str">
        <f t="shared" si="12"/>
        <v>その他の針葉樹in知多市</v>
      </c>
      <c r="B493" s="2" t="s">
        <v>46</v>
      </c>
      <c r="E493" t="s">
        <v>203</v>
      </c>
      <c r="F493">
        <v>5</v>
      </c>
      <c r="G493">
        <v>5</v>
      </c>
    </row>
    <row r="494" spans="1:7" x14ac:dyDescent="0.15">
      <c r="A494" t="str">
        <f t="shared" si="12"/>
        <v>その他の針葉樹in知立市</v>
      </c>
      <c r="B494" s="2" t="s">
        <v>107</v>
      </c>
      <c r="E494" t="s">
        <v>203</v>
      </c>
      <c r="F494">
        <v>5</v>
      </c>
      <c r="G494">
        <v>5</v>
      </c>
    </row>
    <row r="495" spans="1:7" x14ac:dyDescent="0.15">
      <c r="A495" t="str">
        <f t="shared" si="12"/>
        <v>その他の針葉樹in津島市</v>
      </c>
      <c r="B495" s="2" t="s">
        <v>108</v>
      </c>
      <c r="E495" t="s">
        <v>203</v>
      </c>
      <c r="F495">
        <v>5</v>
      </c>
      <c r="G495">
        <v>5</v>
      </c>
    </row>
    <row r="496" spans="1:7" x14ac:dyDescent="0.15">
      <c r="A496" t="str">
        <f t="shared" si="12"/>
        <v>その他の針葉樹in東栄町</v>
      </c>
      <c r="B496" s="2" t="s">
        <v>39</v>
      </c>
      <c r="E496" t="s">
        <v>203</v>
      </c>
      <c r="F496">
        <v>5</v>
      </c>
      <c r="G496">
        <v>5</v>
      </c>
    </row>
    <row r="497" spans="1:7" x14ac:dyDescent="0.15">
      <c r="A497" t="str">
        <f t="shared" si="12"/>
        <v>その他の針葉樹in東海市</v>
      </c>
      <c r="B497" s="2" t="s">
        <v>49</v>
      </c>
      <c r="E497" t="s">
        <v>203</v>
      </c>
      <c r="F497">
        <v>5</v>
      </c>
      <c r="G497">
        <v>5</v>
      </c>
    </row>
    <row r="498" spans="1:7" x14ac:dyDescent="0.15">
      <c r="A498" t="str">
        <f t="shared" si="12"/>
        <v>その他の針葉樹in東郷町</v>
      </c>
      <c r="B498" s="2" t="s">
        <v>36</v>
      </c>
      <c r="E498" t="s">
        <v>203</v>
      </c>
      <c r="F498">
        <v>5</v>
      </c>
      <c r="G498">
        <v>5</v>
      </c>
    </row>
    <row r="499" spans="1:7" x14ac:dyDescent="0.15">
      <c r="A499" t="str">
        <f t="shared" si="12"/>
        <v>その他の針葉樹in常滑市</v>
      </c>
      <c r="B499" s="2" t="s">
        <v>45</v>
      </c>
      <c r="E499" t="s">
        <v>203</v>
      </c>
      <c r="F499">
        <v>5</v>
      </c>
      <c r="G499">
        <v>5</v>
      </c>
    </row>
    <row r="500" spans="1:7" x14ac:dyDescent="0.15">
      <c r="A500" t="str">
        <f t="shared" ref="A500:A575" si="13">E500&amp;"in"&amp;B500</f>
        <v>その他の針葉樹in飛島村</v>
      </c>
      <c r="B500" s="2" t="s">
        <v>109</v>
      </c>
      <c r="E500" t="s">
        <v>203</v>
      </c>
      <c r="F500">
        <v>5</v>
      </c>
      <c r="G500">
        <v>5</v>
      </c>
    </row>
    <row r="501" spans="1:7" x14ac:dyDescent="0.15">
      <c r="A501" t="str">
        <f t="shared" si="13"/>
        <v>その他の針葉樹in豊明市</v>
      </c>
      <c r="B501" s="2" t="s">
        <v>115</v>
      </c>
      <c r="E501" t="s">
        <v>203</v>
      </c>
      <c r="F501">
        <v>5</v>
      </c>
      <c r="G501">
        <v>5</v>
      </c>
    </row>
    <row r="502" spans="1:7" x14ac:dyDescent="0.15">
      <c r="A502" t="str">
        <f t="shared" si="13"/>
        <v>その他の針葉樹in豊川市</v>
      </c>
      <c r="B502" s="2" t="s">
        <v>114</v>
      </c>
      <c r="E502" t="s">
        <v>203</v>
      </c>
      <c r="F502">
        <v>5</v>
      </c>
      <c r="G502">
        <v>5</v>
      </c>
    </row>
    <row r="503" spans="1:7" x14ac:dyDescent="0.15">
      <c r="A503" t="str">
        <f t="shared" ref="A503:A509" si="14">E503&amp;"in"&amp;B503</f>
        <v>その他の針葉樹in豊田市（旧豊田市）</v>
      </c>
      <c r="B503" t="s">
        <v>601</v>
      </c>
      <c r="E503" t="s">
        <v>203</v>
      </c>
      <c r="F503">
        <v>5</v>
      </c>
      <c r="G503">
        <v>5</v>
      </c>
    </row>
    <row r="504" spans="1:7" x14ac:dyDescent="0.15">
      <c r="A504" t="str">
        <f t="shared" si="14"/>
        <v>その他の針葉樹in豊田市（旧藤岡町）</v>
      </c>
      <c r="B504" s="2" t="s">
        <v>602</v>
      </c>
      <c r="E504" t="s">
        <v>203</v>
      </c>
      <c r="F504">
        <v>5</v>
      </c>
      <c r="G504">
        <v>5</v>
      </c>
    </row>
    <row r="505" spans="1:7" x14ac:dyDescent="0.15">
      <c r="A505" t="str">
        <f t="shared" si="14"/>
        <v>その他の針葉樹in豊田市（旧小原村）</v>
      </c>
      <c r="B505" t="s">
        <v>603</v>
      </c>
      <c r="E505" t="s">
        <v>203</v>
      </c>
      <c r="F505">
        <v>5</v>
      </c>
      <c r="G505">
        <v>5</v>
      </c>
    </row>
    <row r="506" spans="1:7" x14ac:dyDescent="0.15">
      <c r="A506" t="str">
        <f t="shared" si="14"/>
        <v>その他の針葉樹in豊田市（旧足助町）</v>
      </c>
      <c r="B506" t="s">
        <v>604</v>
      </c>
      <c r="E506" t="s">
        <v>203</v>
      </c>
      <c r="F506">
        <v>5</v>
      </c>
      <c r="G506">
        <v>5</v>
      </c>
    </row>
    <row r="507" spans="1:7" x14ac:dyDescent="0.15">
      <c r="A507" t="str">
        <f t="shared" si="14"/>
        <v>その他の針葉樹in豊田市（旧下山村）</v>
      </c>
      <c r="B507" t="s">
        <v>600</v>
      </c>
      <c r="E507" t="s">
        <v>203</v>
      </c>
      <c r="F507">
        <v>5</v>
      </c>
      <c r="G507">
        <v>5</v>
      </c>
    </row>
    <row r="508" spans="1:7" x14ac:dyDescent="0.15">
      <c r="A508" t="str">
        <f t="shared" si="14"/>
        <v>その他の針葉樹in豊田市（旧旭町）</v>
      </c>
      <c r="B508" t="s">
        <v>605</v>
      </c>
      <c r="E508" t="s">
        <v>203</v>
      </c>
      <c r="F508">
        <v>5</v>
      </c>
      <c r="G508">
        <v>5</v>
      </c>
    </row>
    <row r="509" spans="1:7" x14ac:dyDescent="0.15">
      <c r="A509" t="str">
        <f t="shared" si="14"/>
        <v>その他の針葉樹in豊田市（旧稲武町）</v>
      </c>
      <c r="B509" t="s">
        <v>606</v>
      </c>
      <c r="E509" t="s">
        <v>203</v>
      </c>
      <c r="F509">
        <v>5</v>
      </c>
      <c r="G509">
        <v>5</v>
      </c>
    </row>
    <row r="510" spans="1:7" x14ac:dyDescent="0.15">
      <c r="A510" t="str">
        <f t="shared" si="13"/>
        <v>その他の針葉樹in豊根村</v>
      </c>
      <c r="B510" s="2" t="s">
        <v>112</v>
      </c>
      <c r="E510" t="s">
        <v>203</v>
      </c>
      <c r="F510">
        <v>5</v>
      </c>
      <c r="G510">
        <v>5</v>
      </c>
    </row>
    <row r="511" spans="1:7" x14ac:dyDescent="0.15">
      <c r="A511" t="str">
        <f t="shared" si="13"/>
        <v>その他の針葉樹in豊橋市</v>
      </c>
      <c r="B511" s="2" t="s">
        <v>54</v>
      </c>
      <c r="E511" t="s">
        <v>203</v>
      </c>
      <c r="F511">
        <v>5</v>
      </c>
      <c r="G511">
        <v>5</v>
      </c>
    </row>
    <row r="512" spans="1:7" x14ac:dyDescent="0.15">
      <c r="A512" t="str">
        <f t="shared" si="13"/>
        <v>その他の針葉樹in豊山町</v>
      </c>
      <c r="B512" s="2" t="s">
        <v>113</v>
      </c>
      <c r="E512" t="s">
        <v>203</v>
      </c>
      <c r="F512">
        <v>5</v>
      </c>
      <c r="G512">
        <v>5</v>
      </c>
    </row>
    <row r="513" spans="1:7" x14ac:dyDescent="0.15">
      <c r="A513" t="str">
        <f t="shared" si="13"/>
        <v>その他の針葉樹in長久手市</v>
      </c>
      <c r="B513" s="2" t="s">
        <v>35</v>
      </c>
      <c r="E513" t="s">
        <v>203</v>
      </c>
      <c r="F513">
        <v>5</v>
      </c>
      <c r="G513">
        <v>5</v>
      </c>
    </row>
    <row r="514" spans="1:7" x14ac:dyDescent="0.15">
      <c r="A514" t="str">
        <f t="shared" si="13"/>
        <v>その他の針葉樹in名古屋市</v>
      </c>
      <c r="B514" s="2" t="s">
        <v>58</v>
      </c>
      <c r="E514" t="s">
        <v>203</v>
      </c>
      <c r="F514">
        <v>5</v>
      </c>
      <c r="G514">
        <v>5</v>
      </c>
    </row>
    <row r="515" spans="1:7" x14ac:dyDescent="0.15">
      <c r="A515" t="str">
        <f t="shared" si="13"/>
        <v>その他の針葉樹in西尾市</v>
      </c>
      <c r="B515" s="2" t="s">
        <v>104</v>
      </c>
      <c r="E515" t="s">
        <v>203</v>
      </c>
      <c r="F515">
        <v>5</v>
      </c>
      <c r="G515">
        <v>5</v>
      </c>
    </row>
    <row r="516" spans="1:7" x14ac:dyDescent="0.15">
      <c r="A516" t="str">
        <f t="shared" si="13"/>
        <v>その他の針葉樹in日進市</v>
      </c>
      <c r="B516" s="2" t="s">
        <v>37</v>
      </c>
      <c r="E516" t="s">
        <v>203</v>
      </c>
      <c r="F516">
        <v>5</v>
      </c>
      <c r="G516">
        <v>5</v>
      </c>
    </row>
    <row r="517" spans="1:7" x14ac:dyDescent="0.15">
      <c r="A517" t="str">
        <f t="shared" si="13"/>
        <v>その他の針葉樹in半田市</v>
      </c>
      <c r="B517" s="2" t="s">
        <v>51</v>
      </c>
      <c r="E517" t="s">
        <v>203</v>
      </c>
      <c r="F517">
        <v>5</v>
      </c>
      <c r="G517">
        <v>5</v>
      </c>
    </row>
    <row r="518" spans="1:7" x14ac:dyDescent="0.15">
      <c r="A518" t="str">
        <f t="shared" si="13"/>
        <v>その他の針葉樹in東浦町</v>
      </c>
      <c r="B518" s="2" t="s">
        <v>48</v>
      </c>
      <c r="E518" t="s">
        <v>203</v>
      </c>
      <c r="F518">
        <v>5</v>
      </c>
      <c r="G518">
        <v>5</v>
      </c>
    </row>
    <row r="519" spans="1:7" x14ac:dyDescent="0.15">
      <c r="A519" t="str">
        <f t="shared" si="13"/>
        <v>その他の針葉樹in美浜町</v>
      </c>
      <c r="B519" s="2" t="s">
        <v>52</v>
      </c>
      <c r="E519" t="s">
        <v>203</v>
      </c>
      <c r="F519">
        <v>5</v>
      </c>
      <c r="G519">
        <v>5</v>
      </c>
    </row>
    <row r="520" spans="1:7" x14ac:dyDescent="0.15">
      <c r="A520" t="str">
        <f t="shared" si="13"/>
        <v>その他の針葉樹in扶桑町</v>
      </c>
      <c r="B520" s="2" t="s">
        <v>110</v>
      </c>
      <c r="E520" t="s">
        <v>203</v>
      </c>
      <c r="F520">
        <v>5</v>
      </c>
      <c r="G520">
        <v>5</v>
      </c>
    </row>
    <row r="521" spans="1:7" x14ac:dyDescent="0.15">
      <c r="A521" t="str">
        <f t="shared" si="13"/>
        <v>その他の針葉樹in碧南市</v>
      </c>
      <c r="B521" s="2" t="s">
        <v>111</v>
      </c>
      <c r="E521" t="s">
        <v>203</v>
      </c>
      <c r="F521">
        <v>5</v>
      </c>
      <c r="G521">
        <v>5</v>
      </c>
    </row>
    <row r="522" spans="1:7" x14ac:dyDescent="0.15">
      <c r="A522" t="str">
        <f t="shared" si="13"/>
        <v>その他の針葉樹in南知多町</v>
      </c>
      <c r="B522" s="2" t="s">
        <v>50</v>
      </c>
      <c r="E522" t="s">
        <v>203</v>
      </c>
      <c r="F522">
        <v>5</v>
      </c>
      <c r="G522">
        <v>5</v>
      </c>
    </row>
    <row r="523" spans="1:7" x14ac:dyDescent="0.15">
      <c r="A523" t="str">
        <f t="shared" si="13"/>
        <v>その他の針葉樹inみよし市</v>
      </c>
      <c r="B523" s="2" t="s">
        <v>573</v>
      </c>
      <c r="E523" t="s">
        <v>203</v>
      </c>
      <c r="F523">
        <v>5</v>
      </c>
      <c r="G523">
        <v>5</v>
      </c>
    </row>
    <row r="524" spans="1:7" x14ac:dyDescent="0.15">
      <c r="A524" t="str">
        <f t="shared" si="13"/>
        <v>その他の針葉樹in弥富市</v>
      </c>
      <c r="B524" s="2" t="s">
        <v>576</v>
      </c>
      <c r="E524" t="s">
        <v>203</v>
      </c>
      <c r="F524">
        <v>5</v>
      </c>
      <c r="G524">
        <v>5</v>
      </c>
    </row>
    <row r="525" spans="1:7" x14ac:dyDescent="0.15">
      <c r="A525" t="str">
        <f t="shared" si="13"/>
        <v>【ススキ】・【ネザサ】・【チガヤ】in愛西市</v>
      </c>
      <c r="B525" s="2" t="s">
        <v>96</v>
      </c>
      <c r="E525" t="s">
        <v>193</v>
      </c>
      <c r="F525">
        <v>0</v>
      </c>
      <c r="G525">
        <v>0</v>
      </c>
    </row>
    <row r="526" spans="1:7" x14ac:dyDescent="0.15">
      <c r="A526" t="str">
        <f t="shared" si="13"/>
        <v>【ススキ】・【ネザサ】・【チガヤ】in阿久比町</v>
      </c>
      <c r="B526" s="2" t="s">
        <v>65</v>
      </c>
      <c r="E526" t="s">
        <v>193</v>
      </c>
      <c r="F526">
        <v>0</v>
      </c>
      <c r="G526">
        <v>0</v>
      </c>
    </row>
    <row r="527" spans="1:7" x14ac:dyDescent="0.15">
      <c r="A527" t="str">
        <f t="shared" si="13"/>
        <v>【ススキ】・【ネザサ】・【チガヤ】inあま市</v>
      </c>
      <c r="B527" s="2" t="s">
        <v>95</v>
      </c>
      <c r="E527" t="s">
        <v>193</v>
      </c>
      <c r="F527">
        <v>0</v>
      </c>
      <c r="G527">
        <v>0</v>
      </c>
    </row>
    <row r="528" spans="1:7" x14ac:dyDescent="0.15">
      <c r="A528" t="str">
        <f t="shared" si="13"/>
        <v>【ススキ】・【ネザサ】・【チガヤ】in安城市</v>
      </c>
      <c r="B528" s="2" t="s">
        <v>55</v>
      </c>
      <c r="E528" t="s">
        <v>193</v>
      </c>
      <c r="F528">
        <v>0</v>
      </c>
      <c r="G528">
        <v>0</v>
      </c>
    </row>
    <row r="529" spans="1:7" x14ac:dyDescent="0.15">
      <c r="A529" t="str">
        <f t="shared" si="13"/>
        <v>【ススキ】・【ネザサ】・【チガヤ】in一宮市</v>
      </c>
      <c r="B529" s="2" t="s">
        <v>97</v>
      </c>
      <c r="E529" t="s">
        <v>193</v>
      </c>
      <c r="F529">
        <v>0</v>
      </c>
      <c r="G529">
        <v>0</v>
      </c>
    </row>
    <row r="530" spans="1:7" x14ac:dyDescent="0.15">
      <c r="A530" t="str">
        <f t="shared" si="13"/>
        <v>【ススキ】・【ネザサ】・【チガヤ】in稲沢市</v>
      </c>
      <c r="B530" s="2" t="s">
        <v>98</v>
      </c>
      <c r="E530" t="s">
        <v>193</v>
      </c>
      <c r="F530">
        <v>0</v>
      </c>
      <c r="G530">
        <v>0</v>
      </c>
    </row>
    <row r="531" spans="1:7" x14ac:dyDescent="0.15">
      <c r="A531" t="str">
        <f t="shared" si="13"/>
        <v>【ススキ】・【ネザサ】・【チガヤ】in犬山市</v>
      </c>
      <c r="B531" s="2" t="s">
        <v>57</v>
      </c>
      <c r="E531" t="s">
        <v>193</v>
      </c>
      <c r="F531">
        <v>0</v>
      </c>
      <c r="G531">
        <v>0</v>
      </c>
    </row>
    <row r="532" spans="1:7" x14ac:dyDescent="0.15">
      <c r="A532" t="str">
        <f t="shared" si="13"/>
        <v>【ススキ】・【ネザサ】・【チガヤ】in岩倉市</v>
      </c>
      <c r="B532" s="2" t="s">
        <v>101</v>
      </c>
      <c r="E532" t="s">
        <v>193</v>
      </c>
      <c r="F532">
        <v>0</v>
      </c>
      <c r="G532">
        <v>0</v>
      </c>
    </row>
    <row r="533" spans="1:7" x14ac:dyDescent="0.15">
      <c r="A533" t="str">
        <f t="shared" si="13"/>
        <v>【ススキ】・【ネザサ】・【チガヤ】in大口町</v>
      </c>
      <c r="B533" s="2" t="s">
        <v>41</v>
      </c>
      <c r="E533" t="s">
        <v>193</v>
      </c>
      <c r="F533">
        <v>0</v>
      </c>
      <c r="G533">
        <v>0</v>
      </c>
    </row>
    <row r="534" spans="1:7" x14ac:dyDescent="0.15">
      <c r="A534" t="str">
        <f t="shared" si="13"/>
        <v>【ススキ】・【ネザサ】・【チガヤ】in大治町</v>
      </c>
      <c r="B534" s="2" t="s">
        <v>106</v>
      </c>
      <c r="E534" t="s">
        <v>193</v>
      </c>
      <c r="F534">
        <v>0</v>
      </c>
      <c r="G534">
        <v>0</v>
      </c>
    </row>
    <row r="535" spans="1:7" x14ac:dyDescent="0.15">
      <c r="A535" t="str">
        <f t="shared" si="13"/>
        <v>【ススキ】・【ネザサ】・【チガヤ】in大府市</v>
      </c>
      <c r="B535" s="2" t="s">
        <v>43</v>
      </c>
      <c r="E535" t="s">
        <v>193</v>
      </c>
      <c r="F535">
        <v>0</v>
      </c>
      <c r="G535">
        <v>0</v>
      </c>
    </row>
    <row r="536" spans="1:7" x14ac:dyDescent="0.15">
      <c r="A536" t="str">
        <f t="shared" si="13"/>
        <v>【ススキ】・【ネザサ】・【チガヤ】in岡崎市</v>
      </c>
      <c r="B536" s="2" t="s">
        <v>5</v>
      </c>
      <c r="E536" t="s">
        <v>193</v>
      </c>
      <c r="F536">
        <v>0</v>
      </c>
      <c r="G536">
        <v>0</v>
      </c>
    </row>
    <row r="537" spans="1:7" x14ac:dyDescent="0.15">
      <c r="A537" t="str">
        <f t="shared" si="13"/>
        <v>【ススキ】・【ネザサ】・【チガヤ】in尾張旭市</v>
      </c>
      <c r="B537" s="2" t="s">
        <v>38</v>
      </c>
      <c r="E537" t="s">
        <v>193</v>
      </c>
      <c r="F537">
        <v>0</v>
      </c>
      <c r="G537">
        <v>0</v>
      </c>
    </row>
    <row r="538" spans="1:7" x14ac:dyDescent="0.15">
      <c r="A538" t="str">
        <f t="shared" si="13"/>
        <v>【ススキ】・【ネザサ】・【チガヤ】in春日井市</v>
      </c>
      <c r="B538" s="2" t="s">
        <v>40</v>
      </c>
      <c r="E538" t="s">
        <v>193</v>
      </c>
      <c r="F538">
        <v>0</v>
      </c>
      <c r="G538">
        <v>0</v>
      </c>
    </row>
    <row r="539" spans="1:7" x14ac:dyDescent="0.15">
      <c r="A539" t="str">
        <f t="shared" si="13"/>
        <v>【ススキ】・【ネザサ】・【チガヤ】in蟹江町</v>
      </c>
      <c r="B539" s="2" t="s">
        <v>99</v>
      </c>
      <c r="E539" t="s">
        <v>193</v>
      </c>
      <c r="F539">
        <v>0</v>
      </c>
      <c r="G539">
        <v>0</v>
      </c>
    </row>
    <row r="540" spans="1:7" x14ac:dyDescent="0.15">
      <c r="A540" t="str">
        <f t="shared" si="13"/>
        <v>【ススキ】・【ネザサ】・【チガヤ】in蒲郡市</v>
      </c>
      <c r="B540" s="2" t="s">
        <v>44</v>
      </c>
      <c r="E540" t="s">
        <v>193</v>
      </c>
      <c r="F540">
        <v>0</v>
      </c>
      <c r="G540">
        <v>0</v>
      </c>
    </row>
    <row r="541" spans="1:7" x14ac:dyDescent="0.15">
      <c r="A541" t="str">
        <f t="shared" si="13"/>
        <v>【ススキ】・【ネザサ】・【チガヤ】in刈谷市</v>
      </c>
      <c r="B541" s="2" t="s">
        <v>100</v>
      </c>
      <c r="E541" t="s">
        <v>193</v>
      </c>
      <c r="F541">
        <v>0</v>
      </c>
      <c r="G541">
        <v>0</v>
      </c>
    </row>
    <row r="542" spans="1:7" x14ac:dyDescent="0.15">
      <c r="A542" t="str">
        <f t="shared" si="13"/>
        <v>【ススキ】・【ネザサ】・【チガヤ】in北名古屋市</v>
      </c>
      <c r="B542" s="2" t="s">
        <v>116</v>
      </c>
      <c r="E542" t="s">
        <v>193</v>
      </c>
      <c r="F542">
        <v>0</v>
      </c>
      <c r="G542">
        <v>0</v>
      </c>
    </row>
    <row r="543" spans="1:7" x14ac:dyDescent="0.15">
      <c r="A543" t="str">
        <f t="shared" si="13"/>
        <v>【ススキ】・【ネザサ】・【チガヤ】in清須市</v>
      </c>
      <c r="B543" s="2" t="s">
        <v>103</v>
      </c>
      <c r="E543" t="s">
        <v>193</v>
      </c>
      <c r="F543">
        <v>0</v>
      </c>
      <c r="G543">
        <v>0</v>
      </c>
    </row>
    <row r="544" spans="1:7" x14ac:dyDescent="0.15">
      <c r="A544" t="str">
        <f t="shared" si="13"/>
        <v>【ススキ】・【ネザサ】・【チガヤ】in幸田町</v>
      </c>
      <c r="B544" s="2" t="s">
        <v>33</v>
      </c>
      <c r="E544" t="s">
        <v>193</v>
      </c>
      <c r="F544">
        <v>0</v>
      </c>
      <c r="G544">
        <v>0</v>
      </c>
    </row>
    <row r="545" spans="1:7" x14ac:dyDescent="0.15">
      <c r="A545" t="str">
        <f t="shared" si="13"/>
        <v>【ススキ】・【ネザサ】・【チガヤ】in江南市</v>
      </c>
      <c r="B545" s="2" t="s">
        <v>102</v>
      </c>
      <c r="E545" t="s">
        <v>193</v>
      </c>
      <c r="F545">
        <v>0</v>
      </c>
      <c r="G545">
        <v>0</v>
      </c>
    </row>
    <row r="546" spans="1:7" x14ac:dyDescent="0.15">
      <c r="A546" t="str">
        <f t="shared" si="13"/>
        <v>【ススキ】・【ネザサ】・【チガヤ】in小牧市</v>
      </c>
      <c r="B546" s="2" t="s">
        <v>42</v>
      </c>
      <c r="E546" t="s">
        <v>193</v>
      </c>
      <c r="F546">
        <v>0</v>
      </c>
      <c r="G546">
        <v>0</v>
      </c>
    </row>
    <row r="547" spans="1:7" x14ac:dyDescent="0.15">
      <c r="A547" t="str">
        <f t="shared" si="13"/>
        <v>【ススキ】・【ネザサ】・【チガヤ】in設楽町</v>
      </c>
      <c r="B547" s="2" t="s">
        <v>105</v>
      </c>
      <c r="E547" t="s">
        <v>193</v>
      </c>
      <c r="F547">
        <v>0</v>
      </c>
      <c r="G547">
        <v>0</v>
      </c>
    </row>
    <row r="548" spans="1:7" x14ac:dyDescent="0.15">
      <c r="A548" t="str">
        <f t="shared" si="13"/>
        <v>【ススキ】・【ネザサ】・【チガヤ】in新城市</v>
      </c>
      <c r="B548" s="2" t="s">
        <v>6</v>
      </c>
      <c r="E548" t="s">
        <v>193</v>
      </c>
      <c r="F548">
        <v>0</v>
      </c>
      <c r="G548">
        <v>0</v>
      </c>
    </row>
    <row r="549" spans="1:7" x14ac:dyDescent="0.15">
      <c r="A549" t="str">
        <f t="shared" si="13"/>
        <v>【ススキ】・【ネザサ】・【チガヤ】in瀬戸市</v>
      </c>
      <c r="B549" s="2" t="s">
        <v>34</v>
      </c>
      <c r="E549" t="s">
        <v>193</v>
      </c>
      <c r="F549">
        <v>0</v>
      </c>
      <c r="G549">
        <v>0</v>
      </c>
    </row>
    <row r="550" spans="1:7" x14ac:dyDescent="0.15">
      <c r="A550" t="str">
        <f t="shared" si="13"/>
        <v>【ススキ】・【ネザサ】・【チガヤ】in高浜市</v>
      </c>
      <c r="B550" s="2" t="s">
        <v>56</v>
      </c>
      <c r="E550" t="s">
        <v>193</v>
      </c>
      <c r="F550">
        <v>0</v>
      </c>
      <c r="G550">
        <v>0</v>
      </c>
    </row>
    <row r="551" spans="1:7" x14ac:dyDescent="0.15">
      <c r="A551" t="str">
        <f t="shared" si="13"/>
        <v>【ススキ】・【ネザサ】・【チガヤ】in武豊町</v>
      </c>
      <c r="B551" s="2" t="s">
        <v>169</v>
      </c>
      <c r="E551" t="s">
        <v>193</v>
      </c>
      <c r="F551">
        <v>0</v>
      </c>
      <c r="G551">
        <v>0</v>
      </c>
    </row>
    <row r="552" spans="1:7" x14ac:dyDescent="0.15">
      <c r="A552" t="str">
        <f t="shared" si="13"/>
        <v>【ススキ】・【ネザサ】・【チガヤ】in田原市</v>
      </c>
      <c r="B552" s="2" t="s">
        <v>47</v>
      </c>
      <c r="E552" t="s">
        <v>193</v>
      </c>
      <c r="F552">
        <v>0</v>
      </c>
      <c r="G552">
        <v>0</v>
      </c>
    </row>
    <row r="553" spans="1:7" x14ac:dyDescent="0.15">
      <c r="A553" t="str">
        <f t="shared" si="13"/>
        <v>【ススキ】・【ネザサ】・【チガヤ】in知多市</v>
      </c>
      <c r="B553" s="2" t="s">
        <v>46</v>
      </c>
      <c r="E553" t="s">
        <v>193</v>
      </c>
      <c r="F553">
        <v>0</v>
      </c>
      <c r="G553">
        <v>0</v>
      </c>
    </row>
    <row r="554" spans="1:7" x14ac:dyDescent="0.15">
      <c r="A554" t="str">
        <f t="shared" si="13"/>
        <v>【ススキ】・【ネザサ】・【チガヤ】in知立市</v>
      </c>
      <c r="B554" s="2" t="s">
        <v>107</v>
      </c>
      <c r="E554" t="s">
        <v>193</v>
      </c>
      <c r="F554">
        <v>0</v>
      </c>
      <c r="G554">
        <v>0</v>
      </c>
    </row>
    <row r="555" spans="1:7" x14ac:dyDescent="0.15">
      <c r="A555" t="str">
        <f t="shared" si="13"/>
        <v>【ススキ】・【ネザサ】・【チガヤ】in津島市</v>
      </c>
      <c r="B555" s="2" t="s">
        <v>108</v>
      </c>
      <c r="E555" t="s">
        <v>193</v>
      </c>
      <c r="F555">
        <v>0</v>
      </c>
      <c r="G555">
        <v>0</v>
      </c>
    </row>
    <row r="556" spans="1:7" x14ac:dyDescent="0.15">
      <c r="A556" t="str">
        <f t="shared" si="13"/>
        <v>【ススキ】・【ネザサ】・【チガヤ】in東栄町</v>
      </c>
      <c r="B556" s="2" t="s">
        <v>39</v>
      </c>
      <c r="E556" t="s">
        <v>193</v>
      </c>
      <c r="F556">
        <v>0</v>
      </c>
      <c r="G556">
        <v>0</v>
      </c>
    </row>
    <row r="557" spans="1:7" x14ac:dyDescent="0.15">
      <c r="A557" t="str">
        <f t="shared" si="13"/>
        <v>【ススキ】・【ネザサ】・【チガヤ】in東海市</v>
      </c>
      <c r="B557" s="2" t="s">
        <v>49</v>
      </c>
      <c r="E557" t="s">
        <v>193</v>
      </c>
      <c r="F557">
        <v>0</v>
      </c>
      <c r="G557">
        <v>0</v>
      </c>
    </row>
    <row r="558" spans="1:7" x14ac:dyDescent="0.15">
      <c r="A558" t="str">
        <f t="shared" si="13"/>
        <v>【ススキ】・【ネザサ】・【チガヤ】in東郷町</v>
      </c>
      <c r="B558" s="2" t="s">
        <v>36</v>
      </c>
      <c r="E558" t="s">
        <v>193</v>
      </c>
      <c r="F558">
        <v>0</v>
      </c>
      <c r="G558">
        <v>0</v>
      </c>
    </row>
    <row r="559" spans="1:7" x14ac:dyDescent="0.15">
      <c r="A559" t="str">
        <f t="shared" si="13"/>
        <v>【ススキ】・【ネザサ】・【チガヤ】in常滑市</v>
      </c>
      <c r="B559" s="2" t="s">
        <v>45</v>
      </c>
      <c r="E559" t="s">
        <v>193</v>
      </c>
      <c r="F559">
        <v>0</v>
      </c>
      <c r="G559">
        <v>0</v>
      </c>
    </row>
    <row r="560" spans="1:7" x14ac:dyDescent="0.15">
      <c r="A560" t="str">
        <f t="shared" si="13"/>
        <v>【ススキ】・【ネザサ】・【チガヤ】in飛島村</v>
      </c>
      <c r="B560" s="2" t="s">
        <v>109</v>
      </c>
      <c r="E560" t="s">
        <v>193</v>
      </c>
      <c r="F560">
        <v>0</v>
      </c>
      <c r="G560">
        <v>0</v>
      </c>
    </row>
    <row r="561" spans="1:7" x14ac:dyDescent="0.15">
      <c r="A561" t="str">
        <f t="shared" si="13"/>
        <v>【ススキ】・【ネザサ】・【チガヤ】in豊明市</v>
      </c>
      <c r="B561" s="2" t="s">
        <v>115</v>
      </c>
      <c r="E561" t="s">
        <v>193</v>
      </c>
      <c r="F561">
        <v>0</v>
      </c>
      <c r="G561">
        <v>0</v>
      </c>
    </row>
    <row r="562" spans="1:7" x14ac:dyDescent="0.15">
      <c r="A562" t="str">
        <f t="shared" si="13"/>
        <v>【ススキ】・【ネザサ】・【チガヤ】in豊川市</v>
      </c>
      <c r="B562" s="2" t="s">
        <v>114</v>
      </c>
      <c r="E562" t="s">
        <v>193</v>
      </c>
      <c r="F562">
        <v>0</v>
      </c>
      <c r="G562">
        <v>0</v>
      </c>
    </row>
    <row r="563" spans="1:7" x14ac:dyDescent="0.15">
      <c r="A563" t="str">
        <f t="shared" ref="A563:A569" si="15">E563&amp;"in"&amp;B563</f>
        <v>【ススキ】・【ネザサ】・【チガヤ】in豊田市（旧豊田市）</v>
      </c>
      <c r="B563" t="s">
        <v>601</v>
      </c>
      <c r="E563" t="s">
        <v>193</v>
      </c>
      <c r="F563">
        <v>0</v>
      </c>
      <c r="G563">
        <v>0</v>
      </c>
    </row>
    <row r="564" spans="1:7" x14ac:dyDescent="0.15">
      <c r="A564" t="str">
        <f t="shared" si="15"/>
        <v>【ススキ】・【ネザサ】・【チガヤ】in豊田市（旧藤岡町）</v>
      </c>
      <c r="B564" s="2" t="s">
        <v>602</v>
      </c>
      <c r="E564" t="s">
        <v>193</v>
      </c>
      <c r="F564">
        <v>0</v>
      </c>
      <c r="G564">
        <v>0</v>
      </c>
    </row>
    <row r="565" spans="1:7" x14ac:dyDescent="0.15">
      <c r="A565" t="str">
        <f t="shared" si="15"/>
        <v>【ススキ】・【ネザサ】・【チガヤ】in豊田市（旧小原村）</v>
      </c>
      <c r="B565" t="s">
        <v>603</v>
      </c>
      <c r="E565" t="s">
        <v>193</v>
      </c>
      <c r="F565">
        <v>0</v>
      </c>
      <c r="G565">
        <v>0</v>
      </c>
    </row>
    <row r="566" spans="1:7" x14ac:dyDescent="0.15">
      <c r="A566" t="str">
        <f t="shared" si="15"/>
        <v>【ススキ】・【ネザサ】・【チガヤ】in豊田市（旧足助町）</v>
      </c>
      <c r="B566" t="s">
        <v>604</v>
      </c>
      <c r="E566" t="s">
        <v>193</v>
      </c>
      <c r="F566">
        <v>0</v>
      </c>
      <c r="G566">
        <v>0</v>
      </c>
    </row>
    <row r="567" spans="1:7" x14ac:dyDescent="0.15">
      <c r="A567" t="str">
        <f t="shared" si="15"/>
        <v>【ススキ】・【ネザサ】・【チガヤ】in豊田市（旧下山村）</v>
      </c>
      <c r="B567" t="s">
        <v>600</v>
      </c>
      <c r="E567" t="s">
        <v>193</v>
      </c>
      <c r="F567">
        <v>0</v>
      </c>
      <c r="G567">
        <v>0</v>
      </c>
    </row>
    <row r="568" spans="1:7" x14ac:dyDescent="0.15">
      <c r="A568" t="str">
        <f t="shared" si="15"/>
        <v>【ススキ】・【ネザサ】・【チガヤ】in豊田市（旧旭町）</v>
      </c>
      <c r="B568" t="s">
        <v>605</v>
      </c>
      <c r="E568" t="s">
        <v>193</v>
      </c>
      <c r="F568">
        <v>0</v>
      </c>
      <c r="G568">
        <v>0</v>
      </c>
    </row>
    <row r="569" spans="1:7" x14ac:dyDescent="0.15">
      <c r="A569" t="str">
        <f t="shared" si="15"/>
        <v>【ススキ】・【ネザサ】・【チガヤ】in豊田市（旧稲武町）</v>
      </c>
      <c r="B569" t="s">
        <v>606</v>
      </c>
      <c r="E569" t="s">
        <v>193</v>
      </c>
      <c r="F569">
        <v>0</v>
      </c>
      <c r="G569">
        <v>0</v>
      </c>
    </row>
    <row r="570" spans="1:7" x14ac:dyDescent="0.15">
      <c r="A570" t="str">
        <f t="shared" si="13"/>
        <v>【ススキ】・【ネザサ】・【チガヤ】in豊根村</v>
      </c>
      <c r="B570" s="2" t="s">
        <v>112</v>
      </c>
      <c r="E570" t="s">
        <v>193</v>
      </c>
      <c r="F570">
        <v>0</v>
      </c>
      <c r="G570">
        <v>0</v>
      </c>
    </row>
    <row r="571" spans="1:7" x14ac:dyDescent="0.15">
      <c r="A571" t="str">
        <f t="shared" si="13"/>
        <v>【ススキ】・【ネザサ】・【チガヤ】in豊橋市</v>
      </c>
      <c r="B571" s="2" t="s">
        <v>54</v>
      </c>
      <c r="E571" t="s">
        <v>193</v>
      </c>
      <c r="F571">
        <v>0</v>
      </c>
      <c r="G571">
        <v>0</v>
      </c>
    </row>
    <row r="572" spans="1:7" x14ac:dyDescent="0.15">
      <c r="A572" t="str">
        <f t="shared" si="13"/>
        <v>【ススキ】・【ネザサ】・【チガヤ】in豊山町</v>
      </c>
      <c r="B572" s="2" t="s">
        <v>113</v>
      </c>
      <c r="E572" t="s">
        <v>193</v>
      </c>
      <c r="F572">
        <v>0</v>
      </c>
      <c r="G572">
        <v>0</v>
      </c>
    </row>
    <row r="573" spans="1:7" x14ac:dyDescent="0.15">
      <c r="A573" t="str">
        <f t="shared" si="13"/>
        <v>【ススキ】・【ネザサ】・【チガヤ】in長久手市</v>
      </c>
      <c r="B573" s="2" t="s">
        <v>35</v>
      </c>
      <c r="E573" t="s">
        <v>193</v>
      </c>
      <c r="F573">
        <v>0</v>
      </c>
      <c r="G573">
        <v>0</v>
      </c>
    </row>
    <row r="574" spans="1:7" x14ac:dyDescent="0.15">
      <c r="A574" t="str">
        <f t="shared" si="13"/>
        <v>【ススキ】・【ネザサ】・【チガヤ】in名古屋市</v>
      </c>
      <c r="B574" s="2" t="s">
        <v>58</v>
      </c>
      <c r="E574" t="s">
        <v>193</v>
      </c>
      <c r="F574">
        <v>0</v>
      </c>
      <c r="G574">
        <v>0</v>
      </c>
    </row>
    <row r="575" spans="1:7" x14ac:dyDescent="0.15">
      <c r="A575" t="str">
        <f t="shared" si="13"/>
        <v>【ススキ】・【ネザサ】・【チガヤ】in西尾市</v>
      </c>
      <c r="B575" s="2" t="s">
        <v>104</v>
      </c>
      <c r="E575" t="s">
        <v>193</v>
      </c>
      <c r="F575">
        <v>0</v>
      </c>
      <c r="G575">
        <v>0</v>
      </c>
    </row>
    <row r="576" spans="1:7" x14ac:dyDescent="0.15">
      <c r="A576" t="str">
        <f t="shared" ref="A576:A645" si="16">E576&amp;"in"&amp;B576</f>
        <v>【ススキ】・【ネザサ】・【チガヤ】in日進市</v>
      </c>
      <c r="B576" s="2" t="s">
        <v>37</v>
      </c>
      <c r="E576" t="s">
        <v>193</v>
      </c>
      <c r="F576">
        <v>0</v>
      </c>
      <c r="G576">
        <v>0</v>
      </c>
    </row>
    <row r="577" spans="1:7" x14ac:dyDescent="0.15">
      <c r="A577" t="str">
        <f t="shared" si="16"/>
        <v>【ススキ】・【ネザサ】・【チガヤ】in半田市</v>
      </c>
      <c r="B577" s="2" t="s">
        <v>51</v>
      </c>
      <c r="E577" t="s">
        <v>193</v>
      </c>
      <c r="F577">
        <v>0</v>
      </c>
      <c r="G577">
        <v>0</v>
      </c>
    </row>
    <row r="578" spans="1:7" x14ac:dyDescent="0.15">
      <c r="A578" t="str">
        <f t="shared" si="16"/>
        <v>【ススキ】・【ネザサ】・【チガヤ】in東浦町</v>
      </c>
      <c r="B578" s="2" t="s">
        <v>48</v>
      </c>
      <c r="E578" t="s">
        <v>193</v>
      </c>
      <c r="F578">
        <v>0</v>
      </c>
      <c r="G578">
        <v>0</v>
      </c>
    </row>
    <row r="579" spans="1:7" x14ac:dyDescent="0.15">
      <c r="A579" t="str">
        <f t="shared" si="16"/>
        <v>【ススキ】・【ネザサ】・【チガヤ】in美浜町</v>
      </c>
      <c r="B579" s="2" t="s">
        <v>52</v>
      </c>
      <c r="E579" t="s">
        <v>193</v>
      </c>
      <c r="F579">
        <v>0</v>
      </c>
      <c r="G579">
        <v>0</v>
      </c>
    </row>
    <row r="580" spans="1:7" x14ac:dyDescent="0.15">
      <c r="A580" t="str">
        <f t="shared" si="16"/>
        <v>【ススキ】・【ネザサ】・【チガヤ】in扶桑町</v>
      </c>
      <c r="B580" s="2" t="s">
        <v>110</v>
      </c>
      <c r="E580" t="s">
        <v>193</v>
      </c>
      <c r="F580">
        <v>0</v>
      </c>
      <c r="G580">
        <v>0</v>
      </c>
    </row>
    <row r="581" spans="1:7" x14ac:dyDescent="0.15">
      <c r="A581" t="str">
        <f t="shared" si="16"/>
        <v>【ススキ】・【ネザサ】・【チガヤ】in碧南市</v>
      </c>
      <c r="B581" s="2" t="s">
        <v>111</v>
      </c>
      <c r="E581" t="s">
        <v>193</v>
      </c>
      <c r="F581">
        <v>0</v>
      </c>
      <c r="G581">
        <v>0</v>
      </c>
    </row>
    <row r="582" spans="1:7" x14ac:dyDescent="0.15">
      <c r="A582" t="str">
        <f t="shared" si="16"/>
        <v>【ススキ】・【ネザサ】・【チガヤ】in南知多町</v>
      </c>
      <c r="B582" s="2" t="s">
        <v>50</v>
      </c>
      <c r="E582" t="s">
        <v>193</v>
      </c>
      <c r="F582">
        <v>0</v>
      </c>
      <c r="G582">
        <v>0</v>
      </c>
    </row>
    <row r="583" spans="1:7" x14ac:dyDescent="0.15">
      <c r="A583" t="str">
        <f t="shared" si="16"/>
        <v>【ススキ】・【ネザサ】・【チガヤ】inみよし市</v>
      </c>
      <c r="B583" s="2" t="s">
        <v>573</v>
      </c>
      <c r="E583" t="s">
        <v>193</v>
      </c>
      <c r="F583">
        <v>0</v>
      </c>
      <c r="G583">
        <v>0</v>
      </c>
    </row>
    <row r="584" spans="1:7" x14ac:dyDescent="0.15">
      <c r="A584" t="str">
        <f t="shared" si="16"/>
        <v>【ススキ】・【ネザサ】・【チガヤ】in弥富市</v>
      </c>
      <c r="B584" s="2" t="s">
        <v>576</v>
      </c>
      <c r="E584" t="s">
        <v>193</v>
      </c>
      <c r="F584">
        <v>0</v>
      </c>
      <c r="G584">
        <v>0</v>
      </c>
    </row>
    <row r="585" spans="1:7" x14ac:dyDescent="0.15">
      <c r="A585" t="str">
        <f t="shared" si="16"/>
        <v>その他の低木・草in愛西市</v>
      </c>
      <c r="B585" s="2" t="s">
        <v>96</v>
      </c>
      <c r="E585" t="s">
        <v>258</v>
      </c>
      <c r="F585">
        <v>0</v>
      </c>
      <c r="G585">
        <v>0</v>
      </c>
    </row>
    <row r="586" spans="1:7" x14ac:dyDescent="0.15">
      <c r="A586" t="str">
        <f t="shared" si="16"/>
        <v>その他の低木・草in阿久比町</v>
      </c>
      <c r="B586" s="2" t="s">
        <v>65</v>
      </c>
      <c r="E586" t="s">
        <v>258</v>
      </c>
      <c r="F586">
        <v>0</v>
      </c>
      <c r="G586">
        <v>0</v>
      </c>
    </row>
    <row r="587" spans="1:7" x14ac:dyDescent="0.15">
      <c r="A587" t="str">
        <f t="shared" si="16"/>
        <v>その他の低木・草inあま市</v>
      </c>
      <c r="B587" s="2" t="s">
        <v>95</v>
      </c>
      <c r="E587" t="s">
        <v>258</v>
      </c>
      <c r="F587">
        <v>0</v>
      </c>
      <c r="G587">
        <v>0</v>
      </c>
    </row>
    <row r="588" spans="1:7" x14ac:dyDescent="0.15">
      <c r="A588" t="str">
        <f t="shared" si="16"/>
        <v>その他の低木・草in安城市</v>
      </c>
      <c r="B588" s="2" t="s">
        <v>55</v>
      </c>
      <c r="E588" t="s">
        <v>258</v>
      </c>
      <c r="F588">
        <v>0</v>
      </c>
      <c r="G588">
        <v>0</v>
      </c>
    </row>
    <row r="589" spans="1:7" x14ac:dyDescent="0.15">
      <c r="A589" t="str">
        <f t="shared" si="16"/>
        <v>その他の低木・草in一宮市</v>
      </c>
      <c r="B589" s="2" t="s">
        <v>97</v>
      </c>
      <c r="E589" t="s">
        <v>258</v>
      </c>
      <c r="F589">
        <v>0</v>
      </c>
      <c r="G589">
        <v>0</v>
      </c>
    </row>
    <row r="590" spans="1:7" x14ac:dyDescent="0.15">
      <c r="A590" t="str">
        <f t="shared" si="16"/>
        <v>その他の低木・草in稲沢市</v>
      </c>
      <c r="B590" s="2" t="s">
        <v>98</v>
      </c>
      <c r="E590" t="s">
        <v>258</v>
      </c>
      <c r="F590">
        <v>0</v>
      </c>
      <c r="G590">
        <v>0</v>
      </c>
    </row>
    <row r="591" spans="1:7" x14ac:dyDescent="0.15">
      <c r="A591" t="str">
        <f t="shared" si="16"/>
        <v>その他の低木・草in犬山市</v>
      </c>
      <c r="B591" s="2" t="s">
        <v>57</v>
      </c>
      <c r="E591" t="s">
        <v>258</v>
      </c>
      <c r="F591">
        <v>0</v>
      </c>
      <c r="G591">
        <v>0</v>
      </c>
    </row>
    <row r="592" spans="1:7" x14ac:dyDescent="0.15">
      <c r="A592" t="str">
        <f t="shared" si="16"/>
        <v>その他の低木・草in岩倉市</v>
      </c>
      <c r="B592" s="2" t="s">
        <v>101</v>
      </c>
      <c r="E592" t="s">
        <v>258</v>
      </c>
      <c r="F592">
        <v>0</v>
      </c>
      <c r="G592">
        <v>0</v>
      </c>
    </row>
    <row r="593" spans="1:7" x14ac:dyDescent="0.15">
      <c r="A593" t="str">
        <f t="shared" si="16"/>
        <v>その他の低木・草in大口町</v>
      </c>
      <c r="B593" s="2" t="s">
        <v>41</v>
      </c>
      <c r="E593" t="s">
        <v>258</v>
      </c>
      <c r="F593">
        <v>0</v>
      </c>
      <c r="G593">
        <v>0</v>
      </c>
    </row>
    <row r="594" spans="1:7" x14ac:dyDescent="0.15">
      <c r="A594" t="str">
        <f t="shared" si="16"/>
        <v>その他の低木・草in大治町</v>
      </c>
      <c r="B594" s="2" t="s">
        <v>106</v>
      </c>
      <c r="E594" t="s">
        <v>258</v>
      </c>
      <c r="F594">
        <v>0</v>
      </c>
      <c r="G594">
        <v>0</v>
      </c>
    </row>
    <row r="595" spans="1:7" x14ac:dyDescent="0.15">
      <c r="A595" t="str">
        <f t="shared" si="16"/>
        <v>その他の低木・草in大府市</v>
      </c>
      <c r="B595" s="2" t="s">
        <v>43</v>
      </c>
      <c r="E595" t="s">
        <v>258</v>
      </c>
      <c r="F595">
        <v>0</v>
      </c>
      <c r="G595">
        <v>0</v>
      </c>
    </row>
    <row r="596" spans="1:7" x14ac:dyDescent="0.15">
      <c r="A596" t="str">
        <f t="shared" si="16"/>
        <v>その他の低木・草in岡崎市</v>
      </c>
      <c r="B596" s="2" t="s">
        <v>5</v>
      </c>
      <c r="E596" t="s">
        <v>258</v>
      </c>
      <c r="F596">
        <v>0</v>
      </c>
      <c r="G596">
        <v>0</v>
      </c>
    </row>
    <row r="597" spans="1:7" x14ac:dyDescent="0.15">
      <c r="A597" t="str">
        <f t="shared" si="16"/>
        <v>その他の低木・草in尾張旭市</v>
      </c>
      <c r="B597" s="2" t="s">
        <v>38</v>
      </c>
      <c r="E597" t="s">
        <v>258</v>
      </c>
      <c r="F597">
        <v>0</v>
      </c>
      <c r="G597">
        <v>0</v>
      </c>
    </row>
    <row r="598" spans="1:7" x14ac:dyDescent="0.15">
      <c r="A598" t="str">
        <f t="shared" si="16"/>
        <v>その他の低木・草in春日井市</v>
      </c>
      <c r="B598" s="2" t="s">
        <v>40</v>
      </c>
      <c r="E598" t="s">
        <v>258</v>
      </c>
      <c r="F598">
        <v>0</v>
      </c>
      <c r="G598">
        <v>0</v>
      </c>
    </row>
    <row r="599" spans="1:7" x14ac:dyDescent="0.15">
      <c r="A599" t="str">
        <f t="shared" si="16"/>
        <v>その他の低木・草in蟹江町</v>
      </c>
      <c r="B599" s="2" t="s">
        <v>99</v>
      </c>
      <c r="E599" t="s">
        <v>258</v>
      </c>
      <c r="F599">
        <v>0</v>
      </c>
      <c r="G599">
        <v>0</v>
      </c>
    </row>
    <row r="600" spans="1:7" x14ac:dyDescent="0.15">
      <c r="A600" t="str">
        <f t="shared" si="16"/>
        <v>その他の低木・草in蒲郡市</v>
      </c>
      <c r="B600" s="2" t="s">
        <v>44</v>
      </c>
      <c r="E600" t="s">
        <v>258</v>
      </c>
      <c r="F600">
        <v>0</v>
      </c>
      <c r="G600">
        <v>0</v>
      </c>
    </row>
    <row r="601" spans="1:7" x14ac:dyDescent="0.15">
      <c r="A601" t="str">
        <f t="shared" si="16"/>
        <v>その他の低木・草in刈谷市</v>
      </c>
      <c r="B601" s="2" t="s">
        <v>100</v>
      </c>
      <c r="E601" t="s">
        <v>258</v>
      </c>
      <c r="F601">
        <v>0</v>
      </c>
      <c r="G601">
        <v>0</v>
      </c>
    </row>
    <row r="602" spans="1:7" x14ac:dyDescent="0.15">
      <c r="A602" t="str">
        <f t="shared" si="16"/>
        <v>その他の低木・草in北名古屋市</v>
      </c>
      <c r="B602" s="2" t="s">
        <v>116</v>
      </c>
      <c r="E602" t="s">
        <v>258</v>
      </c>
      <c r="F602">
        <v>0</v>
      </c>
      <c r="G602">
        <v>0</v>
      </c>
    </row>
    <row r="603" spans="1:7" x14ac:dyDescent="0.15">
      <c r="A603" t="str">
        <f t="shared" si="16"/>
        <v>その他の低木・草in清須市</v>
      </c>
      <c r="B603" s="2" t="s">
        <v>103</v>
      </c>
      <c r="E603" t="s">
        <v>258</v>
      </c>
      <c r="F603">
        <v>0</v>
      </c>
      <c r="G603">
        <v>0</v>
      </c>
    </row>
    <row r="604" spans="1:7" x14ac:dyDescent="0.15">
      <c r="A604" t="str">
        <f t="shared" si="16"/>
        <v>その他の低木・草in幸田町</v>
      </c>
      <c r="B604" s="2" t="s">
        <v>33</v>
      </c>
      <c r="E604" t="s">
        <v>258</v>
      </c>
      <c r="F604">
        <v>0</v>
      </c>
      <c r="G604">
        <v>0</v>
      </c>
    </row>
    <row r="605" spans="1:7" x14ac:dyDescent="0.15">
      <c r="A605" t="str">
        <f t="shared" si="16"/>
        <v>その他の低木・草in江南市</v>
      </c>
      <c r="B605" s="2" t="s">
        <v>102</v>
      </c>
      <c r="E605" t="s">
        <v>258</v>
      </c>
      <c r="F605">
        <v>0</v>
      </c>
      <c r="G605">
        <v>0</v>
      </c>
    </row>
    <row r="606" spans="1:7" x14ac:dyDescent="0.15">
      <c r="A606" t="str">
        <f t="shared" si="16"/>
        <v>その他の低木・草in小牧市</v>
      </c>
      <c r="B606" s="2" t="s">
        <v>42</v>
      </c>
      <c r="E606" t="s">
        <v>258</v>
      </c>
      <c r="F606">
        <v>0</v>
      </c>
      <c r="G606">
        <v>0</v>
      </c>
    </row>
    <row r="607" spans="1:7" x14ac:dyDescent="0.15">
      <c r="A607" t="str">
        <f t="shared" si="16"/>
        <v>その他の低木・草in設楽町</v>
      </c>
      <c r="B607" s="2" t="s">
        <v>105</v>
      </c>
      <c r="E607" t="s">
        <v>258</v>
      </c>
      <c r="F607">
        <v>0</v>
      </c>
      <c r="G607">
        <v>0</v>
      </c>
    </row>
    <row r="608" spans="1:7" x14ac:dyDescent="0.15">
      <c r="A608" t="str">
        <f t="shared" si="16"/>
        <v>その他の低木・草in新城市</v>
      </c>
      <c r="B608" s="2" t="s">
        <v>6</v>
      </c>
      <c r="E608" t="s">
        <v>258</v>
      </c>
      <c r="F608">
        <v>0</v>
      </c>
      <c r="G608">
        <v>0</v>
      </c>
    </row>
    <row r="609" spans="1:7" x14ac:dyDescent="0.15">
      <c r="A609" t="str">
        <f t="shared" si="16"/>
        <v>その他の低木・草in瀬戸市</v>
      </c>
      <c r="B609" s="2" t="s">
        <v>34</v>
      </c>
      <c r="E609" t="s">
        <v>258</v>
      </c>
      <c r="F609">
        <v>0</v>
      </c>
      <c r="G609">
        <v>0</v>
      </c>
    </row>
    <row r="610" spans="1:7" x14ac:dyDescent="0.15">
      <c r="A610" t="str">
        <f t="shared" si="16"/>
        <v>その他の低木・草in高浜市</v>
      </c>
      <c r="B610" s="2" t="s">
        <v>56</v>
      </c>
      <c r="E610" t="s">
        <v>258</v>
      </c>
      <c r="F610">
        <v>0</v>
      </c>
      <c r="G610">
        <v>0</v>
      </c>
    </row>
    <row r="611" spans="1:7" x14ac:dyDescent="0.15">
      <c r="A611" t="str">
        <f t="shared" si="16"/>
        <v>その他の低木・草in武豊町</v>
      </c>
      <c r="B611" s="2" t="s">
        <v>169</v>
      </c>
      <c r="E611" t="s">
        <v>258</v>
      </c>
      <c r="F611">
        <v>0</v>
      </c>
      <c r="G611">
        <v>0</v>
      </c>
    </row>
    <row r="612" spans="1:7" x14ac:dyDescent="0.15">
      <c r="A612" t="str">
        <f t="shared" si="16"/>
        <v>その他の低木・草in田原市</v>
      </c>
      <c r="B612" s="2" t="s">
        <v>47</v>
      </c>
      <c r="E612" t="s">
        <v>258</v>
      </c>
      <c r="F612">
        <v>0</v>
      </c>
      <c r="G612">
        <v>0</v>
      </c>
    </row>
    <row r="613" spans="1:7" x14ac:dyDescent="0.15">
      <c r="A613" t="str">
        <f t="shared" si="16"/>
        <v>その他の低木・草in知多市</v>
      </c>
      <c r="B613" s="2" t="s">
        <v>46</v>
      </c>
      <c r="E613" t="s">
        <v>258</v>
      </c>
      <c r="F613">
        <v>0</v>
      </c>
      <c r="G613">
        <v>0</v>
      </c>
    </row>
    <row r="614" spans="1:7" x14ac:dyDescent="0.15">
      <c r="A614" t="str">
        <f t="shared" si="16"/>
        <v>その他の低木・草in知立市</v>
      </c>
      <c r="B614" s="2" t="s">
        <v>107</v>
      </c>
      <c r="E614" t="s">
        <v>258</v>
      </c>
      <c r="F614">
        <v>0</v>
      </c>
      <c r="G614">
        <v>0</v>
      </c>
    </row>
    <row r="615" spans="1:7" x14ac:dyDescent="0.15">
      <c r="A615" t="str">
        <f t="shared" si="16"/>
        <v>その他の低木・草in津島市</v>
      </c>
      <c r="B615" s="2" t="s">
        <v>108</v>
      </c>
      <c r="E615" t="s">
        <v>258</v>
      </c>
      <c r="F615">
        <v>0</v>
      </c>
      <c r="G615">
        <v>0</v>
      </c>
    </row>
    <row r="616" spans="1:7" x14ac:dyDescent="0.15">
      <c r="A616" t="str">
        <f t="shared" si="16"/>
        <v>その他の低木・草in東栄町</v>
      </c>
      <c r="B616" s="2" t="s">
        <v>39</v>
      </c>
      <c r="E616" t="s">
        <v>258</v>
      </c>
      <c r="F616">
        <v>0</v>
      </c>
      <c r="G616">
        <v>0</v>
      </c>
    </row>
    <row r="617" spans="1:7" x14ac:dyDescent="0.15">
      <c r="A617" t="str">
        <f t="shared" si="16"/>
        <v>その他の低木・草in東海市</v>
      </c>
      <c r="B617" s="2" t="s">
        <v>49</v>
      </c>
      <c r="E617" t="s">
        <v>258</v>
      </c>
      <c r="F617">
        <v>0</v>
      </c>
      <c r="G617">
        <v>0</v>
      </c>
    </row>
    <row r="618" spans="1:7" x14ac:dyDescent="0.15">
      <c r="A618" t="str">
        <f t="shared" si="16"/>
        <v>その他の低木・草in東郷町</v>
      </c>
      <c r="B618" s="2" t="s">
        <v>36</v>
      </c>
      <c r="E618" t="s">
        <v>258</v>
      </c>
      <c r="F618">
        <v>0</v>
      </c>
      <c r="G618">
        <v>0</v>
      </c>
    </row>
    <row r="619" spans="1:7" x14ac:dyDescent="0.15">
      <c r="A619" t="str">
        <f t="shared" si="16"/>
        <v>その他の低木・草in常滑市</v>
      </c>
      <c r="B619" s="2" t="s">
        <v>45</v>
      </c>
      <c r="E619" t="s">
        <v>258</v>
      </c>
      <c r="F619">
        <v>0</v>
      </c>
      <c r="G619">
        <v>0</v>
      </c>
    </row>
    <row r="620" spans="1:7" x14ac:dyDescent="0.15">
      <c r="A620" t="str">
        <f t="shared" si="16"/>
        <v>その他の低木・草in飛島村</v>
      </c>
      <c r="B620" s="2" t="s">
        <v>109</v>
      </c>
      <c r="E620" t="s">
        <v>258</v>
      </c>
      <c r="F620">
        <v>0</v>
      </c>
      <c r="G620">
        <v>0</v>
      </c>
    </row>
    <row r="621" spans="1:7" x14ac:dyDescent="0.15">
      <c r="A621" t="str">
        <f t="shared" si="16"/>
        <v>その他の低木・草in豊明市</v>
      </c>
      <c r="B621" s="2" t="s">
        <v>115</v>
      </c>
      <c r="E621" t="s">
        <v>258</v>
      </c>
      <c r="F621">
        <v>0</v>
      </c>
      <c r="G621">
        <v>0</v>
      </c>
    </row>
    <row r="622" spans="1:7" x14ac:dyDescent="0.15">
      <c r="A622" t="str">
        <f t="shared" si="16"/>
        <v>その他の低木・草in豊川市</v>
      </c>
      <c r="B622" s="2" t="s">
        <v>114</v>
      </c>
      <c r="E622" t="s">
        <v>258</v>
      </c>
      <c r="F622">
        <v>0</v>
      </c>
      <c r="G622">
        <v>0</v>
      </c>
    </row>
    <row r="623" spans="1:7" x14ac:dyDescent="0.15">
      <c r="A623" t="str">
        <f t="shared" ref="A623:A629" si="17">E623&amp;"in"&amp;B623</f>
        <v>その他の低木・草in豊田市（旧豊田市）</v>
      </c>
      <c r="B623" t="s">
        <v>601</v>
      </c>
      <c r="E623" t="s">
        <v>258</v>
      </c>
      <c r="F623">
        <v>0</v>
      </c>
      <c r="G623">
        <v>0</v>
      </c>
    </row>
    <row r="624" spans="1:7" x14ac:dyDescent="0.15">
      <c r="A624" t="str">
        <f t="shared" si="17"/>
        <v>その他の低木・草in豊田市（旧藤岡町）</v>
      </c>
      <c r="B624" s="2" t="s">
        <v>602</v>
      </c>
      <c r="E624" t="s">
        <v>258</v>
      </c>
      <c r="F624">
        <v>0</v>
      </c>
      <c r="G624">
        <v>0</v>
      </c>
    </row>
    <row r="625" spans="1:7" x14ac:dyDescent="0.15">
      <c r="A625" t="str">
        <f t="shared" si="17"/>
        <v>その他の低木・草in豊田市（旧小原村）</v>
      </c>
      <c r="B625" t="s">
        <v>603</v>
      </c>
      <c r="E625" t="s">
        <v>258</v>
      </c>
      <c r="F625">
        <v>0</v>
      </c>
      <c r="G625">
        <v>0</v>
      </c>
    </row>
    <row r="626" spans="1:7" x14ac:dyDescent="0.15">
      <c r="A626" t="str">
        <f t="shared" si="17"/>
        <v>その他の低木・草in豊田市（旧足助町）</v>
      </c>
      <c r="B626" t="s">
        <v>604</v>
      </c>
      <c r="E626" t="s">
        <v>258</v>
      </c>
      <c r="F626">
        <v>0</v>
      </c>
      <c r="G626">
        <v>0</v>
      </c>
    </row>
    <row r="627" spans="1:7" x14ac:dyDescent="0.15">
      <c r="A627" t="str">
        <f t="shared" si="17"/>
        <v>その他の低木・草in豊田市（旧下山村）</v>
      </c>
      <c r="B627" t="s">
        <v>600</v>
      </c>
      <c r="E627" t="s">
        <v>258</v>
      </c>
      <c r="F627">
        <v>0</v>
      </c>
      <c r="G627">
        <v>0</v>
      </c>
    </row>
    <row r="628" spans="1:7" x14ac:dyDescent="0.15">
      <c r="A628" t="str">
        <f t="shared" si="17"/>
        <v>その他の低木・草in豊田市（旧旭町）</v>
      </c>
      <c r="B628" t="s">
        <v>605</v>
      </c>
      <c r="E628" t="s">
        <v>258</v>
      </c>
      <c r="F628">
        <v>0</v>
      </c>
      <c r="G628">
        <v>0</v>
      </c>
    </row>
    <row r="629" spans="1:7" x14ac:dyDescent="0.15">
      <c r="A629" t="str">
        <f t="shared" si="17"/>
        <v>その他の低木・草in豊田市（旧稲武町）</v>
      </c>
      <c r="B629" t="s">
        <v>606</v>
      </c>
      <c r="E629" t="s">
        <v>258</v>
      </c>
      <c r="F629">
        <v>0</v>
      </c>
      <c r="G629">
        <v>0</v>
      </c>
    </row>
    <row r="630" spans="1:7" x14ac:dyDescent="0.15">
      <c r="A630" t="str">
        <f t="shared" si="16"/>
        <v>その他の低木・草in豊根村</v>
      </c>
      <c r="B630" s="2" t="s">
        <v>112</v>
      </c>
      <c r="E630" t="s">
        <v>258</v>
      </c>
      <c r="F630">
        <v>0</v>
      </c>
      <c r="G630">
        <v>0</v>
      </c>
    </row>
    <row r="631" spans="1:7" x14ac:dyDescent="0.15">
      <c r="A631" t="str">
        <f t="shared" si="16"/>
        <v>その他の低木・草in豊橋市</v>
      </c>
      <c r="B631" s="2" t="s">
        <v>54</v>
      </c>
      <c r="E631" t="s">
        <v>258</v>
      </c>
      <c r="F631">
        <v>0</v>
      </c>
      <c r="G631">
        <v>0</v>
      </c>
    </row>
    <row r="632" spans="1:7" x14ac:dyDescent="0.15">
      <c r="A632" t="str">
        <f t="shared" si="16"/>
        <v>その他の低木・草in豊山町</v>
      </c>
      <c r="B632" s="2" t="s">
        <v>113</v>
      </c>
      <c r="E632" t="s">
        <v>258</v>
      </c>
      <c r="F632">
        <v>0</v>
      </c>
      <c r="G632">
        <v>0</v>
      </c>
    </row>
    <row r="633" spans="1:7" x14ac:dyDescent="0.15">
      <c r="A633" t="str">
        <f t="shared" si="16"/>
        <v>その他の低木・草in長久手市</v>
      </c>
      <c r="B633" s="2" t="s">
        <v>35</v>
      </c>
      <c r="E633" t="s">
        <v>258</v>
      </c>
      <c r="F633">
        <v>0</v>
      </c>
      <c r="G633">
        <v>0</v>
      </c>
    </row>
    <row r="634" spans="1:7" x14ac:dyDescent="0.15">
      <c r="A634" t="str">
        <f t="shared" si="16"/>
        <v>その他の低木・草in名古屋市</v>
      </c>
      <c r="B634" s="2" t="s">
        <v>58</v>
      </c>
      <c r="E634" t="s">
        <v>258</v>
      </c>
      <c r="F634">
        <v>0</v>
      </c>
      <c r="G634">
        <v>0</v>
      </c>
    </row>
    <row r="635" spans="1:7" x14ac:dyDescent="0.15">
      <c r="A635" t="str">
        <f t="shared" si="16"/>
        <v>その他の低木・草in西尾市</v>
      </c>
      <c r="B635" s="2" t="s">
        <v>104</v>
      </c>
      <c r="E635" t="s">
        <v>258</v>
      </c>
      <c r="F635">
        <v>0</v>
      </c>
      <c r="G635">
        <v>0</v>
      </c>
    </row>
    <row r="636" spans="1:7" x14ac:dyDescent="0.15">
      <c r="A636" t="str">
        <f t="shared" si="16"/>
        <v>その他の低木・草in日進市</v>
      </c>
      <c r="B636" s="2" t="s">
        <v>37</v>
      </c>
      <c r="E636" t="s">
        <v>258</v>
      </c>
      <c r="F636">
        <v>0</v>
      </c>
      <c r="G636">
        <v>0</v>
      </c>
    </row>
    <row r="637" spans="1:7" x14ac:dyDescent="0.15">
      <c r="A637" t="str">
        <f t="shared" si="16"/>
        <v>その他の低木・草in半田市</v>
      </c>
      <c r="B637" s="2" t="s">
        <v>51</v>
      </c>
      <c r="E637" t="s">
        <v>258</v>
      </c>
      <c r="F637">
        <v>0</v>
      </c>
      <c r="G637">
        <v>0</v>
      </c>
    </row>
    <row r="638" spans="1:7" x14ac:dyDescent="0.15">
      <c r="A638" t="str">
        <f t="shared" si="16"/>
        <v>その他の低木・草in東浦町</v>
      </c>
      <c r="B638" s="2" t="s">
        <v>48</v>
      </c>
      <c r="E638" t="s">
        <v>258</v>
      </c>
      <c r="F638">
        <v>0</v>
      </c>
      <c r="G638">
        <v>0</v>
      </c>
    </row>
    <row r="639" spans="1:7" x14ac:dyDescent="0.15">
      <c r="A639" t="str">
        <f t="shared" si="16"/>
        <v>その他の低木・草in美浜町</v>
      </c>
      <c r="B639" s="2" t="s">
        <v>52</v>
      </c>
      <c r="E639" t="s">
        <v>258</v>
      </c>
      <c r="F639">
        <v>0</v>
      </c>
      <c r="G639">
        <v>0</v>
      </c>
    </row>
    <row r="640" spans="1:7" x14ac:dyDescent="0.15">
      <c r="A640" t="str">
        <f t="shared" si="16"/>
        <v>その他の低木・草in扶桑町</v>
      </c>
      <c r="B640" s="2" t="s">
        <v>110</v>
      </c>
      <c r="E640" t="s">
        <v>258</v>
      </c>
      <c r="F640">
        <v>0</v>
      </c>
      <c r="G640">
        <v>0</v>
      </c>
    </row>
    <row r="641" spans="1:7" x14ac:dyDescent="0.15">
      <c r="A641" t="str">
        <f t="shared" si="16"/>
        <v>その他の低木・草in碧南市</v>
      </c>
      <c r="B641" s="2" t="s">
        <v>111</v>
      </c>
      <c r="E641" t="s">
        <v>258</v>
      </c>
      <c r="F641">
        <v>0</v>
      </c>
      <c r="G641">
        <v>0</v>
      </c>
    </row>
    <row r="642" spans="1:7" x14ac:dyDescent="0.15">
      <c r="A642" t="str">
        <f t="shared" si="16"/>
        <v>その他の低木・草in南知多町</v>
      </c>
      <c r="B642" s="2" t="s">
        <v>50</v>
      </c>
      <c r="E642" t="s">
        <v>258</v>
      </c>
      <c r="F642">
        <v>0</v>
      </c>
      <c r="G642">
        <v>0</v>
      </c>
    </row>
    <row r="643" spans="1:7" x14ac:dyDescent="0.15">
      <c r="A643" t="str">
        <f t="shared" si="16"/>
        <v>その他の低木・草inみよし市</v>
      </c>
      <c r="B643" s="2" t="s">
        <v>573</v>
      </c>
      <c r="E643" t="s">
        <v>258</v>
      </c>
      <c r="F643">
        <v>0</v>
      </c>
      <c r="G643">
        <v>0</v>
      </c>
    </row>
    <row r="644" spans="1:7" x14ac:dyDescent="0.15">
      <c r="A644" t="str">
        <f t="shared" si="16"/>
        <v>その他の低木・草in弥富市</v>
      </c>
      <c r="B644" s="2" t="s">
        <v>576</v>
      </c>
      <c r="E644" t="s">
        <v>258</v>
      </c>
      <c r="F644">
        <v>0</v>
      </c>
      <c r="G644">
        <v>0</v>
      </c>
    </row>
    <row r="645" spans="1:7" x14ac:dyDescent="0.15">
      <c r="A645" t="str">
        <f t="shared" si="16"/>
        <v>不明in愛西市</v>
      </c>
      <c r="B645" s="2" t="s">
        <v>96</v>
      </c>
      <c r="E645" t="s">
        <v>174</v>
      </c>
      <c r="F645">
        <v>40</v>
      </c>
      <c r="G645">
        <v>5</v>
      </c>
    </row>
    <row r="646" spans="1:7" x14ac:dyDescent="0.15">
      <c r="A646" t="str">
        <f t="shared" ref="A646:A715" si="18">E646&amp;"in"&amp;B646</f>
        <v>不明in阿久比町</v>
      </c>
      <c r="B646" s="2" t="s">
        <v>65</v>
      </c>
      <c r="E646" t="s">
        <v>174</v>
      </c>
      <c r="F646">
        <v>40</v>
      </c>
      <c r="G646">
        <v>5</v>
      </c>
    </row>
    <row r="647" spans="1:7" x14ac:dyDescent="0.15">
      <c r="A647" t="str">
        <f t="shared" si="18"/>
        <v>不明inあま市</v>
      </c>
      <c r="B647" s="2" t="s">
        <v>95</v>
      </c>
      <c r="E647" t="s">
        <v>174</v>
      </c>
      <c r="F647">
        <v>40</v>
      </c>
      <c r="G647">
        <v>5</v>
      </c>
    </row>
    <row r="648" spans="1:7" x14ac:dyDescent="0.15">
      <c r="A648" t="str">
        <f t="shared" si="18"/>
        <v>不明in安城市</v>
      </c>
      <c r="B648" s="2" t="s">
        <v>55</v>
      </c>
      <c r="E648" t="s">
        <v>174</v>
      </c>
      <c r="F648">
        <v>40</v>
      </c>
      <c r="G648">
        <v>5</v>
      </c>
    </row>
    <row r="649" spans="1:7" x14ac:dyDescent="0.15">
      <c r="A649" t="str">
        <f t="shared" si="18"/>
        <v>不明in一宮市</v>
      </c>
      <c r="B649" s="2" t="s">
        <v>97</v>
      </c>
      <c r="E649" t="s">
        <v>174</v>
      </c>
      <c r="F649">
        <v>40</v>
      </c>
      <c r="G649">
        <v>5</v>
      </c>
    </row>
    <row r="650" spans="1:7" x14ac:dyDescent="0.15">
      <c r="A650" t="str">
        <f t="shared" si="18"/>
        <v>不明in稲沢市</v>
      </c>
      <c r="B650" s="2" t="s">
        <v>98</v>
      </c>
      <c r="E650" t="s">
        <v>174</v>
      </c>
      <c r="F650">
        <v>40</v>
      </c>
      <c r="G650">
        <v>5</v>
      </c>
    </row>
    <row r="651" spans="1:7" x14ac:dyDescent="0.15">
      <c r="A651" t="str">
        <f t="shared" si="18"/>
        <v>不明in犬山市</v>
      </c>
      <c r="B651" s="2" t="s">
        <v>57</v>
      </c>
      <c r="E651" t="s">
        <v>174</v>
      </c>
      <c r="F651">
        <v>40</v>
      </c>
      <c r="G651">
        <v>5</v>
      </c>
    </row>
    <row r="652" spans="1:7" x14ac:dyDescent="0.15">
      <c r="A652" t="str">
        <f t="shared" si="18"/>
        <v>不明in岩倉市</v>
      </c>
      <c r="B652" s="2" t="s">
        <v>101</v>
      </c>
      <c r="E652" t="s">
        <v>174</v>
      </c>
      <c r="F652">
        <v>40</v>
      </c>
      <c r="G652">
        <v>5</v>
      </c>
    </row>
    <row r="653" spans="1:7" x14ac:dyDescent="0.15">
      <c r="A653" t="str">
        <f t="shared" si="18"/>
        <v>不明in大口町</v>
      </c>
      <c r="B653" s="2" t="s">
        <v>41</v>
      </c>
      <c r="E653" t="s">
        <v>174</v>
      </c>
      <c r="F653">
        <v>40</v>
      </c>
      <c r="G653">
        <v>5</v>
      </c>
    </row>
    <row r="654" spans="1:7" x14ac:dyDescent="0.15">
      <c r="A654" t="str">
        <f t="shared" si="18"/>
        <v>不明in大治町</v>
      </c>
      <c r="B654" s="2" t="s">
        <v>106</v>
      </c>
      <c r="E654" t="s">
        <v>174</v>
      </c>
      <c r="F654">
        <v>40</v>
      </c>
      <c r="G654">
        <v>5</v>
      </c>
    </row>
    <row r="655" spans="1:7" x14ac:dyDescent="0.15">
      <c r="A655" t="str">
        <f t="shared" si="18"/>
        <v>不明in大府市</v>
      </c>
      <c r="B655" s="2" t="s">
        <v>43</v>
      </c>
      <c r="E655" t="s">
        <v>174</v>
      </c>
      <c r="F655">
        <v>40</v>
      </c>
      <c r="G655">
        <v>5</v>
      </c>
    </row>
    <row r="656" spans="1:7" x14ac:dyDescent="0.15">
      <c r="A656" t="str">
        <f t="shared" si="18"/>
        <v>不明in岡崎市</v>
      </c>
      <c r="B656" s="2" t="s">
        <v>5</v>
      </c>
      <c r="E656" t="s">
        <v>174</v>
      </c>
      <c r="F656">
        <v>40</v>
      </c>
      <c r="G656">
        <v>5</v>
      </c>
    </row>
    <row r="657" spans="1:7" x14ac:dyDescent="0.15">
      <c r="A657" t="str">
        <f t="shared" si="18"/>
        <v>不明in尾張旭市</v>
      </c>
      <c r="B657" s="2" t="s">
        <v>38</v>
      </c>
      <c r="E657" t="s">
        <v>174</v>
      </c>
      <c r="F657">
        <v>40</v>
      </c>
      <c r="G657">
        <v>5</v>
      </c>
    </row>
    <row r="658" spans="1:7" x14ac:dyDescent="0.15">
      <c r="A658" t="str">
        <f t="shared" si="18"/>
        <v>不明in春日井市</v>
      </c>
      <c r="B658" s="2" t="s">
        <v>40</v>
      </c>
      <c r="E658" t="s">
        <v>174</v>
      </c>
      <c r="F658">
        <v>40</v>
      </c>
      <c r="G658">
        <v>5</v>
      </c>
    </row>
    <row r="659" spans="1:7" x14ac:dyDescent="0.15">
      <c r="A659" t="str">
        <f t="shared" si="18"/>
        <v>不明in蟹江町</v>
      </c>
      <c r="B659" s="2" t="s">
        <v>99</v>
      </c>
      <c r="E659" t="s">
        <v>174</v>
      </c>
      <c r="F659">
        <v>40</v>
      </c>
      <c r="G659">
        <v>5</v>
      </c>
    </row>
    <row r="660" spans="1:7" x14ac:dyDescent="0.15">
      <c r="A660" t="str">
        <f t="shared" si="18"/>
        <v>不明in蒲郡市</v>
      </c>
      <c r="B660" s="2" t="s">
        <v>44</v>
      </c>
      <c r="E660" t="s">
        <v>174</v>
      </c>
      <c r="F660">
        <v>40</v>
      </c>
      <c r="G660">
        <v>5</v>
      </c>
    </row>
    <row r="661" spans="1:7" x14ac:dyDescent="0.15">
      <c r="A661" t="str">
        <f t="shared" si="18"/>
        <v>不明in刈谷市</v>
      </c>
      <c r="B661" s="2" t="s">
        <v>100</v>
      </c>
      <c r="E661" t="s">
        <v>174</v>
      </c>
      <c r="F661">
        <v>40</v>
      </c>
      <c r="G661">
        <v>5</v>
      </c>
    </row>
    <row r="662" spans="1:7" x14ac:dyDescent="0.15">
      <c r="A662" t="str">
        <f t="shared" si="18"/>
        <v>不明in北名古屋市</v>
      </c>
      <c r="B662" s="2" t="s">
        <v>116</v>
      </c>
      <c r="E662" t="s">
        <v>174</v>
      </c>
      <c r="F662">
        <v>40</v>
      </c>
      <c r="G662">
        <v>5</v>
      </c>
    </row>
    <row r="663" spans="1:7" x14ac:dyDescent="0.15">
      <c r="A663" t="str">
        <f t="shared" si="18"/>
        <v>不明in清須市</v>
      </c>
      <c r="B663" s="2" t="s">
        <v>103</v>
      </c>
      <c r="E663" t="s">
        <v>174</v>
      </c>
      <c r="F663">
        <v>40</v>
      </c>
      <c r="G663">
        <v>5</v>
      </c>
    </row>
    <row r="664" spans="1:7" x14ac:dyDescent="0.15">
      <c r="A664" t="str">
        <f t="shared" si="18"/>
        <v>不明in幸田町</v>
      </c>
      <c r="B664" s="2" t="s">
        <v>33</v>
      </c>
      <c r="E664" t="s">
        <v>174</v>
      </c>
      <c r="F664">
        <v>40</v>
      </c>
      <c r="G664">
        <v>5</v>
      </c>
    </row>
    <row r="665" spans="1:7" x14ac:dyDescent="0.15">
      <c r="A665" t="str">
        <f t="shared" si="18"/>
        <v>不明in江南市</v>
      </c>
      <c r="B665" s="2" t="s">
        <v>102</v>
      </c>
      <c r="E665" t="s">
        <v>174</v>
      </c>
      <c r="F665">
        <v>40</v>
      </c>
      <c r="G665">
        <v>5</v>
      </c>
    </row>
    <row r="666" spans="1:7" x14ac:dyDescent="0.15">
      <c r="A666" t="str">
        <f t="shared" si="18"/>
        <v>不明in小牧市</v>
      </c>
      <c r="B666" s="2" t="s">
        <v>42</v>
      </c>
      <c r="E666" t="s">
        <v>174</v>
      </c>
      <c r="F666">
        <v>40</v>
      </c>
      <c r="G666">
        <v>5</v>
      </c>
    </row>
    <row r="667" spans="1:7" x14ac:dyDescent="0.15">
      <c r="A667" t="str">
        <f t="shared" si="18"/>
        <v>不明in設楽町</v>
      </c>
      <c r="B667" s="2" t="s">
        <v>105</v>
      </c>
      <c r="E667" t="s">
        <v>174</v>
      </c>
      <c r="F667">
        <v>40</v>
      </c>
      <c r="G667">
        <v>5</v>
      </c>
    </row>
    <row r="668" spans="1:7" x14ac:dyDescent="0.15">
      <c r="A668" t="str">
        <f t="shared" si="18"/>
        <v>不明in新城市</v>
      </c>
      <c r="B668" s="2" t="s">
        <v>6</v>
      </c>
      <c r="E668" t="s">
        <v>174</v>
      </c>
      <c r="F668">
        <v>40</v>
      </c>
      <c r="G668">
        <v>5</v>
      </c>
    </row>
    <row r="669" spans="1:7" x14ac:dyDescent="0.15">
      <c r="A669" t="str">
        <f t="shared" si="18"/>
        <v>不明in瀬戸市</v>
      </c>
      <c r="B669" s="2" t="s">
        <v>34</v>
      </c>
      <c r="E669" t="s">
        <v>174</v>
      </c>
      <c r="F669">
        <v>40</v>
      </c>
      <c r="G669">
        <v>5</v>
      </c>
    </row>
    <row r="670" spans="1:7" x14ac:dyDescent="0.15">
      <c r="A670" t="str">
        <f t="shared" si="18"/>
        <v>不明in高浜市</v>
      </c>
      <c r="B670" s="2" t="s">
        <v>56</v>
      </c>
      <c r="E670" t="s">
        <v>174</v>
      </c>
      <c r="F670">
        <v>40</v>
      </c>
      <c r="G670">
        <v>5</v>
      </c>
    </row>
    <row r="671" spans="1:7" x14ac:dyDescent="0.15">
      <c r="A671" t="str">
        <f t="shared" si="18"/>
        <v>不明in武豊町</v>
      </c>
      <c r="B671" s="2" t="s">
        <v>169</v>
      </c>
      <c r="E671" t="s">
        <v>174</v>
      </c>
      <c r="F671">
        <v>40</v>
      </c>
      <c r="G671">
        <v>5</v>
      </c>
    </row>
    <row r="672" spans="1:7" x14ac:dyDescent="0.15">
      <c r="A672" t="str">
        <f t="shared" si="18"/>
        <v>不明in田原市</v>
      </c>
      <c r="B672" s="2" t="s">
        <v>47</v>
      </c>
      <c r="E672" t="s">
        <v>174</v>
      </c>
      <c r="F672">
        <v>40</v>
      </c>
      <c r="G672">
        <v>5</v>
      </c>
    </row>
    <row r="673" spans="1:7" x14ac:dyDescent="0.15">
      <c r="A673" t="str">
        <f t="shared" si="18"/>
        <v>不明in知多市</v>
      </c>
      <c r="B673" s="2" t="s">
        <v>46</v>
      </c>
      <c r="E673" t="s">
        <v>174</v>
      </c>
      <c r="F673">
        <v>40</v>
      </c>
      <c r="G673">
        <v>5</v>
      </c>
    </row>
    <row r="674" spans="1:7" x14ac:dyDescent="0.15">
      <c r="A674" t="str">
        <f t="shared" si="18"/>
        <v>不明in知立市</v>
      </c>
      <c r="B674" s="2" t="s">
        <v>107</v>
      </c>
      <c r="E674" t="s">
        <v>174</v>
      </c>
      <c r="F674">
        <v>40</v>
      </c>
      <c r="G674">
        <v>5</v>
      </c>
    </row>
    <row r="675" spans="1:7" x14ac:dyDescent="0.15">
      <c r="A675" t="str">
        <f t="shared" si="18"/>
        <v>不明in津島市</v>
      </c>
      <c r="B675" s="2" t="s">
        <v>108</v>
      </c>
      <c r="E675" t="s">
        <v>174</v>
      </c>
      <c r="F675">
        <v>40</v>
      </c>
      <c r="G675">
        <v>5</v>
      </c>
    </row>
    <row r="676" spans="1:7" x14ac:dyDescent="0.15">
      <c r="A676" t="str">
        <f t="shared" si="18"/>
        <v>不明in東栄町</v>
      </c>
      <c r="B676" s="2" t="s">
        <v>39</v>
      </c>
      <c r="E676" t="s">
        <v>174</v>
      </c>
      <c r="F676">
        <v>40</v>
      </c>
      <c r="G676">
        <v>5</v>
      </c>
    </row>
    <row r="677" spans="1:7" x14ac:dyDescent="0.15">
      <c r="A677" t="str">
        <f t="shared" si="18"/>
        <v>不明in東海市</v>
      </c>
      <c r="B677" s="2" t="s">
        <v>49</v>
      </c>
      <c r="E677" t="s">
        <v>174</v>
      </c>
      <c r="F677">
        <v>40</v>
      </c>
      <c r="G677">
        <v>5</v>
      </c>
    </row>
    <row r="678" spans="1:7" x14ac:dyDescent="0.15">
      <c r="A678" t="str">
        <f t="shared" si="18"/>
        <v>不明in東郷町</v>
      </c>
      <c r="B678" s="2" t="s">
        <v>36</v>
      </c>
      <c r="E678" t="s">
        <v>174</v>
      </c>
      <c r="F678">
        <v>40</v>
      </c>
      <c r="G678">
        <v>5</v>
      </c>
    </row>
    <row r="679" spans="1:7" x14ac:dyDescent="0.15">
      <c r="A679" t="str">
        <f t="shared" si="18"/>
        <v>不明in常滑市</v>
      </c>
      <c r="B679" s="2" t="s">
        <v>45</v>
      </c>
      <c r="E679" t="s">
        <v>174</v>
      </c>
      <c r="F679">
        <v>40</v>
      </c>
      <c r="G679">
        <v>5</v>
      </c>
    </row>
    <row r="680" spans="1:7" x14ac:dyDescent="0.15">
      <c r="A680" t="str">
        <f t="shared" si="18"/>
        <v>不明in飛島村</v>
      </c>
      <c r="B680" s="2" t="s">
        <v>109</v>
      </c>
      <c r="E680" t="s">
        <v>174</v>
      </c>
      <c r="F680">
        <v>40</v>
      </c>
      <c r="G680">
        <v>5</v>
      </c>
    </row>
    <row r="681" spans="1:7" x14ac:dyDescent="0.15">
      <c r="A681" t="str">
        <f t="shared" si="18"/>
        <v>不明in豊明市</v>
      </c>
      <c r="B681" s="2" t="s">
        <v>115</v>
      </c>
      <c r="E681" t="s">
        <v>174</v>
      </c>
      <c r="F681">
        <v>40</v>
      </c>
      <c r="G681">
        <v>5</v>
      </c>
    </row>
    <row r="682" spans="1:7" x14ac:dyDescent="0.15">
      <c r="A682" t="str">
        <f t="shared" si="18"/>
        <v>不明in豊川市</v>
      </c>
      <c r="B682" s="2" t="s">
        <v>114</v>
      </c>
      <c r="E682" t="s">
        <v>174</v>
      </c>
      <c r="F682">
        <v>40</v>
      </c>
      <c r="G682">
        <v>5</v>
      </c>
    </row>
    <row r="683" spans="1:7" x14ac:dyDescent="0.15">
      <c r="A683" t="str">
        <f t="shared" ref="A683:A689" si="19">E683&amp;"in"&amp;B683</f>
        <v>不明in豊田市（旧豊田市）</v>
      </c>
      <c r="B683" t="s">
        <v>601</v>
      </c>
      <c r="E683" t="s">
        <v>174</v>
      </c>
      <c r="F683">
        <v>40</v>
      </c>
      <c r="G683">
        <v>5</v>
      </c>
    </row>
    <row r="684" spans="1:7" x14ac:dyDescent="0.15">
      <c r="A684" t="str">
        <f t="shared" si="19"/>
        <v>不明in豊田市（旧藤岡町）</v>
      </c>
      <c r="B684" s="2" t="s">
        <v>602</v>
      </c>
      <c r="E684" t="s">
        <v>174</v>
      </c>
      <c r="F684">
        <v>40</v>
      </c>
      <c r="G684">
        <v>5</v>
      </c>
    </row>
    <row r="685" spans="1:7" x14ac:dyDescent="0.15">
      <c r="A685" t="str">
        <f t="shared" si="19"/>
        <v>不明in豊田市（旧小原村）</v>
      </c>
      <c r="B685" t="s">
        <v>603</v>
      </c>
      <c r="E685" t="s">
        <v>174</v>
      </c>
      <c r="F685">
        <v>40</v>
      </c>
      <c r="G685">
        <v>5</v>
      </c>
    </row>
    <row r="686" spans="1:7" x14ac:dyDescent="0.15">
      <c r="A686" t="str">
        <f t="shared" si="19"/>
        <v>不明in豊田市（旧足助町）</v>
      </c>
      <c r="B686" t="s">
        <v>604</v>
      </c>
      <c r="E686" t="s">
        <v>174</v>
      </c>
      <c r="F686">
        <v>40</v>
      </c>
      <c r="G686">
        <v>5</v>
      </c>
    </row>
    <row r="687" spans="1:7" x14ac:dyDescent="0.15">
      <c r="A687" t="str">
        <f t="shared" si="19"/>
        <v>不明in豊田市（旧下山村）</v>
      </c>
      <c r="B687" t="s">
        <v>600</v>
      </c>
      <c r="E687" t="s">
        <v>174</v>
      </c>
      <c r="F687">
        <v>40</v>
      </c>
      <c r="G687">
        <v>5</v>
      </c>
    </row>
    <row r="688" spans="1:7" x14ac:dyDescent="0.15">
      <c r="A688" t="str">
        <f t="shared" si="19"/>
        <v>不明in豊田市（旧旭町）</v>
      </c>
      <c r="B688" t="s">
        <v>605</v>
      </c>
      <c r="E688" t="s">
        <v>174</v>
      </c>
      <c r="F688">
        <v>40</v>
      </c>
      <c r="G688">
        <v>5</v>
      </c>
    </row>
    <row r="689" spans="1:7" x14ac:dyDescent="0.15">
      <c r="A689" t="str">
        <f t="shared" si="19"/>
        <v>不明in豊田市（旧稲武町）</v>
      </c>
      <c r="B689" t="s">
        <v>606</v>
      </c>
      <c r="E689" t="s">
        <v>174</v>
      </c>
      <c r="F689">
        <v>40</v>
      </c>
      <c r="G689">
        <v>5</v>
      </c>
    </row>
    <row r="690" spans="1:7" x14ac:dyDescent="0.15">
      <c r="A690" t="str">
        <f t="shared" si="18"/>
        <v>不明in豊根村</v>
      </c>
      <c r="B690" s="2" t="s">
        <v>112</v>
      </c>
      <c r="E690" t="s">
        <v>174</v>
      </c>
      <c r="F690">
        <v>40</v>
      </c>
      <c r="G690">
        <v>5</v>
      </c>
    </row>
    <row r="691" spans="1:7" x14ac:dyDescent="0.15">
      <c r="A691" t="str">
        <f t="shared" si="18"/>
        <v>不明in豊橋市</v>
      </c>
      <c r="B691" s="2" t="s">
        <v>54</v>
      </c>
      <c r="E691" t="s">
        <v>174</v>
      </c>
      <c r="F691">
        <v>40</v>
      </c>
      <c r="G691">
        <v>5</v>
      </c>
    </row>
    <row r="692" spans="1:7" x14ac:dyDescent="0.15">
      <c r="A692" t="str">
        <f t="shared" si="18"/>
        <v>不明in豊山町</v>
      </c>
      <c r="B692" s="2" t="s">
        <v>113</v>
      </c>
      <c r="E692" t="s">
        <v>174</v>
      </c>
      <c r="F692">
        <v>40</v>
      </c>
      <c r="G692">
        <v>5</v>
      </c>
    </row>
    <row r="693" spans="1:7" x14ac:dyDescent="0.15">
      <c r="A693" t="str">
        <f t="shared" si="18"/>
        <v>不明in長久手市</v>
      </c>
      <c r="B693" s="2" t="s">
        <v>35</v>
      </c>
      <c r="E693" t="s">
        <v>174</v>
      </c>
      <c r="F693">
        <v>40</v>
      </c>
      <c r="G693">
        <v>5</v>
      </c>
    </row>
    <row r="694" spans="1:7" x14ac:dyDescent="0.15">
      <c r="A694" t="str">
        <f t="shared" si="18"/>
        <v>不明in名古屋市</v>
      </c>
      <c r="B694" s="2" t="s">
        <v>58</v>
      </c>
      <c r="E694" t="s">
        <v>174</v>
      </c>
      <c r="F694">
        <v>40</v>
      </c>
      <c r="G694">
        <v>5</v>
      </c>
    </row>
    <row r="695" spans="1:7" x14ac:dyDescent="0.15">
      <c r="A695" t="str">
        <f t="shared" si="18"/>
        <v>不明in西尾市</v>
      </c>
      <c r="B695" s="2" t="s">
        <v>104</v>
      </c>
      <c r="E695" t="s">
        <v>174</v>
      </c>
      <c r="F695">
        <v>40</v>
      </c>
      <c r="G695">
        <v>5</v>
      </c>
    </row>
    <row r="696" spans="1:7" x14ac:dyDescent="0.15">
      <c r="A696" t="str">
        <f t="shared" si="18"/>
        <v>不明in日進市</v>
      </c>
      <c r="B696" s="2" t="s">
        <v>37</v>
      </c>
      <c r="E696" t="s">
        <v>174</v>
      </c>
      <c r="F696">
        <v>40</v>
      </c>
      <c r="G696">
        <v>5</v>
      </c>
    </row>
    <row r="697" spans="1:7" x14ac:dyDescent="0.15">
      <c r="A697" t="str">
        <f t="shared" si="18"/>
        <v>不明in半田市</v>
      </c>
      <c r="B697" s="2" t="s">
        <v>51</v>
      </c>
      <c r="E697" t="s">
        <v>174</v>
      </c>
      <c r="F697">
        <v>40</v>
      </c>
      <c r="G697">
        <v>5</v>
      </c>
    </row>
    <row r="698" spans="1:7" x14ac:dyDescent="0.15">
      <c r="A698" t="str">
        <f t="shared" si="18"/>
        <v>不明in東浦町</v>
      </c>
      <c r="B698" s="2" t="s">
        <v>48</v>
      </c>
      <c r="E698" t="s">
        <v>174</v>
      </c>
      <c r="F698">
        <v>40</v>
      </c>
      <c r="G698">
        <v>5</v>
      </c>
    </row>
    <row r="699" spans="1:7" x14ac:dyDescent="0.15">
      <c r="A699" t="str">
        <f t="shared" si="18"/>
        <v>不明in美浜町</v>
      </c>
      <c r="B699" s="2" t="s">
        <v>52</v>
      </c>
      <c r="E699" t="s">
        <v>174</v>
      </c>
      <c r="F699">
        <v>40</v>
      </c>
      <c r="G699">
        <v>5</v>
      </c>
    </row>
    <row r="700" spans="1:7" x14ac:dyDescent="0.15">
      <c r="A700" t="str">
        <f t="shared" si="18"/>
        <v>不明in扶桑町</v>
      </c>
      <c r="B700" s="2" t="s">
        <v>110</v>
      </c>
      <c r="E700" t="s">
        <v>174</v>
      </c>
      <c r="F700">
        <v>40</v>
      </c>
      <c r="G700">
        <v>5</v>
      </c>
    </row>
    <row r="701" spans="1:7" x14ac:dyDescent="0.15">
      <c r="A701" t="str">
        <f t="shared" si="18"/>
        <v>不明in碧南市</v>
      </c>
      <c r="B701" s="2" t="s">
        <v>111</v>
      </c>
      <c r="E701" t="s">
        <v>174</v>
      </c>
      <c r="F701">
        <v>40</v>
      </c>
      <c r="G701">
        <v>5</v>
      </c>
    </row>
    <row r="702" spans="1:7" x14ac:dyDescent="0.15">
      <c r="A702" t="str">
        <f t="shared" si="18"/>
        <v>不明in南知多町</v>
      </c>
      <c r="B702" s="2" t="s">
        <v>50</v>
      </c>
      <c r="E702" t="s">
        <v>174</v>
      </c>
      <c r="F702">
        <v>40</v>
      </c>
      <c r="G702">
        <v>5</v>
      </c>
    </row>
    <row r="703" spans="1:7" x14ac:dyDescent="0.15">
      <c r="A703" t="str">
        <f t="shared" si="18"/>
        <v>不明inみよし市</v>
      </c>
      <c r="B703" s="2" t="s">
        <v>573</v>
      </c>
      <c r="E703" t="s">
        <v>174</v>
      </c>
      <c r="F703">
        <v>40</v>
      </c>
      <c r="G703">
        <v>5</v>
      </c>
    </row>
    <row r="704" spans="1:7" x14ac:dyDescent="0.15">
      <c r="A704" t="str">
        <f t="shared" si="18"/>
        <v>不明in弥富市</v>
      </c>
      <c r="B704" s="2" t="s">
        <v>576</v>
      </c>
      <c r="E704" t="s">
        <v>174</v>
      </c>
      <c r="F704">
        <v>40</v>
      </c>
      <c r="G704">
        <v>5</v>
      </c>
    </row>
    <row r="705" spans="1:7" x14ac:dyDescent="0.15">
      <c r="A705" t="str">
        <f t="shared" si="18"/>
        <v>【ツブラジイ】・アラカシ・タカノツメ・サカキinA市</v>
      </c>
      <c r="B705" t="s">
        <v>365</v>
      </c>
      <c r="C705" t="s">
        <v>268</v>
      </c>
      <c r="D705" t="s">
        <v>268</v>
      </c>
      <c r="E705" t="s">
        <v>197</v>
      </c>
      <c r="F705">
        <v>40</v>
      </c>
      <c r="G705">
        <v>40</v>
      </c>
    </row>
    <row r="706" spans="1:7" x14ac:dyDescent="0.15">
      <c r="A706" t="str">
        <f t="shared" si="18"/>
        <v>【スダジイ】・ヤマモモ・モチノキ・タブノキ・ヤブツバキinA市</v>
      </c>
      <c r="B706" t="s">
        <v>365</v>
      </c>
      <c r="C706" t="s">
        <v>269</v>
      </c>
      <c r="D706" t="s">
        <v>269</v>
      </c>
      <c r="E706" t="s">
        <v>195</v>
      </c>
      <c r="F706">
        <v>40</v>
      </c>
      <c r="G706">
        <v>40</v>
      </c>
    </row>
    <row r="707" spans="1:7" x14ac:dyDescent="0.15">
      <c r="A707" t="str">
        <f t="shared" si="18"/>
        <v>【モミ】・ウラジロガシ・アカガシ・シキミinA市</v>
      </c>
      <c r="B707" t="s">
        <v>365</v>
      </c>
      <c r="C707" t="s">
        <v>272</v>
      </c>
      <c r="D707" t="s">
        <v>272</v>
      </c>
      <c r="E707" t="s">
        <v>201</v>
      </c>
      <c r="F707">
        <v>40</v>
      </c>
      <c r="G707">
        <v>40</v>
      </c>
    </row>
    <row r="708" spans="1:7" x14ac:dyDescent="0.15">
      <c r="A708" t="str">
        <f t="shared" si="18"/>
        <v>【ケヤキ】・アラカシ・タブノキ・イロハモミジ・ヤブツバキinA市</v>
      </c>
      <c r="B708" t="s">
        <v>365</v>
      </c>
      <c r="C708" t="s">
        <v>272</v>
      </c>
      <c r="D708" t="s">
        <v>271</v>
      </c>
      <c r="E708" t="s">
        <v>190</v>
      </c>
      <c r="F708">
        <v>40</v>
      </c>
      <c r="G708">
        <v>40</v>
      </c>
    </row>
    <row r="709" spans="1:7" x14ac:dyDescent="0.15">
      <c r="A709" t="str">
        <f t="shared" si="18"/>
        <v>【ムクノキ】・エノキ・ケヤキ・ヤブツバキ・ヤブニッケイinA市</v>
      </c>
      <c r="B709" t="s">
        <v>365</v>
      </c>
      <c r="C709" t="s">
        <v>273</v>
      </c>
      <c r="D709" t="s">
        <v>273</v>
      </c>
      <c r="E709" t="s">
        <v>200</v>
      </c>
      <c r="F709">
        <v>40</v>
      </c>
      <c r="G709">
        <v>40</v>
      </c>
    </row>
    <row r="710" spans="1:7" x14ac:dyDescent="0.15">
      <c r="A710" t="str">
        <f t="shared" si="18"/>
        <v>【コナラ】・リョウブ・アラカシ・タカノツメinA市</v>
      </c>
      <c r="B710" t="s">
        <v>365</v>
      </c>
      <c r="D710" t="s">
        <v>276</v>
      </c>
      <c r="E710" t="s">
        <v>191</v>
      </c>
      <c r="F710">
        <v>40</v>
      </c>
      <c r="G710">
        <v>40</v>
      </c>
    </row>
    <row r="711" spans="1:7" x14ac:dyDescent="0.15">
      <c r="A711" t="str">
        <f t="shared" si="18"/>
        <v>【コナラ】・アベマキ・リョウブ・タカノツメinA市</v>
      </c>
      <c r="B711" t="s">
        <v>365</v>
      </c>
      <c r="D711" t="s">
        <v>277</v>
      </c>
      <c r="E711" t="s">
        <v>77</v>
      </c>
      <c r="F711">
        <v>40</v>
      </c>
      <c r="G711">
        <v>40</v>
      </c>
    </row>
    <row r="712" spans="1:7" x14ac:dyDescent="0.15">
      <c r="A712" t="str">
        <f t="shared" si="18"/>
        <v>【アカマツ】・コナラ・ソヨゴ・リョウブinA市</v>
      </c>
      <c r="B712" t="s">
        <v>365</v>
      </c>
      <c r="D712" t="s">
        <v>279</v>
      </c>
      <c r="E712" t="s">
        <v>188</v>
      </c>
      <c r="F712">
        <v>40</v>
      </c>
      <c r="G712">
        <v>40</v>
      </c>
    </row>
    <row r="713" spans="1:7" x14ac:dyDescent="0.15">
      <c r="A713" t="str">
        <f t="shared" si="18"/>
        <v>【スギ】・【ヒノキ】・【サワラ】inA市</v>
      </c>
      <c r="B713" t="s">
        <v>365</v>
      </c>
      <c r="E713" t="s">
        <v>221</v>
      </c>
      <c r="F713">
        <v>5</v>
      </c>
      <c r="G713">
        <v>5</v>
      </c>
    </row>
    <row r="714" spans="1:7" x14ac:dyDescent="0.15">
      <c r="A714" t="str">
        <f t="shared" si="18"/>
        <v>その他の広葉樹inA市</v>
      </c>
      <c r="B714" t="s">
        <v>365</v>
      </c>
      <c r="E714" t="s">
        <v>202</v>
      </c>
      <c r="F714">
        <v>20</v>
      </c>
      <c r="G714">
        <v>20</v>
      </c>
    </row>
    <row r="715" spans="1:7" x14ac:dyDescent="0.15">
      <c r="A715" t="str">
        <f t="shared" si="18"/>
        <v>その他の針葉樹inA市</v>
      </c>
      <c r="B715" t="s">
        <v>365</v>
      </c>
      <c r="E715" t="s">
        <v>203</v>
      </c>
      <c r="F715">
        <v>5</v>
      </c>
      <c r="G715">
        <v>5</v>
      </c>
    </row>
    <row r="716" spans="1:7" x14ac:dyDescent="0.15">
      <c r="A716" t="str">
        <f t="shared" ref="A716:A719" si="20">E716&amp;"in"&amp;B716</f>
        <v>その他の針葉樹inA市</v>
      </c>
      <c r="B716" t="s">
        <v>365</v>
      </c>
      <c r="E716" t="s">
        <v>203</v>
      </c>
      <c r="F716">
        <v>5</v>
      </c>
      <c r="G716">
        <v>5</v>
      </c>
    </row>
    <row r="717" spans="1:7" x14ac:dyDescent="0.15">
      <c r="A717" t="str">
        <f t="shared" si="20"/>
        <v>【ススキ】・【ネザサ】・【チガヤ】inA市</v>
      </c>
      <c r="B717" t="s">
        <v>365</v>
      </c>
      <c r="E717" t="s">
        <v>193</v>
      </c>
      <c r="F717">
        <v>0</v>
      </c>
      <c r="G717">
        <v>0</v>
      </c>
    </row>
    <row r="718" spans="1:7" x14ac:dyDescent="0.15">
      <c r="A718" t="str">
        <f t="shared" si="20"/>
        <v>その他の低木・草inA市</v>
      </c>
      <c r="B718" t="s">
        <v>365</v>
      </c>
      <c r="E718" t="s">
        <v>258</v>
      </c>
      <c r="F718">
        <v>0</v>
      </c>
      <c r="G718">
        <v>0</v>
      </c>
    </row>
    <row r="719" spans="1:7" x14ac:dyDescent="0.15">
      <c r="A719" t="str">
        <f t="shared" si="20"/>
        <v>不明inA市</v>
      </c>
      <c r="B719" t="s">
        <v>365</v>
      </c>
      <c r="E719" t="s">
        <v>174</v>
      </c>
      <c r="F719">
        <v>40</v>
      </c>
      <c r="G719">
        <v>5</v>
      </c>
    </row>
  </sheetData>
  <sheetProtection algorithmName="SHA-512" hashValue="/PQ4+wjCfq0WnGXKsHe43fG9fCllFa8Q4C80Pf9cnWoHiMO9nl6713vraQGWlSRgNRHI8Ori6l1X8G5SwrlrQA==" saltValue="SJbqWZSxYwpxf4y3Vh+ccg==" spinCount="100000" sheet="1" objects="1" scenarios="1"/>
  <phoneticPr fontId="2"/>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workbookViewId="0">
      <selection activeCell="E19" sqref="E19"/>
    </sheetView>
  </sheetViews>
  <sheetFormatPr defaultRowHeight="13.5" x14ac:dyDescent="0.15"/>
  <cols>
    <col min="1" max="1" width="48.125" bestFit="1" customWidth="1"/>
    <col min="2" max="2" width="13.625" customWidth="1"/>
  </cols>
  <sheetData>
    <row r="1" spans="1:3" ht="27" x14ac:dyDescent="0.15">
      <c r="A1" t="s">
        <v>220</v>
      </c>
      <c r="B1" s="3" t="s">
        <v>219</v>
      </c>
    </row>
    <row r="2" spans="1:3" x14ac:dyDescent="0.15">
      <c r="A2" t="s">
        <v>188</v>
      </c>
      <c r="B2">
        <v>1</v>
      </c>
    </row>
    <row r="3" spans="1:3" x14ac:dyDescent="0.15">
      <c r="A3" t="s">
        <v>189</v>
      </c>
      <c r="B3">
        <v>1</v>
      </c>
    </row>
    <row r="4" spans="1:3" x14ac:dyDescent="0.15">
      <c r="A4" t="s">
        <v>190</v>
      </c>
      <c r="B4">
        <v>1</v>
      </c>
    </row>
    <row r="5" spans="1:3" x14ac:dyDescent="0.15">
      <c r="A5" t="s">
        <v>77</v>
      </c>
      <c r="B5">
        <v>1</v>
      </c>
    </row>
    <row r="6" spans="1:3" x14ac:dyDescent="0.15">
      <c r="A6" t="s">
        <v>191</v>
      </c>
      <c r="B6">
        <v>1</v>
      </c>
    </row>
    <row r="7" spans="1:3" x14ac:dyDescent="0.15">
      <c r="A7" t="s">
        <v>192</v>
      </c>
      <c r="B7">
        <v>1</v>
      </c>
    </row>
    <row r="8" spans="1:3" x14ac:dyDescent="0.15">
      <c r="A8" t="s">
        <v>193</v>
      </c>
      <c r="B8">
        <v>1</v>
      </c>
      <c r="C8">
        <v>1</v>
      </c>
    </row>
    <row r="9" spans="1:3" x14ac:dyDescent="0.15">
      <c r="A9" t="s">
        <v>194</v>
      </c>
      <c r="B9">
        <v>1</v>
      </c>
    </row>
    <row r="10" spans="1:3" x14ac:dyDescent="0.15">
      <c r="A10" t="s">
        <v>195</v>
      </c>
      <c r="B10">
        <v>1</v>
      </c>
    </row>
    <row r="11" spans="1:3" x14ac:dyDescent="0.15">
      <c r="A11" t="s">
        <v>196</v>
      </c>
      <c r="B11">
        <v>1</v>
      </c>
    </row>
    <row r="12" spans="1:3" x14ac:dyDescent="0.15">
      <c r="A12" t="s">
        <v>197</v>
      </c>
      <c r="B12">
        <v>1</v>
      </c>
    </row>
    <row r="13" spans="1:3" x14ac:dyDescent="0.15">
      <c r="A13" t="s">
        <v>198</v>
      </c>
      <c r="B13">
        <v>1</v>
      </c>
    </row>
    <row r="14" spans="1:3" x14ac:dyDescent="0.15">
      <c r="A14" t="s">
        <v>199</v>
      </c>
      <c r="B14">
        <v>1</v>
      </c>
    </row>
    <row r="15" spans="1:3" x14ac:dyDescent="0.15">
      <c r="A15" t="s">
        <v>200</v>
      </c>
      <c r="B15">
        <v>1</v>
      </c>
    </row>
    <row r="16" spans="1:3" x14ac:dyDescent="0.15">
      <c r="A16" t="s">
        <v>201</v>
      </c>
      <c r="B16">
        <v>1</v>
      </c>
    </row>
    <row r="17" spans="1:2" x14ac:dyDescent="0.15">
      <c r="A17" t="s">
        <v>221</v>
      </c>
      <c r="B17" s="7">
        <v>1</v>
      </c>
    </row>
  </sheetData>
  <sheetProtection algorithmName="SHA-512" hashValue="AnYiyPO9amzHE5+VmjpTWCqNtmN4geDm6Cq2Ajutr6hMPoWFaCY6M3XfIvc81wr0fIEEYYZjL23rcjhwLYSU6g==" saltValue="QX1y/SAXhv7Fi237CtRm6g==" spinCount="100000" sheet="1" objects="1" scenarios="1"/>
  <phoneticPr fontId="17"/>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
  <sheetViews>
    <sheetView workbookViewId="0">
      <selection activeCell="G19" sqref="G19"/>
    </sheetView>
  </sheetViews>
  <sheetFormatPr defaultRowHeight="13.5" x14ac:dyDescent="0.15"/>
  <cols>
    <col min="1" max="1" width="27.25" customWidth="1"/>
    <col min="2" max="5" width="14" customWidth="1"/>
  </cols>
  <sheetData>
    <row r="1" spans="1:5" x14ac:dyDescent="0.15">
      <c r="A1" t="s">
        <v>253</v>
      </c>
      <c r="B1" t="s">
        <v>254</v>
      </c>
      <c r="C1" t="s">
        <v>255</v>
      </c>
      <c r="D1" t="s">
        <v>256</v>
      </c>
      <c r="E1" t="s">
        <v>257</v>
      </c>
    </row>
    <row r="2" spans="1:5" x14ac:dyDescent="0.15">
      <c r="A2" t="s">
        <v>202</v>
      </c>
      <c r="B2">
        <v>10</v>
      </c>
      <c r="C2">
        <v>0</v>
      </c>
      <c r="D2">
        <v>10</v>
      </c>
      <c r="E2">
        <v>0</v>
      </c>
    </row>
    <row r="3" spans="1:5" x14ac:dyDescent="0.15">
      <c r="A3" t="s">
        <v>203</v>
      </c>
      <c r="B3">
        <v>5</v>
      </c>
      <c r="C3">
        <v>0</v>
      </c>
      <c r="D3">
        <v>5</v>
      </c>
      <c r="E3">
        <v>0</v>
      </c>
    </row>
    <row r="4" spans="1:5" x14ac:dyDescent="0.15">
      <c r="A4" t="s">
        <v>258</v>
      </c>
      <c r="B4">
        <v>0</v>
      </c>
      <c r="C4">
        <v>10</v>
      </c>
      <c r="D4">
        <v>0</v>
      </c>
      <c r="E4">
        <v>10</v>
      </c>
    </row>
    <row r="5" spans="1:5" x14ac:dyDescent="0.15">
      <c r="A5" t="s">
        <v>204</v>
      </c>
      <c r="B5">
        <v>40</v>
      </c>
      <c r="C5">
        <v>45</v>
      </c>
      <c r="D5">
        <v>0</v>
      </c>
      <c r="E5">
        <v>0</v>
      </c>
    </row>
  </sheetData>
  <sheetProtection algorithmName="SHA-512" hashValue="XIEFtUiYxDPsskQgAP/lr6a8WxJtdT97T7wQXFsU7Vb972lIa93UKSbF6fjD0tw1wbSmj2dKO18sVPCXNnnMVA==" saltValue="c+jzmiF6P7fV2pN4OXLltg==" spinCount="100000" sheet="1" objects="1" scenarios="1"/>
  <phoneticPr fontId="17"/>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5"/>
  <sheetViews>
    <sheetView workbookViewId="0">
      <selection activeCell="K12" sqref="K12"/>
    </sheetView>
  </sheetViews>
  <sheetFormatPr defaultRowHeight="13.5" x14ac:dyDescent="0.15"/>
  <cols>
    <col min="1" max="1" width="8.875" bestFit="1" customWidth="1"/>
  </cols>
  <sheetData>
    <row r="1" spans="1:2" x14ac:dyDescent="0.15">
      <c r="A1" t="s">
        <v>205</v>
      </c>
      <c r="B1">
        <v>0</v>
      </c>
    </row>
    <row r="2" spans="1:2" x14ac:dyDescent="0.15">
      <c r="A2" t="s">
        <v>206</v>
      </c>
      <c r="B2">
        <v>25</v>
      </c>
    </row>
    <row r="3" spans="1:2" x14ac:dyDescent="0.15">
      <c r="A3" t="s">
        <v>207</v>
      </c>
      <c r="B3">
        <v>50</v>
      </c>
    </row>
    <row r="4" spans="1:2" x14ac:dyDescent="0.15">
      <c r="A4" t="s">
        <v>208</v>
      </c>
      <c r="B4">
        <v>75</v>
      </c>
    </row>
    <row r="5" spans="1:2" x14ac:dyDescent="0.15">
      <c r="A5" t="s">
        <v>209</v>
      </c>
      <c r="B5">
        <v>100</v>
      </c>
    </row>
  </sheetData>
  <sheetProtection algorithmName="SHA-512" hashValue="KMUDFyERxHZuB0ABXv71xWor20xi5CdVXcrzKItZO0jMXlNCgbWW5hvZjNPrWBxWQbVre8hOQUzV27KNFYL8wA==" saltValue="VfG2jNviyTCqkCw+N0lbJQ==" spinCount="100000" sheet="1" objects="1" scenarios="1"/>
  <phoneticPr fontId="17"/>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
  <sheetViews>
    <sheetView workbookViewId="0">
      <selection activeCell="A7" sqref="A7"/>
    </sheetView>
  </sheetViews>
  <sheetFormatPr defaultRowHeight="13.5" x14ac:dyDescent="0.15"/>
  <sheetData>
    <row r="1" spans="1:1" x14ac:dyDescent="0.15">
      <c r="A1" s="139" t="s">
        <v>636</v>
      </c>
    </row>
    <row r="2" spans="1:1" x14ac:dyDescent="0.15">
      <c r="A2" t="s">
        <v>627</v>
      </c>
    </row>
    <row r="3" spans="1:1" x14ac:dyDescent="0.15">
      <c r="A3" t="s">
        <v>644</v>
      </c>
    </row>
  </sheetData>
  <sheetProtection algorithmName="SHA-512" hashValue="WsOltp2cgp3DkLDGnF/WtcA8+PBXMlWwmj/t0Nx2YVrrlMJIyr3UDDHhzuIPE7jtY53uwrTL1/f96jQiXgir1g==" saltValue="H/V48uzGjKdYC6LEWx9FSw==" spinCount="100000" sheet="1" objects="1" scenarios="1"/>
  <phoneticPr fontId="20"/>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26"/>
  <sheetViews>
    <sheetView zoomScale="70" zoomScaleNormal="70" workbookViewId="0">
      <selection activeCell="A4" sqref="A4"/>
    </sheetView>
  </sheetViews>
  <sheetFormatPr defaultColWidth="9" defaultRowHeight="14.25" x14ac:dyDescent="0.15"/>
  <cols>
    <col min="1" max="1" width="9" style="120"/>
    <col min="2" max="2" width="118" style="121" customWidth="1"/>
    <col min="3" max="16384" width="9" style="120"/>
  </cols>
  <sheetData>
    <row r="1" spans="2:2" ht="30" customHeight="1" x14ac:dyDescent="0.15">
      <c r="B1" s="119" t="s">
        <v>580</v>
      </c>
    </row>
    <row r="2" spans="2:2" ht="9.9499999999999993" customHeight="1" x14ac:dyDescent="0.15"/>
    <row r="3" spans="2:2" ht="30" customHeight="1" x14ac:dyDescent="0.15">
      <c r="B3" s="122" t="s">
        <v>361</v>
      </c>
    </row>
    <row r="4" spans="2:2" ht="51" customHeight="1" x14ac:dyDescent="0.15">
      <c r="B4" s="123" t="s">
        <v>362</v>
      </c>
    </row>
    <row r="5" spans="2:2" ht="34.5" customHeight="1" x14ac:dyDescent="0.15">
      <c r="B5" s="123" t="s">
        <v>363</v>
      </c>
    </row>
    <row r="6" spans="2:2" ht="34.5" customHeight="1" x14ac:dyDescent="0.15">
      <c r="B6" s="123" t="s">
        <v>364</v>
      </c>
    </row>
    <row r="7" spans="2:2" ht="9.9499999999999993" customHeight="1" x14ac:dyDescent="0.15"/>
    <row r="8" spans="2:2" ht="30" customHeight="1" x14ac:dyDescent="0.15">
      <c r="B8" s="122" t="s">
        <v>367</v>
      </c>
    </row>
    <row r="9" spans="2:2" ht="34.5" customHeight="1" x14ac:dyDescent="0.15">
      <c r="B9" s="158" t="s">
        <v>637</v>
      </c>
    </row>
    <row r="10" spans="2:2" ht="34.5" customHeight="1" x14ac:dyDescent="0.15">
      <c r="B10" s="158" t="s">
        <v>638</v>
      </c>
    </row>
    <row r="11" spans="2:2" ht="51.75" customHeight="1" x14ac:dyDescent="0.15">
      <c r="B11" s="158" t="s">
        <v>639</v>
      </c>
    </row>
    <row r="12" spans="2:2" ht="34.5" customHeight="1" x14ac:dyDescent="0.15">
      <c r="B12" s="158" t="s">
        <v>640</v>
      </c>
    </row>
    <row r="13" spans="2:2" ht="9.9499999999999993" customHeight="1" x14ac:dyDescent="0.15"/>
    <row r="14" spans="2:2" ht="30" customHeight="1" x14ac:dyDescent="0.15">
      <c r="B14" s="122" t="s">
        <v>64</v>
      </c>
    </row>
    <row r="15" spans="2:2" ht="63" customHeight="1" x14ac:dyDescent="0.15">
      <c r="B15" s="123" t="s">
        <v>349</v>
      </c>
    </row>
    <row r="16" spans="2:2" ht="40.5" x14ac:dyDescent="0.15">
      <c r="B16" s="123" t="s">
        <v>415</v>
      </c>
    </row>
    <row r="17" spans="2:2" ht="34.5" customHeight="1" x14ac:dyDescent="0.15">
      <c r="B17" s="123" t="s">
        <v>417</v>
      </c>
    </row>
    <row r="18" spans="2:2" ht="19.5" customHeight="1" x14ac:dyDescent="0.15">
      <c r="B18" s="123" t="s">
        <v>416</v>
      </c>
    </row>
    <row r="19" spans="2:2" ht="34.5" customHeight="1" x14ac:dyDescent="0.15">
      <c r="B19" s="158" t="s">
        <v>641</v>
      </c>
    </row>
    <row r="20" spans="2:2" ht="34.5" customHeight="1" x14ac:dyDescent="0.15">
      <c r="B20" s="158" t="s">
        <v>642</v>
      </c>
    </row>
    <row r="21" spans="2:2" ht="9.9499999999999993" customHeight="1" x14ac:dyDescent="0.15"/>
    <row r="22" spans="2:2" ht="30" customHeight="1" x14ac:dyDescent="0.15">
      <c r="B22" s="122" t="s">
        <v>63</v>
      </c>
    </row>
    <row r="23" spans="2:2" ht="34.5" customHeight="1" x14ac:dyDescent="0.15">
      <c r="B23" s="123" t="s">
        <v>350</v>
      </c>
    </row>
    <row r="24" spans="2:2" ht="19.5" customHeight="1" x14ac:dyDescent="0.15">
      <c r="B24" s="123" t="s">
        <v>351</v>
      </c>
    </row>
    <row r="25" spans="2:2" ht="19.5" customHeight="1" x14ac:dyDescent="0.15">
      <c r="B25" s="123" t="s">
        <v>568</v>
      </c>
    </row>
    <row r="26" spans="2:2" ht="19.5" customHeight="1" x14ac:dyDescent="0.15">
      <c r="B26" s="123" t="s">
        <v>352</v>
      </c>
    </row>
  </sheetData>
  <sheetProtection algorithmName="SHA-512" hashValue="wG96behhraz5/fulAUAEZxuXJijMpNlvz78b4KiEvahFPkqP7J3gTjoEqXVDwDUzdvUAGxeMDNHQsqYumomM4w==" saltValue="tW7gkYpLTwNKOkrJdarUlQ==" spinCount="100000"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K53"/>
  <sheetViews>
    <sheetView view="pageBreakPreview" zoomScale="70" zoomScaleNormal="70" zoomScaleSheetLayoutView="70" workbookViewId="0">
      <selection activeCell="C12" sqref="C12"/>
    </sheetView>
  </sheetViews>
  <sheetFormatPr defaultColWidth="9" defaultRowHeight="14.25" x14ac:dyDescent="0.15"/>
  <cols>
    <col min="1" max="1" width="41.5" style="27" customWidth="1"/>
    <col min="2" max="2" width="26.375" style="27" customWidth="1"/>
    <col min="3" max="3" width="77.625" style="167" customWidth="1"/>
    <col min="4" max="4" width="3.125" style="108" hidden="1" customWidth="1"/>
    <col min="5" max="5" width="22.75" style="108" hidden="1" customWidth="1"/>
    <col min="6" max="6" width="16.875" style="108" hidden="1" customWidth="1"/>
    <col min="7" max="7" width="17.625" style="108" hidden="1" customWidth="1"/>
    <col min="8" max="9" width="13.625" style="108" hidden="1" customWidth="1"/>
    <col min="10" max="12" width="11.5" style="108" hidden="1" customWidth="1"/>
    <col min="13" max="13" width="15.5" style="108" hidden="1" customWidth="1"/>
    <col min="14" max="14" width="32.25" style="108" hidden="1" customWidth="1"/>
    <col min="15" max="15" width="34.875" style="108" hidden="1" customWidth="1"/>
    <col min="16" max="19" width="15.5" style="108" hidden="1" customWidth="1"/>
    <col min="20" max="25" width="10.125" style="108" hidden="1" customWidth="1"/>
    <col min="26" max="51" width="0" style="108" hidden="1" customWidth="1"/>
    <col min="52" max="55" width="0" style="14" hidden="1" customWidth="1"/>
    <col min="56" max="60" width="0" style="27" hidden="1" customWidth="1"/>
    <col min="61" max="61" width="11.875" style="27" hidden="1" customWidth="1"/>
    <col min="62" max="63" width="9" style="27"/>
    <col min="64" max="64" width="9" style="27" customWidth="1"/>
    <col min="65" max="16384" width="9" style="27"/>
  </cols>
  <sheetData>
    <row r="1" spans="1:55" ht="30" customHeight="1" x14ac:dyDescent="0.15">
      <c r="A1" s="263" t="s">
        <v>368</v>
      </c>
      <c r="B1" s="263"/>
      <c r="C1" s="263"/>
    </row>
    <row r="2" spans="1:55" ht="29.25" customHeight="1" x14ac:dyDescent="0.15">
      <c r="A2" s="120" t="s">
        <v>423</v>
      </c>
      <c r="B2" s="120"/>
      <c r="C2" s="125"/>
      <c r="E2" s="109"/>
      <c r="AZ2" s="27"/>
      <c r="BA2" s="27"/>
      <c r="BB2" s="27"/>
      <c r="BC2" s="27"/>
    </row>
    <row r="3" spans="1:55" ht="29.25" customHeight="1" x14ac:dyDescent="0.15">
      <c r="A3" s="264" t="s">
        <v>78</v>
      </c>
      <c r="B3" s="264"/>
      <c r="C3" s="126"/>
      <c r="AZ3" s="27"/>
      <c r="BA3" s="27"/>
      <c r="BB3" s="27"/>
      <c r="BC3" s="27"/>
    </row>
    <row r="4" spans="1:55" ht="29.25" customHeight="1" x14ac:dyDescent="0.15">
      <c r="A4" s="168" t="s">
        <v>73</v>
      </c>
      <c r="B4" s="169" t="str">
        <f>IF(OR(C4="",C5=""),"",IF(C5&gt;C4,"着工前","着工後"))</f>
        <v/>
      </c>
      <c r="C4" s="127"/>
      <c r="E4" s="108">
        <f>IF(C4="",0,1)</f>
        <v>0</v>
      </c>
      <c r="AZ4" s="27"/>
      <c r="BA4" s="27"/>
      <c r="BB4" s="27"/>
      <c r="BC4" s="27"/>
    </row>
    <row r="5" spans="1:55" ht="29.25" customHeight="1" x14ac:dyDescent="0.15">
      <c r="A5" s="264" t="s">
        <v>74</v>
      </c>
      <c r="B5" s="264"/>
      <c r="C5" s="127"/>
      <c r="E5" s="108">
        <f>IF(C5="",0,1)</f>
        <v>0</v>
      </c>
      <c r="AZ5" s="27"/>
      <c r="BA5" s="27"/>
      <c r="BB5" s="27"/>
      <c r="BC5" s="27"/>
    </row>
    <row r="6" spans="1:55" ht="29.25" customHeight="1" x14ac:dyDescent="0.15">
      <c r="A6" s="264" t="s">
        <v>75</v>
      </c>
      <c r="B6" s="264"/>
      <c r="C6" s="127"/>
      <c r="E6" s="108">
        <f>E4*E5</f>
        <v>0</v>
      </c>
      <c r="AZ6" s="27"/>
      <c r="BA6" s="27"/>
      <c r="BB6" s="27"/>
      <c r="BC6" s="27"/>
    </row>
    <row r="7" spans="1:55" s="111" customFormat="1" ht="29.25" customHeight="1" x14ac:dyDescent="0.15">
      <c r="A7" s="267" t="s">
        <v>418</v>
      </c>
      <c r="B7" s="268"/>
      <c r="C7" s="128"/>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row>
    <row r="8" spans="1:55" ht="29.25" customHeight="1" x14ac:dyDescent="0.15">
      <c r="A8" s="170" t="s">
        <v>79</v>
      </c>
      <c r="B8" s="170"/>
      <c r="C8" s="173"/>
      <c r="M8" s="112"/>
      <c r="N8" s="112"/>
      <c r="AZ8" s="27"/>
      <c r="BA8" s="27"/>
      <c r="BB8" s="27"/>
      <c r="BC8" s="27"/>
    </row>
    <row r="9" spans="1:55" ht="29.25" customHeight="1" x14ac:dyDescent="0.15">
      <c r="A9" s="120" t="s">
        <v>83</v>
      </c>
      <c r="B9" s="120"/>
      <c r="C9" s="173"/>
      <c r="AZ9" s="27"/>
      <c r="BA9" s="27"/>
      <c r="BB9" s="27"/>
      <c r="BC9" s="27"/>
    </row>
    <row r="10" spans="1:55" ht="29.25" customHeight="1" x14ac:dyDescent="0.15">
      <c r="A10" s="265" t="s">
        <v>84</v>
      </c>
      <c r="B10" s="266"/>
      <c r="C10" s="129"/>
      <c r="AZ10" s="27"/>
      <c r="BA10" s="27"/>
      <c r="BB10" s="27"/>
      <c r="BC10" s="27"/>
    </row>
    <row r="11" spans="1:55" ht="29.25" customHeight="1" x14ac:dyDescent="0.15">
      <c r="A11" s="265" t="s">
        <v>212</v>
      </c>
      <c r="B11" s="266"/>
      <c r="C11" s="129"/>
      <c r="AZ11" s="27"/>
      <c r="BA11" s="27"/>
      <c r="BB11" s="27"/>
      <c r="BC11" s="27"/>
    </row>
    <row r="12" spans="1:55" ht="29.25" customHeight="1" x14ac:dyDescent="0.15">
      <c r="A12" s="269" t="str">
        <f>IF($C$11="","",IF($C$11="環境改善行為","本行為で得られたポイントを域外での開発の代償に充当しますか？","　　　　　　　         ↓"))</f>
        <v/>
      </c>
      <c r="B12" s="270"/>
      <c r="C12" s="129"/>
      <c r="AZ12" s="27"/>
      <c r="BA12" s="27"/>
      <c r="BB12" s="27"/>
      <c r="BC12" s="27"/>
    </row>
    <row r="13" spans="1:55" ht="29.25" customHeight="1" x14ac:dyDescent="0.15">
      <c r="A13" s="256" t="s">
        <v>414</v>
      </c>
      <c r="B13" s="260"/>
      <c r="C13" s="152"/>
      <c r="AZ13" s="27"/>
      <c r="BA13" s="27"/>
      <c r="BB13" s="27"/>
      <c r="BC13" s="27"/>
    </row>
    <row r="14" spans="1:55" ht="29.25" customHeight="1" x14ac:dyDescent="0.15">
      <c r="A14" s="265" t="s">
        <v>80</v>
      </c>
      <c r="B14" s="266"/>
      <c r="C14" s="156"/>
      <c r="AZ14" s="27"/>
      <c r="BA14" s="27"/>
      <c r="BB14" s="27"/>
      <c r="BC14" s="27"/>
    </row>
    <row r="15" spans="1:55" ht="30" customHeight="1" x14ac:dyDescent="0.15">
      <c r="A15" s="256" t="str">
        <f>IF($C$11="","",IF($C$11="環境改善行為","　　　　　　　         ↓","大規模行為届出制度の対象事業ですか？"))</f>
        <v/>
      </c>
      <c r="B15" s="260"/>
      <c r="C15" s="129"/>
      <c r="AZ15" s="27"/>
      <c r="BA15" s="27"/>
      <c r="BB15" s="27"/>
      <c r="BC15" s="27"/>
    </row>
    <row r="16" spans="1:55" ht="50.1" customHeight="1" x14ac:dyDescent="0.15">
      <c r="A16" s="256" t="str">
        <f>IF($C$11="","",IF($C$11="環境改善行為","　　　　　　　         ↓",IF($C$15="","",IF($C$15="はい","大規模行為届出制度に基づく緑地率確保基準（％）を、2～50％の範囲で入力してください。","　　　　　　　         ↓"))))</f>
        <v/>
      </c>
      <c r="B16" s="260"/>
      <c r="C16" s="130"/>
      <c r="AZ16" s="27"/>
      <c r="BA16" s="27"/>
      <c r="BB16" s="27"/>
      <c r="BC16" s="27"/>
    </row>
    <row r="17" spans="1:55" ht="50.1" customHeight="1" x14ac:dyDescent="0.15">
      <c r="A17" s="256" t="str">
        <f>IF($C$11="","",IF($C$11="環境改善行為","　　　　　　　         ↓",IF($C$15="","",IF($C$15="はい","工場立地法第4条の2に基づく地域準則条例による緑地の確保面積の緩和が適用される事業ですか？","　　　　　　　 　　　　↓"))))</f>
        <v/>
      </c>
      <c r="B17" s="260"/>
      <c r="C17" s="129"/>
      <c r="AZ17" s="27"/>
      <c r="BA17" s="27"/>
      <c r="BB17" s="27"/>
      <c r="BC17" s="27"/>
    </row>
    <row r="18" spans="1:55" ht="29.25" customHeight="1" x14ac:dyDescent="0.15">
      <c r="A18" s="256" t="str">
        <f>IF($C$11="","",IF($C$11="環境改善行為","　　　　　　　         ↓",IF(AND(C15="はい",$C$17="はい"),"緩和が適用された場合の緑地面積率の基準（％）を入力してください。",IF(C15="いいえ","　　　　　　　         ↓",""))))</f>
        <v/>
      </c>
      <c r="B18" s="260"/>
      <c r="C18" s="137"/>
      <c r="AZ18" s="27"/>
      <c r="BA18" s="27"/>
      <c r="BB18" s="27"/>
      <c r="BC18" s="27"/>
    </row>
    <row r="19" spans="1:55" ht="30" customHeight="1" x14ac:dyDescent="0.15">
      <c r="A19" s="170" t="s">
        <v>0</v>
      </c>
      <c r="B19" s="170"/>
      <c r="C19" s="173"/>
      <c r="D19" s="113"/>
      <c r="E19" s="113"/>
      <c r="F19" s="113"/>
      <c r="G19" s="113"/>
      <c r="N19" s="112"/>
      <c r="O19" s="112"/>
      <c r="AZ19" s="27"/>
      <c r="BA19" s="27"/>
      <c r="BB19" s="27"/>
      <c r="BC19" s="27"/>
    </row>
    <row r="20" spans="1:55" ht="30" customHeight="1" x14ac:dyDescent="0.15">
      <c r="A20" s="120" t="str">
        <f>IF($E$6=0,"※※1に戻って、入力日と着工日を入力してください！",IF($B$4="着工前","3. 行為を実施する場所における、貴重な環境の有無を入力してください。","3. 行為の実施前における、貴重な環境の有無を入力してください。"))</f>
        <v>※※1に戻って、入力日と着工日を入力してください！</v>
      </c>
      <c r="B20" s="120"/>
      <c r="C20" s="173"/>
      <c r="D20" s="113"/>
      <c r="E20" s="113"/>
      <c r="F20" s="114"/>
      <c r="G20" s="113"/>
      <c r="AZ20" s="27"/>
      <c r="BA20" s="27"/>
      <c r="BB20" s="27"/>
      <c r="BC20" s="27"/>
    </row>
    <row r="21" spans="1:55" ht="30" customHeight="1" x14ac:dyDescent="0.15">
      <c r="A21" s="261" t="str">
        <f>IF($E$6=0,"",IF($B$4="着工前","貴重な樹林や草地、湿地などが含まれていますか？","行為実施前の環境に貴重な樹林や草地、湿地などが含まれていましたか？"))</f>
        <v/>
      </c>
      <c r="B21" s="262"/>
      <c r="C21" s="131"/>
      <c r="D21" s="113"/>
      <c r="E21" s="115"/>
      <c r="F21" s="115"/>
      <c r="G21" s="113"/>
      <c r="T21" s="110"/>
      <c r="U21" s="110"/>
      <c r="V21" s="110"/>
      <c r="W21" s="110"/>
      <c r="X21" s="110"/>
      <c r="AZ21" s="27"/>
      <c r="BA21" s="27"/>
      <c r="BB21" s="27"/>
      <c r="BC21" s="27"/>
    </row>
    <row r="22" spans="1:55" ht="30" customHeight="1" x14ac:dyDescent="0.15">
      <c r="A22" s="256" t="str">
        <f>IF($C$21="","",IF($B$4="","",IF($C$21="含まれている（いた）","それはどのような環境ですか？","　　　　　　　         ↓")))</f>
        <v/>
      </c>
      <c r="B22" s="260"/>
      <c r="C22" s="132"/>
      <c r="D22" s="113"/>
      <c r="E22" s="116"/>
      <c r="F22" s="114"/>
      <c r="G22" s="117"/>
      <c r="N22" s="112"/>
      <c r="O22" s="112"/>
      <c r="AZ22" s="27"/>
      <c r="BA22" s="27"/>
      <c r="BB22" s="27"/>
      <c r="BC22" s="27"/>
    </row>
    <row r="23" spans="1:55" ht="30" customHeight="1" x14ac:dyDescent="0.15">
      <c r="A23" s="256" t="str">
        <f>IF($C$21="","",IF($B$4="","",IF($C$21="含まれている（いた）","何らかの保全策を実施しましたか？あるいは、実施する予定はありますか？","　　　　　　　         ↓")))</f>
        <v/>
      </c>
      <c r="B23" s="260"/>
      <c r="C23" s="133"/>
      <c r="D23" s="113"/>
      <c r="E23" s="117"/>
      <c r="F23" s="113"/>
      <c r="G23" s="113"/>
      <c r="AZ23" s="27"/>
      <c r="BA23" s="27"/>
      <c r="BB23" s="27"/>
      <c r="BC23" s="27"/>
    </row>
    <row r="24" spans="1:55" ht="30" customHeight="1" x14ac:dyDescent="0.15">
      <c r="A24" s="170" t="s">
        <v>81</v>
      </c>
      <c r="B24" s="170"/>
      <c r="C24" s="173"/>
      <c r="D24" s="112"/>
      <c r="E24" s="112"/>
      <c r="F24" s="112"/>
      <c r="G24" s="112"/>
      <c r="H24" s="112"/>
      <c r="N24" s="112"/>
      <c r="O24" s="112"/>
      <c r="AZ24" s="27"/>
      <c r="BA24" s="27"/>
      <c r="BB24" s="27"/>
      <c r="BC24" s="27"/>
    </row>
    <row r="25" spans="1:55" ht="30" customHeight="1" x14ac:dyDescent="0.15">
      <c r="A25" s="120" t="s">
        <v>334</v>
      </c>
      <c r="B25" s="120"/>
      <c r="C25" s="173"/>
      <c r="D25" s="112"/>
      <c r="E25" s="112"/>
      <c r="F25" s="112"/>
      <c r="G25" s="112"/>
      <c r="H25" s="112"/>
      <c r="N25" s="112"/>
      <c r="O25" s="112"/>
      <c r="T25" s="112"/>
      <c r="U25" s="112"/>
      <c r="V25" s="112"/>
      <c r="W25" s="112"/>
      <c r="X25" s="112"/>
      <c r="AZ25" s="27"/>
      <c r="BA25" s="27"/>
      <c r="BB25" s="27"/>
      <c r="BC25" s="27"/>
    </row>
    <row r="26" spans="1:55" ht="30" customHeight="1" x14ac:dyDescent="0.15">
      <c r="A26" s="256" t="s">
        <v>85</v>
      </c>
      <c r="B26" s="260"/>
      <c r="C26" s="133"/>
      <c r="D26" s="112"/>
      <c r="E26" s="112"/>
      <c r="F26" s="112"/>
      <c r="G26" s="112"/>
      <c r="H26" s="112"/>
      <c r="N26" s="112"/>
      <c r="O26" s="112"/>
      <c r="T26" s="112"/>
      <c r="U26" s="112"/>
      <c r="V26" s="112"/>
      <c r="W26" s="112"/>
      <c r="X26" s="112"/>
      <c r="AZ26" s="27"/>
      <c r="BA26" s="27"/>
      <c r="BB26" s="27"/>
      <c r="BC26" s="27"/>
    </row>
    <row r="27" spans="1:55" ht="30" customHeight="1" x14ac:dyDescent="0.15">
      <c r="A27" s="256" t="s">
        <v>579</v>
      </c>
      <c r="B27" s="260"/>
      <c r="C27" s="134"/>
      <c r="N27" s="112"/>
      <c r="O27" s="112"/>
      <c r="AZ27" s="27"/>
      <c r="BA27" s="27"/>
      <c r="BB27" s="27"/>
      <c r="BC27" s="27"/>
    </row>
    <row r="28" spans="1:55" ht="30" customHeight="1" x14ac:dyDescent="0.15">
      <c r="A28" s="256" t="s">
        <v>578</v>
      </c>
      <c r="B28" s="260"/>
      <c r="C28" s="134"/>
      <c r="AZ28" s="27"/>
      <c r="BA28" s="27"/>
      <c r="BB28" s="27"/>
      <c r="BC28" s="27"/>
    </row>
    <row r="29" spans="1:55" ht="30" customHeight="1" x14ac:dyDescent="0.15">
      <c r="A29" s="170" t="s">
        <v>82</v>
      </c>
      <c r="B29" s="170"/>
      <c r="C29" s="173"/>
      <c r="D29" s="112"/>
      <c r="E29" s="112"/>
      <c r="F29" s="112"/>
      <c r="G29" s="112"/>
      <c r="H29" s="112"/>
      <c r="N29" s="112"/>
      <c r="O29" s="112"/>
      <c r="T29" s="112"/>
      <c r="U29" s="112"/>
      <c r="V29" s="112"/>
      <c r="W29" s="112"/>
      <c r="X29" s="112"/>
      <c r="AZ29" s="27"/>
      <c r="BA29" s="27"/>
      <c r="BB29" s="27"/>
      <c r="BC29" s="27"/>
    </row>
    <row r="30" spans="1:55" ht="30" customHeight="1" x14ac:dyDescent="0.15">
      <c r="A30" s="171" t="s">
        <v>626</v>
      </c>
      <c r="B30" s="120"/>
      <c r="C30" s="173"/>
      <c r="D30" s="112"/>
      <c r="E30" s="112"/>
      <c r="F30" s="112"/>
      <c r="G30" s="112"/>
      <c r="H30" s="112"/>
      <c r="N30" s="112"/>
      <c r="O30" s="112"/>
      <c r="T30" s="112"/>
      <c r="U30" s="112"/>
      <c r="V30" s="112"/>
      <c r="W30" s="112"/>
      <c r="X30" s="112"/>
      <c r="AZ30" s="27"/>
      <c r="BA30" s="27"/>
      <c r="BB30" s="27"/>
      <c r="BC30" s="27"/>
    </row>
    <row r="31" spans="1:55" ht="30" customHeight="1" x14ac:dyDescent="0.15">
      <c r="A31" s="256" t="s">
        <v>630</v>
      </c>
      <c r="B31" s="260"/>
      <c r="C31" s="153"/>
      <c r="D31" s="112"/>
      <c r="E31" s="112"/>
      <c r="F31" s="112"/>
      <c r="G31" s="112"/>
      <c r="H31" s="112"/>
      <c r="N31" s="112"/>
      <c r="O31" s="112"/>
      <c r="T31" s="112"/>
      <c r="U31" s="112"/>
      <c r="V31" s="112"/>
      <c r="W31" s="112"/>
      <c r="X31" s="112"/>
      <c r="AZ31" s="27"/>
      <c r="BA31" s="27"/>
      <c r="BB31" s="27"/>
      <c r="BC31" s="27"/>
    </row>
    <row r="32" spans="1:55" ht="30" customHeight="1" x14ac:dyDescent="0.15">
      <c r="A32" s="170" t="s">
        <v>0</v>
      </c>
      <c r="B32" s="170"/>
      <c r="C32" s="173"/>
      <c r="D32" s="112"/>
      <c r="E32" s="112"/>
      <c r="F32" s="112"/>
      <c r="G32" s="112"/>
      <c r="H32" s="112"/>
      <c r="N32" s="112"/>
      <c r="O32" s="112"/>
      <c r="T32" s="112"/>
      <c r="U32" s="112"/>
      <c r="V32" s="112"/>
      <c r="W32" s="112"/>
      <c r="X32" s="112"/>
      <c r="AZ32" s="27"/>
      <c r="BA32" s="27"/>
      <c r="BB32" s="27"/>
      <c r="BC32" s="27"/>
    </row>
    <row r="33" spans="1:63" ht="30" customHeight="1" x14ac:dyDescent="0.15">
      <c r="A33" s="120" t="s">
        <v>629</v>
      </c>
      <c r="B33" s="120"/>
      <c r="C33" s="173"/>
      <c r="D33" s="112"/>
      <c r="E33" s="112"/>
      <c r="F33" s="112"/>
      <c r="G33" s="112"/>
      <c r="M33" s="112"/>
      <c r="N33" s="112"/>
      <c r="S33" s="112"/>
      <c r="T33" s="112"/>
      <c r="U33" s="112"/>
      <c r="V33" s="112"/>
      <c r="W33" s="112"/>
      <c r="AZ33" s="27"/>
      <c r="BA33" s="27"/>
      <c r="BB33" s="27"/>
      <c r="BC33" s="27"/>
    </row>
    <row r="34" spans="1:63" ht="30" customHeight="1" x14ac:dyDescent="0.15">
      <c r="A34" s="256" t="s">
        <v>357</v>
      </c>
      <c r="B34" s="257"/>
      <c r="C34" s="135"/>
      <c r="D34" s="112"/>
      <c r="E34" s="112"/>
      <c r="F34" s="112"/>
      <c r="G34" s="112"/>
      <c r="M34" s="112"/>
      <c r="N34" s="112"/>
      <c r="O34" s="112"/>
      <c r="P34" s="112"/>
      <c r="Q34" s="112"/>
      <c r="R34" s="112"/>
      <c r="S34" s="112"/>
      <c r="T34" s="112"/>
      <c r="U34" s="112"/>
      <c r="V34" s="112"/>
      <c r="W34" s="112"/>
      <c r="AZ34" s="27"/>
      <c r="BA34" s="27"/>
      <c r="BB34" s="27"/>
      <c r="BC34" s="27"/>
    </row>
    <row r="35" spans="1:63" ht="30" customHeight="1" x14ac:dyDescent="0.15">
      <c r="A35" s="256" t="s">
        <v>348</v>
      </c>
      <c r="B35" s="257"/>
      <c r="C35" s="135"/>
      <c r="N35" s="112"/>
      <c r="O35" s="112"/>
      <c r="AZ35" s="27"/>
      <c r="BA35" s="27"/>
      <c r="BB35" s="27"/>
      <c r="BC35" s="27"/>
    </row>
    <row r="36" spans="1:63" ht="43.5" customHeight="1" x14ac:dyDescent="0.15">
      <c r="A36" s="258" t="s">
        <v>632</v>
      </c>
      <c r="B36" s="259"/>
      <c r="C36" s="152"/>
      <c r="N36" s="112"/>
      <c r="O36" s="112"/>
      <c r="AZ36" s="27"/>
      <c r="BA36" s="27"/>
      <c r="BB36" s="27"/>
      <c r="BC36" s="27"/>
      <c r="BK36" s="149"/>
    </row>
    <row r="37" spans="1:63" ht="30" customHeight="1" x14ac:dyDescent="0.15">
      <c r="A37" s="258" t="str">
        <f>IF(C36="はい","既に上記の専門家のアドバイスを事業や計画の中に取り入れましたか？", IF(C36="いいえ","　　　　　　　　　　　↓",""))</f>
        <v/>
      </c>
      <c r="B37" s="259"/>
      <c r="C37" s="152"/>
      <c r="N37" s="112"/>
      <c r="O37" s="112"/>
      <c r="AZ37" s="27"/>
      <c r="BA37" s="27"/>
      <c r="BB37" s="27"/>
      <c r="BC37" s="27"/>
      <c r="BK37" s="149"/>
    </row>
    <row r="38" spans="1:63" ht="64.5" customHeight="1" x14ac:dyDescent="0.15">
      <c r="A38" s="256" t="str">
        <f>IF(OR(C34="はい",C35="はい",C36="はい"),"緑地や水辺の配置、ネットワーク形成について、具体的な取組内容を記述してください。",IF(AND(C34="いいえ",C35="いいえ",C36="いいえ"),"　　　　　　　　　　　↓",""))</f>
        <v/>
      </c>
      <c r="B38" s="257"/>
      <c r="C38" s="136"/>
      <c r="AZ38" s="27"/>
      <c r="BA38" s="27"/>
      <c r="BB38" s="27"/>
      <c r="BC38" s="27"/>
      <c r="BK38" s="149"/>
    </row>
    <row r="39" spans="1:63" ht="30" customHeight="1" x14ac:dyDescent="0.15">
      <c r="A39" s="170" t="s">
        <v>0</v>
      </c>
      <c r="B39" s="170"/>
      <c r="C39" s="173"/>
      <c r="D39" s="112"/>
      <c r="E39" s="112"/>
      <c r="K39" s="112"/>
      <c r="L39" s="112"/>
      <c r="Q39" s="112"/>
      <c r="R39" s="112"/>
      <c r="S39" s="112"/>
      <c r="T39" s="112"/>
      <c r="U39" s="112"/>
      <c r="AZ39" s="27"/>
      <c r="BA39" s="27"/>
      <c r="BB39" s="27"/>
      <c r="BC39" s="27"/>
    </row>
    <row r="40" spans="1:63" ht="30" customHeight="1" x14ac:dyDescent="0.15">
      <c r="A40" s="172" t="s">
        <v>635</v>
      </c>
      <c r="B40" s="120"/>
      <c r="C40" s="173"/>
      <c r="D40" s="112"/>
      <c r="E40" s="112"/>
      <c r="K40" s="112"/>
      <c r="L40" s="112"/>
      <c r="Q40" s="112"/>
      <c r="R40" s="112"/>
      <c r="S40" s="112"/>
      <c r="T40" s="112"/>
      <c r="U40" s="112"/>
      <c r="AZ40" s="27"/>
      <c r="BA40" s="27"/>
      <c r="BB40" s="27"/>
      <c r="BC40" s="27"/>
    </row>
    <row r="41" spans="1:63" ht="50.1" customHeight="1" x14ac:dyDescent="0.15">
      <c r="A41" s="256" t="s">
        <v>222</v>
      </c>
      <c r="B41" s="257"/>
      <c r="C41" s="135"/>
      <c r="D41" s="112"/>
      <c r="E41" s="112"/>
      <c r="K41" s="112"/>
      <c r="L41" s="112"/>
      <c r="Q41" s="112"/>
      <c r="R41" s="112"/>
      <c r="S41" s="112"/>
      <c r="T41" s="112"/>
      <c r="U41" s="112"/>
      <c r="AZ41" s="27"/>
      <c r="BA41" s="27"/>
      <c r="BB41" s="27"/>
      <c r="BC41" s="27"/>
    </row>
    <row r="42" spans="1:63" ht="50.1" customHeight="1" x14ac:dyDescent="0.15">
      <c r="A42" s="256" t="str">
        <f>IF(C41="はい","上記の土地の内、今後（事業後）は適切な維持管理を行なう土地の面積(㎡)を入力してください。",IF(C41="いいえ","　　　　　　　　　　　↓",""))</f>
        <v/>
      </c>
      <c r="B42" s="257"/>
      <c r="C42" s="138"/>
      <c r="D42" s="112"/>
      <c r="E42" s="112"/>
      <c r="K42" s="112"/>
      <c r="L42" s="112"/>
      <c r="Q42" s="112"/>
      <c r="R42" s="112"/>
      <c r="S42" s="112"/>
      <c r="T42" s="112"/>
      <c r="U42" s="112"/>
      <c r="AZ42" s="27"/>
      <c r="BA42" s="27"/>
      <c r="BB42" s="27"/>
      <c r="BC42" s="27"/>
    </row>
    <row r="43" spans="1:63" ht="63" customHeight="1" x14ac:dyDescent="0.15">
      <c r="A43" s="256" t="str">
        <f>IF(OR(C41="はい",C42="はい"),"具体的な維持管理内容を記述してください。",IF(AND(C41="いいえ"),"　　　　　　　　　　　↓",""))</f>
        <v/>
      </c>
      <c r="B43" s="257"/>
      <c r="C43" s="136"/>
      <c r="AZ43" s="27"/>
      <c r="BA43" s="27"/>
      <c r="BB43" s="27"/>
      <c r="BC43" s="27"/>
    </row>
    <row r="44" spans="1:63" ht="30" customHeight="1" x14ac:dyDescent="0.15">
      <c r="A44" s="170" t="s">
        <v>0</v>
      </c>
      <c r="B44" s="170"/>
      <c r="C44" s="173"/>
      <c r="D44" s="112"/>
      <c r="E44" s="112"/>
      <c r="K44" s="112"/>
      <c r="L44" s="112"/>
      <c r="Q44" s="112"/>
      <c r="R44" s="112"/>
      <c r="S44" s="112"/>
      <c r="T44" s="112"/>
      <c r="U44" s="112"/>
      <c r="AZ44" s="27"/>
      <c r="BA44" s="27"/>
      <c r="BB44" s="27"/>
      <c r="BC44" s="27"/>
    </row>
    <row r="45" spans="1:63" ht="30" customHeight="1" x14ac:dyDescent="0.15">
      <c r="A45" s="172" t="s">
        <v>634</v>
      </c>
      <c r="B45" s="120"/>
      <c r="C45" s="173"/>
      <c r="D45" s="112"/>
      <c r="E45" s="112"/>
      <c r="F45" s="112"/>
      <c r="G45" s="112"/>
      <c r="M45" s="112"/>
      <c r="N45" s="112"/>
      <c r="S45" s="112"/>
      <c r="T45" s="112"/>
      <c r="U45" s="112"/>
      <c r="V45" s="112"/>
      <c r="W45" s="112"/>
      <c r="AZ45" s="27"/>
      <c r="BA45" s="27"/>
      <c r="BB45" s="27"/>
      <c r="BC45" s="27"/>
    </row>
    <row r="46" spans="1:63" ht="30" customHeight="1" x14ac:dyDescent="0.15">
      <c r="A46" s="258" t="s">
        <v>633</v>
      </c>
      <c r="B46" s="259"/>
      <c r="C46" s="154"/>
      <c r="N46" s="112"/>
      <c r="O46" s="112"/>
      <c r="AZ46" s="27"/>
      <c r="BA46" s="27"/>
      <c r="BB46" s="27"/>
      <c r="BC46" s="27"/>
      <c r="BK46" s="149"/>
    </row>
    <row r="47" spans="1:63" ht="30" customHeight="1" x14ac:dyDescent="0.15">
      <c r="A47" s="258" t="str">
        <f>IF(C46="はい","代償地を10年以上管理することを想定した管理計画はありますか？",IF(C46="いいえ","　　　　　　　　　　　↓",""))</f>
        <v/>
      </c>
      <c r="B47" s="259"/>
      <c r="C47" s="154"/>
      <c r="N47" s="112"/>
      <c r="O47" s="112"/>
      <c r="AZ47" s="27"/>
      <c r="BA47" s="27"/>
      <c r="BB47" s="27"/>
      <c r="BC47" s="27"/>
      <c r="BK47" s="149"/>
    </row>
    <row r="48" spans="1:63" ht="30" customHeight="1" x14ac:dyDescent="0.15">
      <c r="A48" s="28" t="str">
        <f>IF(OR(C46="いいえ",NOT(C47="")),"　　　　　　　　　　　↓","")</f>
        <v/>
      </c>
      <c r="B48" s="28"/>
    </row>
    <row r="49" spans="1:3" ht="43.5" customHeight="1" x14ac:dyDescent="0.15">
      <c r="A49" s="255" t="str">
        <f>IF(OR(C46="いいえ",NOT(C47="")),"「環境条件」シート（現況・竣工時・将来）で事業前後の環境データを入力してください。
※なお、「推奨植物」シートにおいて、当該市町村で使用されることが望ましい植物種を確認することができます。","")</f>
        <v/>
      </c>
      <c r="B49" s="255"/>
      <c r="C49" s="255"/>
    </row>
    <row r="50" spans="1:3" ht="30" customHeight="1" x14ac:dyDescent="0.15"/>
    <row r="51" spans="1:3" ht="30" customHeight="1" x14ac:dyDescent="0.15"/>
    <row r="52" spans="1:3" ht="30" customHeight="1" x14ac:dyDescent="0.15"/>
    <row r="53" spans="1:3" ht="30" customHeight="1" x14ac:dyDescent="0.15"/>
  </sheetData>
  <sheetProtection algorithmName="SHA-512" hashValue="cmop+7WOI6udvqGUIKQokqOwDoBk7gTxuECCRZ3wbYHmAnNDaTqjjybx6hMri1vJPOLIXiL/sJrI98sLMUEy8Q==" saltValue="UWIoNlfQXERem+JwhZTtVw==" spinCount="100000" sheet="1" objects="1" scenarios="1"/>
  <dataConsolidate/>
  <mergeCells count="32">
    <mergeCell ref="A1:C1"/>
    <mergeCell ref="A6:B6"/>
    <mergeCell ref="A5:B5"/>
    <mergeCell ref="A3:B3"/>
    <mergeCell ref="A15:B15"/>
    <mergeCell ref="A14:B14"/>
    <mergeCell ref="A13:B13"/>
    <mergeCell ref="A11:B11"/>
    <mergeCell ref="A10:B10"/>
    <mergeCell ref="A7:B7"/>
    <mergeCell ref="A12:B12"/>
    <mergeCell ref="A17:B17"/>
    <mergeCell ref="A16:B16"/>
    <mergeCell ref="A34:B34"/>
    <mergeCell ref="A28:B28"/>
    <mergeCell ref="A27:B27"/>
    <mergeCell ref="A26:B26"/>
    <mergeCell ref="A23:B23"/>
    <mergeCell ref="A31:B31"/>
    <mergeCell ref="A22:B22"/>
    <mergeCell ref="A21:B21"/>
    <mergeCell ref="A18:B18"/>
    <mergeCell ref="A49:C49"/>
    <mergeCell ref="A42:B42"/>
    <mergeCell ref="A41:B41"/>
    <mergeCell ref="A38:B38"/>
    <mergeCell ref="A35:B35"/>
    <mergeCell ref="A43:B43"/>
    <mergeCell ref="A47:B47"/>
    <mergeCell ref="A46:B46"/>
    <mergeCell ref="A36:B36"/>
    <mergeCell ref="A37:B37"/>
  </mergeCells>
  <phoneticPr fontId="2"/>
  <dataValidations xWindow="882" yWindow="476" count="22">
    <dataValidation type="list" allowBlank="1" showInputMessage="1" showErrorMessage="1" error="・セルの右側の▼から選択してください." promptTitle="入力方法" prompt="・行為実施前に貴重な環境が含まれていた（いる）場合のみ,プルダウンメニューから,「ある」または「ない」を選択してください._x000a_・貴重な環境が含まれていなかった（いない）場合は,空欄のまま,4の質問へ進んでください." sqref="C23" xr:uid="{00000000-0002-0000-0200-000000000000}">
      <formula1>ある・ない</formula1>
    </dataValidation>
    <dataValidation type="list" allowBlank="1" showInputMessage="1" showErrorMessage="1" error="・セルの右側の▼から選択してください." promptTitle="入力方法" prompt="・行為実施前に貴重な環境が含まれていた（いる）場合のみ,プルダウンメニューから,その環境の種類を選択してください._x000a_・貴重な環境が含まれていなかった（いない）場合は,空欄のまま,4の質問へ進んでください." sqref="C22" xr:uid="{00000000-0002-0000-0200-000001000000}">
      <formula1>貴重な環境2</formula1>
    </dataValidation>
    <dataValidation type="list" allowBlank="1" showInputMessage="1" showErrorMessage="1" error="・セルの右側の▼から選択してください." promptTitle="入力方法" prompt="・プルダウンメニュー（セルの右側の▼）から選択してください." sqref="C21" xr:uid="{00000000-0002-0000-0200-000002000000}">
      <formula1>貴重な環境1</formula1>
    </dataValidation>
    <dataValidation type="list" allowBlank="1" showInputMessage="1" showErrorMessage="1" sqref="F21" xr:uid="{00000000-0002-0000-0200-000003000000}">
      <formula1>事業段階</formula1>
    </dataValidation>
    <dataValidation type="list" allowBlank="1" showInputMessage="1" showErrorMessage="1" error="・セルの右側の▼から選択してください" promptTitle="入力方法" prompt="・プルダウンメニュー（セルの右側の▼）から行為の種類を選択してください." sqref="C11" xr:uid="{00000000-0002-0000-0200-000004000000}">
      <formula1>開発行為</formula1>
    </dataValidation>
    <dataValidation type="decimal" allowBlank="1" showInputMessage="1" showErrorMessage="1" error="評価区域面積を超える値は入力できません。" promptTitle="入力方法" prompt="・上の答えが「はい」で,かつ,事業後に適切な維持管理を行う土地がある場合は,その面積(㎡)を入力してください._x000a_・そうでない場合は,空欄のまま「環境条件」シート（現況・竣工時・将来）に進み,事業前後の環境データを入力してください." sqref="C42" xr:uid="{00000000-0002-0000-0200-000005000000}">
      <formula1>0</formula1>
      <formula2>C14</formula2>
    </dataValidation>
    <dataValidation type="decimal" operator="greaterThanOrEqual" allowBlank="1" showInputMessage="1" showErrorMessage="1" promptTitle="入力方法" prompt="・面積(㎡)を入力してください." sqref="C14" xr:uid="{00000000-0002-0000-0200-000006000000}">
      <formula1>0</formula1>
    </dataValidation>
    <dataValidation type="whole" allowBlank="1" showInputMessage="1" showErrorMessage="1" error="2～50の整数のみ入力可能です." promptTitle="入力方法" prompt="・大規模行為届出制度の対象事業の場合のみ,2～50の数字を入力してください._x000a_・大規模行為届出制度の対象事業ではない場合は,空欄のまま,3の質問へ進んでください." sqref="C16" xr:uid="{00000000-0002-0000-0200-000007000000}">
      <formula1>2</formula1>
      <formula2>50</formula2>
    </dataValidation>
    <dataValidation type="whole" operator="greaterThanOrEqual" allowBlank="1" showInputMessage="1" showErrorMessage="1" error="整数のみ入力できます." promptTitle="入力方法" prompt="西暦を入力してください." sqref="C26" xr:uid="{00000000-0002-0000-0200-000008000000}">
      <formula1>0</formula1>
    </dataValidation>
    <dataValidation type="list" allowBlank="1" showInputMessage="1" showErrorMessage="1" error="・プルダウンメニュー（セルの右側の▼）から選択してください." promptTitle="入力方法" prompt="・プルダウンメニュー（セルの右側の▼）から市町村名を選択してください." sqref="C13" xr:uid="{00000000-0002-0000-0200-000009000000}">
      <formula1>市町村</formula1>
    </dataValidation>
    <dataValidation type="list" operator="greaterThanOrEqual" allowBlank="1" showInputMessage="1" showErrorMessage="1" error="・プルダウンメニューを選択してください._x000a_" promptTitle="入力方法" prompt="・プルダウンメニュー（セルの右側の▼）から選択してください." sqref="C7" xr:uid="{00000000-0002-0000-0200-00000A000000}">
      <formula1>植生成立想定</formula1>
    </dataValidation>
    <dataValidation type="list" allowBlank="1" showInputMessage="1" showErrorMessage="1" error="・セルの右側の▼から選択してください" promptTitle="入力方法" prompt="・行為の種類が「環境改善行為」の場合のみ,プルダウンメニューから回答を選択してください._x000a_・それ以外の場合は,空欄のまま次に進んでください." sqref="C12" xr:uid="{00000000-0002-0000-0200-00000B000000}">
      <formula1>はい・いいえ</formula1>
    </dataValidation>
    <dataValidation type="date" operator="greaterThanOrEqual" allowBlank="1" showInputMessage="1" showErrorMessage="1" error="2013/4/1のように、年・月・日をスラッシュで区切って入力してください。" promptTitle="入力方法" prompt="・2013/4/1のように、年・月・日をスラッシュで区切って入力してください." sqref="C4:C6" xr:uid="{00000000-0002-0000-0200-00000C000000}">
      <formula1>92</formula1>
    </dataValidation>
    <dataValidation type="list" allowBlank="1" showInputMessage="1" showErrorMessage="1" error="・セルの右側の▼から選択してください" promptTitle="入力方法" prompt="・行為の種類が「開発行為」の場合のみ,プルダウンメニューから「はい」または「いいえ」を選択してください._x000a_・「環境改善行為」の場合は,空欄のまま,3の質問へ進んでください." sqref="C15" xr:uid="{00000000-0002-0000-0200-00000D000000}">
      <formula1>はい・いいえ</formula1>
    </dataValidation>
    <dataValidation type="list" allowBlank="1" showInputMessage="1" showErrorMessage="1" promptTitle="入力方法" prompt="・大規模行為届出制度の対象事業の場合のみ,プルダウンメニューから「はい」または「いいえ」を選択してください._x000a_・大規模行為届出制度の対象事業ではない場合は,空欄のまま,3の質問へ進んでください." sqref="C17" xr:uid="{00000000-0002-0000-0200-00000E000000}">
      <formula1>はい・いいえ</formula1>
    </dataValidation>
    <dataValidation type="decimal" allowBlank="1" showInputMessage="1" showErrorMessage="1" error="1～50の数値のみ入力可能です." promptTitle="入力方法" prompt="・地域準則条例による緑地の確保面積の緩和が適用される事業の場合のみ,数字を入力してください._x000a_・緩和が適用される事業ではない場合は,空欄のまま,3の質問へ進んでください." sqref="C18" xr:uid="{00000000-0002-0000-0200-00000F000000}">
      <formula1>1</formula1>
      <formula2>50</formula2>
    </dataValidation>
    <dataValidation type="list" allowBlank="1" showInputMessage="1" showErrorMessage="1" error="セルの右側の▼から選択してください." promptTitle="入力方法" prompt="・プルダウンメニュー（セルの右側の▼）から選択してください." sqref="C27:C28" xr:uid="{00000000-0002-0000-0200-000010000000}">
      <formula1>過去の履歴</formula1>
    </dataValidation>
    <dataValidation type="list" allowBlank="1" showInputMessage="1" showErrorMessage="1" error="セルの右側の▼から選択してください." promptTitle="入力方法" prompt="・プルダウンメニュー（セルの右側の▼）から「はい」または「いいえ」を選択してください." sqref="C41 C34:C37" xr:uid="{00000000-0002-0000-0200-000011000000}">
      <formula1>はい・いいえ</formula1>
    </dataValidation>
    <dataValidation allowBlank="1" showInputMessage="1" showErrorMessage="1" promptTitle="入力方法" prompt="・緑地等を,まとまりをもって,あるいは,周辺とのつながりを考慮して配置した(する)場合のみ,その具体的な内容を記述してください._x000a_・そのような配置を行わなかった（行わない）場合は,空欄のまま,6の質問へ進んでください." sqref="C38" xr:uid="{00000000-0002-0000-0200-000012000000}"/>
    <dataValidation allowBlank="1" showInputMessage="1" showErrorMessage="1" promptTitle="入力方法" prompt="・工場造成,マンション建設,ビオトープ整備など,行為の目的を記述してください." sqref="C10" xr:uid="{00000000-0002-0000-0200-000013000000}"/>
    <dataValidation allowBlank="1" showInputMessage="1" showErrorMessage="1" promptTitle="入力方法" prompt="・事業後に適切な維持管理を行う土地がある場合は,その具体的な維持管理内容を入力してください._x000a_・そうでない場合は,空欄のまま「環境条件」シート（現況・竣工時・将来）に進み,事業前後の環境データを入力してください." sqref="C43:C44" xr:uid="{00000000-0002-0000-0200-000014000000}"/>
    <dataValidation allowBlank="1" showInputMessage="1" showErrorMessage="1" promptTitle="入力方法" prompt="・利用者名を入力してください." sqref="C3" xr:uid="{00000000-0002-0000-0200-000015000000}"/>
  </dataValidations>
  <printOptions horizontalCentered="1"/>
  <pageMargins left="0.39370078740157483" right="0.39370078740157483" top="0.39370078740157483" bottom="0.39370078740157483" header="0.31496062992125984" footer="0.31496062992125984"/>
  <pageSetup paperSize="8" scale="80" orientation="portrait" r:id="rId1"/>
  <headerFooter alignWithMargins="0"/>
  <ignoredErrors>
    <ignoredError sqref="A15:A18 A20:A23" unlockedFormula="1"/>
  </ignoredErrors>
  <drawing r:id="rId2"/>
  <extLst>
    <ext xmlns:x14="http://schemas.microsoft.com/office/spreadsheetml/2009/9/main" uri="{CCE6A557-97BC-4b89-ADB6-D9C93CAAB3DF}">
      <x14:dataValidations xmlns:xm="http://schemas.microsoft.com/office/excel/2006/main" xWindow="882" yWindow="476" count="2">
        <x14:dataValidation type="list" operator="greaterThanOrEqual" allowBlank="1" showErrorMessage="1" error="整数のみ入力できます." promptTitle="入力方法" xr:uid="{1B28D123-8B7B-4969-8D41-87BBE033D8AC}">
          <x14:formula1>
            <xm:f>リスト!$E$1:$E$2</xm:f>
          </x14:formula1>
          <xm:sqref>C31</xm:sqref>
        </x14:dataValidation>
        <x14:dataValidation type="list" allowBlank="1" showInputMessage="1" showErrorMessage="1" error="セルの右側の▼から選択してください." promptTitle="入力方法" prompt="・プルダウンメニュー（セルの右側の▼）から「はい」または「いいえ」を選択してください." xr:uid="{5DB59752-B06A-44CD-87EC-A6608DC6F2A2}">
          <x14:formula1>
            <xm:f>リスト!$E$1:$E$2</xm:f>
          </x14:formula1>
          <xm:sqref>C46:C47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Y61"/>
  <sheetViews>
    <sheetView topLeftCell="B1" zoomScale="55" zoomScaleNormal="55" workbookViewId="0">
      <selection activeCell="B39" sqref="B39:C45"/>
    </sheetView>
  </sheetViews>
  <sheetFormatPr defaultRowHeight="13.5" x14ac:dyDescent="0.15"/>
  <cols>
    <col min="1" max="1" width="17.25" customWidth="1"/>
    <col min="2" max="2" width="11" bestFit="1" customWidth="1"/>
    <col min="3" max="6" width="11" customWidth="1"/>
    <col min="7" max="7" width="28.625" customWidth="1"/>
    <col min="8" max="8" width="26.125" bestFit="1" customWidth="1"/>
    <col min="9" max="9" width="26.5" bestFit="1" customWidth="1"/>
    <col min="10" max="10" width="10" bestFit="1" customWidth="1"/>
    <col min="11" max="12" width="6.75" bestFit="1" customWidth="1"/>
    <col min="13" max="13" width="13.125" bestFit="1" customWidth="1"/>
    <col min="14" max="14" width="25.5" bestFit="1" customWidth="1"/>
    <col min="15" max="15" width="5.25" bestFit="1" customWidth="1"/>
    <col min="16" max="16" width="23.5" bestFit="1" customWidth="1"/>
    <col min="17" max="17" width="4.5" bestFit="1" customWidth="1"/>
    <col min="18" max="18" width="48.125" bestFit="1" customWidth="1"/>
    <col min="19" max="19" width="8.875" bestFit="1" customWidth="1"/>
    <col min="20" max="20" width="5.25" bestFit="1" customWidth="1"/>
    <col min="21" max="21" width="8.875" bestFit="1" customWidth="1"/>
    <col min="22" max="22" width="5.25" bestFit="1" customWidth="1"/>
    <col min="23" max="23" width="8.875" bestFit="1" customWidth="1"/>
  </cols>
  <sheetData>
    <row r="1" spans="1:25" x14ac:dyDescent="0.15">
      <c r="A1" t="s">
        <v>419</v>
      </c>
      <c r="B1" s="2" t="s">
        <v>96</v>
      </c>
      <c r="C1" s="2" t="s">
        <v>119</v>
      </c>
      <c r="D1" s="2" t="s">
        <v>171</v>
      </c>
      <c r="E1" s="2" t="s">
        <v>171</v>
      </c>
      <c r="F1" s="2" t="s">
        <v>621</v>
      </c>
      <c r="G1" t="s">
        <v>8</v>
      </c>
      <c r="H1" t="s">
        <v>17</v>
      </c>
      <c r="I1" s="4" t="s">
        <v>353</v>
      </c>
      <c r="J1" t="s">
        <v>175</v>
      </c>
      <c r="K1" t="s">
        <v>180</v>
      </c>
      <c r="L1" t="s">
        <v>180</v>
      </c>
      <c r="M1" t="s">
        <v>16</v>
      </c>
      <c r="N1" t="s">
        <v>22</v>
      </c>
      <c r="O1" s="1" t="s">
        <v>327</v>
      </c>
      <c r="P1" t="s">
        <v>182</v>
      </c>
      <c r="R1" t="s">
        <v>188</v>
      </c>
      <c r="S1" t="s">
        <v>205</v>
      </c>
      <c r="T1" t="s">
        <v>210</v>
      </c>
      <c r="U1" t="s">
        <v>205</v>
      </c>
      <c r="V1" t="s">
        <v>210</v>
      </c>
      <c r="W1" t="s">
        <v>205</v>
      </c>
      <c r="X1" t="s">
        <v>346</v>
      </c>
      <c r="Y1" t="s">
        <v>615</v>
      </c>
    </row>
    <row r="2" spans="1:25" x14ac:dyDescent="0.15">
      <c r="A2" t="s">
        <v>420</v>
      </c>
      <c r="B2" s="2" t="s">
        <v>65</v>
      </c>
      <c r="C2" s="2" t="s">
        <v>118</v>
      </c>
      <c r="D2" s="2" t="s">
        <v>172</v>
      </c>
      <c r="E2" s="2" t="s">
        <v>172</v>
      </c>
      <c r="F2" s="2" t="s">
        <v>622</v>
      </c>
      <c r="G2" t="s">
        <v>9</v>
      </c>
      <c r="H2" t="s">
        <v>18</v>
      </c>
      <c r="I2" s="4" t="s">
        <v>354</v>
      </c>
      <c r="J2" t="s">
        <v>176</v>
      </c>
      <c r="K2" t="s">
        <v>181</v>
      </c>
      <c r="L2" t="s">
        <v>181</v>
      </c>
      <c r="M2" t="s">
        <v>20</v>
      </c>
      <c r="N2" t="s">
        <v>21</v>
      </c>
      <c r="P2" t="s">
        <v>183</v>
      </c>
      <c r="R2" t="s">
        <v>189</v>
      </c>
      <c r="S2" t="s">
        <v>206</v>
      </c>
      <c r="T2" t="s">
        <v>211</v>
      </c>
      <c r="U2" t="s">
        <v>206</v>
      </c>
      <c r="V2" t="s">
        <v>211</v>
      </c>
      <c r="W2" t="s">
        <v>206</v>
      </c>
      <c r="X2" t="s">
        <v>347</v>
      </c>
      <c r="Y2" t="s">
        <v>616</v>
      </c>
    </row>
    <row r="3" spans="1:25" x14ac:dyDescent="0.15">
      <c r="A3" t="s">
        <v>421</v>
      </c>
      <c r="B3" s="2" t="s">
        <v>95</v>
      </c>
      <c r="C3" s="2" t="s">
        <v>117</v>
      </c>
      <c r="D3" s="2"/>
      <c r="E3" s="2"/>
      <c r="F3" s="2" t="s">
        <v>623</v>
      </c>
      <c r="G3" t="s">
        <v>10</v>
      </c>
      <c r="H3" t="s">
        <v>174</v>
      </c>
      <c r="I3" s="4" t="s">
        <v>3</v>
      </c>
      <c r="J3" t="s">
        <v>177</v>
      </c>
      <c r="K3" t="s">
        <v>15</v>
      </c>
      <c r="L3" t="s">
        <v>15</v>
      </c>
      <c r="M3" t="s">
        <v>70</v>
      </c>
      <c r="N3" t="s">
        <v>252</v>
      </c>
      <c r="P3" t="s">
        <v>328</v>
      </c>
      <c r="R3" t="s">
        <v>190</v>
      </c>
      <c r="S3" t="s">
        <v>207</v>
      </c>
      <c r="T3" t="s">
        <v>15</v>
      </c>
      <c r="U3" t="s">
        <v>207</v>
      </c>
      <c r="V3" t="s">
        <v>15</v>
      </c>
      <c r="W3" t="s">
        <v>207</v>
      </c>
      <c r="Y3" t="s">
        <v>617</v>
      </c>
    </row>
    <row r="4" spans="1:25" x14ac:dyDescent="0.15">
      <c r="A4" t="s">
        <v>422</v>
      </c>
      <c r="B4" s="2" t="s">
        <v>55</v>
      </c>
      <c r="C4" s="2" t="s">
        <v>120</v>
      </c>
      <c r="D4" s="2"/>
      <c r="E4" s="2"/>
      <c r="F4" s="2" t="s">
        <v>624</v>
      </c>
      <c r="G4" t="s">
        <v>11</v>
      </c>
      <c r="I4" s="4" t="s">
        <v>4</v>
      </c>
      <c r="J4" t="s">
        <v>178</v>
      </c>
      <c r="M4" t="s">
        <v>94</v>
      </c>
      <c r="P4" t="s">
        <v>330</v>
      </c>
      <c r="Q4">
        <v>2.5</v>
      </c>
      <c r="R4" t="s">
        <v>77</v>
      </c>
      <c r="S4" t="s">
        <v>208</v>
      </c>
      <c r="U4" t="s">
        <v>208</v>
      </c>
      <c r="W4" t="s">
        <v>208</v>
      </c>
      <c r="Y4" t="s">
        <v>211</v>
      </c>
    </row>
    <row r="5" spans="1:25" x14ac:dyDescent="0.15">
      <c r="B5" s="2" t="s">
        <v>97</v>
      </c>
      <c r="C5" s="2" t="s">
        <v>121</v>
      </c>
      <c r="D5" s="2"/>
      <c r="E5" s="2"/>
      <c r="F5" s="2"/>
      <c r="G5" t="s">
        <v>12</v>
      </c>
      <c r="I5" s="4" t="s">
        <v>355</v>
      </c>
      <c r="J5" t="s">
        <v>179</v>
      </c>
      <c r="P5" t="s">
        <v>184</v>
      </c>
      <c r="Q5">
        <v>2.5</v>
      </c>
      <c r="R5" t="s">
        <v>191</v>
      </c>
      <c r="S5" t="s">
        <v>209</v>
      </c>
      <c r="U5" t="s">
        <v>209</v>
      </c>
      <c r="W5" t="s">
        <v>209</v>
      </c>
      <c r="Y5" t="s">
        <v>15</v>
      </c>
    </row>
    <row r="6" spans="1:25" x14ac:dyDescent="0.15">
      <c r="B6" s="2" t="s">
        <v>98</v>
      </c>
      <c r="C6" s="2" t="s">
        <v>122</v>
      </c>
      <c r="D6" s="2"/>
      <c r="E6" s="2"/>
      <c r="F6" s="2"/>
      <c r="G6" t="s">
        <v>13</v>
      </c>
      <c r="J6" t="s">
        <v>356</v>
      </c>
      <c r="P6" t="s">
        <v>185</v>
      </c>
      <c r="Q6">
        <v>2.5</v>
      </c>
      <c r="R6" t="s">
        <v>192</v>
      </c>
      <c r="S6" t="s">
        <v>173</v>
      </c>
      <c r="U6" t="s">
        <v>173</v>
      </c>
      <c r="W6" t="s">
        <v>173</v>
      </c>
    </row>
    <row r="7" spans="1:25" x14ac:dyDescent="0.15">
      <c r="B7" s="2" t="s">
        <v>57</v>
      </c>
      <c r="C7" s="2" t="s">
        <v>124</v>
      </c>
      <c r="D7" s="2"/>
      <c r="E7" s="2"/>
      <c r="F7" s="2"/>
      <c r="G7" t="s">
        <v>14</v>
      </c>
      <c r="P7" t="s">
        <v>186</v>
      </c>
      <c r="Q7">
        <v>10</v>
      </c>
      <c r="R7" t="s">
        <v>194</v>
      </c>
    </row>
    <row r="8" spans="1:25" x14ac:dyDescent="0.15">
      <c r="B8" s="2" t="s">
        <v>101</v>
      </c>
      <c r="C8" s="2" t="s">
        <v>123</v>
      </c>
      <c r="D8" s="2"/>
      <c r="E8" s="2"/>
      <c r="F8" s="2"/>
      <c r="G8" s="2"/>
      <c r="P8" t="s">
        <v>187</v>
      </c>
      <c r="Q8">
        <v>10</v>
      </c>
      <c r="R8" t="s">
        <v>195</v>
      </c>
    </row>
    <row r="9" spans="1:25" x14ac:dyDescent="0.15">
      <c r="B9" s="2" t="s">
        <v>41</v>
      </c>
      <c r="C9" s="2" t="s">
        <v>141</v>
      </c>
      <c r="D9" s="2"/>
      <c r="E9" s="2"/>
      <c r="F9" s="2"/>
      <c r="G9" s="2"/>
      <c r="P9" t="s">
        <v>248</v>
      </c>
      <c r="Q9">
        <v>10</v>
      </c>
      <c r="R9" t="s">
        <v>196</v>
      </c>
    </row>
    <row r="10" spans="1:25" x14ac:dyDescent="0.15">
      <c r="B10" s="2" t="s">
        <v>106</v>
      </c>
      <c r="C10" s="2" t="s">
        <v>142</v>
      </c>
      <c r="D10" s="2"/>
      <c r="E10" s="2"/>
      <c r="F10" s="2"/>
      <c r="G10" s="2"/>
      <c r="P10" t="s">
        <v>249</v>
      </c>
      <c r="Q10">
        <v>20</v>
      </c>
      <c r="R10" t="s">
        <v>197</v>
      </c>
    </row>
    <row r="11" spans="1:25" x14ac:dyDescent="0.15">
      <c r="B11" s="2" t="s">
        <v>43</v>
      </c>
      <c r="C11" s="2" t="s">
        <v>143</v>
      </c>
      <c r="D11" s="2"/>
      <c r="E11" s="2"/>
      <c r="F11" s="2"/>
      <c r="G11" s="2"/>
      <c r="P11" t="s">
        <v>250</v>
      </c>
      <c r="Q11">
        <f>(70+20)/2</f>
        <v>45</v>
      </c>
      <c r="R11" t="s">
        <v>198</v>
      </c>
    </row>
    <row r="12" spans="1:25" x14ac:dyDescent="0.15">
      <c r="B12" s="2" t="s">
        <v>5</v>
      </c>
      <c r="C12" s="2" t="s">
        <v>125</v>
      </c>
      <c r="D12" s="2"/>
      <c r="E12" s="2"/>
      <c r="F12" s="2"/>
      <c r="G12" s="2"/>
      <c r="P12" t="s">
        <v>251</v>
      </c>
      <c r="R12" t="s">
        <v>199</v>
      </c>
    </row>
    <row r="13" spans="1:25" x14ac:dyDescent="0.15">
      <c r="B13" s="2" t="s">
        <v>38</v>
      </c>
      <c r="C13" s="2" t="s">
        <v>157</v>
      </c>
      <c r="D13" s="2"/>
      <c r="E13" s="2"/>
      <c r="F13" s="2"/>
      <c r="G13" s="2"/>
      <c r="P13" t="s">
        <v>263</v>
      </c>
      <c r="R13" t="s">
        <v>200</v>
      </c>
    </row>
    <row r="14" spans="1:25" x14ac:dyDescent="0.15">
      <c r="B14" s="2" t="s">
        <v>40</v>
      </c>
      <c r="C14" s="2" t="s">
        <v>133</v>
      </c>
      <c r="D14" s="2"/>
      <c r="E14" s="2"/>
      <c r="F14" s="2"/>
      <c r="G14" s="2"/>
      <c r="R14" t="s">
        <v>201</v>
      </c>
    </row>
    <row r="15" spans="1:25" x14ac:dyDescent="0.15">
      <c r="B15" s="2" t="s">
        <v>99</v>
      </c>
      <c r="C15" s="2" t="s">
        <v>126</v>
      </c>
      <c r="D15" s="2"/>
      <c r="E15" s="2"/>
      <c r="F15" s="2"/>
      <c r="G15" s="2"/>
      <c r="R15" t="s">
        <v>221</v>
      </c>
    </row>
    <row r="16" spans="1:25" x14ac:dyDescent="0.15">
      <c r="B16" s="2" t="s">
        <v>44</v>
      </c>
      <c r="C16" s="2" t="s">
        <v>127</v>
      </c>
      <c r="D16" s="2"/>
      <c r="E16" s="2"/>
      <c r="F16" s="2"/>
      <c r="G16" s="2"/>
      <c r="R16" t="s">
        <v>202</v>
      </c>
    </row>
    <row r="17" spans="2:18" x14ac:dyDescent="0.15">
      <c r="B17" s="2" t="s">
        <v>100</v>
      </c>
      <c r="C17" s="2" t="s">
        <v>128</v>
      </c>
      <c r="D17" s="2"/>
      <c r="E17" s="2"/>
      <c r="F17" s="2"/>
      <c r="G17" s="2"/>
      <c r="R17" t="s">
        <v>203</v>
      </c>
    </row>
    <row r="18" spans="2:18" x14ac:dyDescent="0.15">
      <c r="B18" s="2" t="s">
        <v>116</v>
      </c>
      <c r="C18" s="2" t="s">
        <v>166</v>
      </c>
      <c r="D18" s="2"/>
      <c r="E18" s="2"/>
      <c r="F18" s="2"/>
      <c r="G18" s="2"/>
      <c r="R18" t="s">
        <v>193</v>
      </c>
    </row>
    <row r="19" spans="2:18" x14ac:dyDescent="0.15">
      <c r="B19" s="2" t="s">
        <v>103</v>
      </c>
      <c r="C19" s="2" t="s">
        <v>138</v>
      </c>
      <c r="D19" s="2"/>
      <c r="E19" s="2"/>
      <c r="F19" s="2"/>
      <c r="G19" s="2"/>
      <c r="R19" t="s">
        <v>258</v>
      </c>
    </row>
    <row r="20" spans="2:18" x14ac:dyDescent="0.15">
      <c r="B20" s="2" t="s">
        <v>33</v>
      </c>
      <c r="C20" s="2" t="s">
        <v>129</v>
      </c>
      <c r="D20" s="2"/>
      <c r="E20" s="2"/>
      <c r="F20" s="2"/>
      <c r="G20" s="2"/>
      <c r="R20" t="s">
        <v>174</v>
      </c>
    </row>
    <row r="21" spans="2:18" x14ac:dyDescent="0.15">
      <c r="B21" s="2" t="s">
        <v>102</v>
      </c>
      <c r="C21" s="2" t="s">
        <v>130</v>
      </c>
      <c r="D21" s="2"/>
      <c r="E21" s="2"/>
      <c r="F21" s="2"/>
      <c r="G21" s="2"/>
    </row>
    <row r="22" spans="2:18" x14ac:dyDescent="0.15">
      <c r="B22" s="2" t="s">
        <v>42</v>
      </c>
      <c r="C22" s="2" t="s">
        <v>134</v>
      </c>
      <c r="D22" s="2"/>
      <c r="E22" s="2"/>
      <c r="F22" s="2"/>
      <c r="G22" s="2"/>
    </row>
    <row r="23" spans="2:18" x14ac:dyDescent="0.15">
      <c r="B23" s="2" t="s">
        <v>105</v>
      </c>
      <c r="C23" s="2" t="s">
        <v>140</v>
      </c>
      <c r="D23" s="2"/>
      <c r="E23" s="2"/>
      <c r="F23" s="2"/>
      <c r="G23" s="2"/>
    </row>
    <row r="24" spans="2:18" x14ac:dyDescent="0.15">
      <c r="B24" s="2" t="s">
        <v>6</v>
      </c>
      <c r="C24" s="2" t="s">
        <v>136</v>
      </c>
      <c r="D24" s="2"/>
      <c r="E24" s="2"/>
      <c r="F24" s="2"/>
      <c r="G24" s="2"/>
    </row>
    <row r="25" spans="2:18" x14ac:dyDescent="0.15">
      <c r="B25" s="2" t="s">
        <v>34</v>
      </c>
      <c r="C25" s="2" t="s">
        <v>137</v>
      </c>
      <c r="D25" s="2"/>
      <c r="E25" s="2"/>
      <c r="F25" s="2"/>
      <c r="G25" s="2"/>
    </row>
    <row r="26" spans="2:18" x14ac:dyDescent="0.15">
      <c r="B26" s="2" t="s">
        <v>56</v>
      </c>
      <c r="C26" s="2" t="s">
        <v>131</v>
      </c>
      <c r="D26" s="2"/>
      <c r="E26" s="2"/>
      <c r="F26" s="2"/>
      <c r="G26" s="2"/>
    </row>
    <row r="27" spans="2:18" x14ac:dyDescent="0.15">
      <c r="B27" s="2" t="s">
        <v>169</v>
      </c>
      <c r="C27" s="2" t="s">
        <v>170</v>
      </c>
      <c r="D27" s="2"/>
      <c r="E27" s="2"/>
      <c r="F27" s="2"/>
      <c r="G27" s="2"/>
    </row>
    <row r="28" spans="2:18" x14ac:dyDescent="0.15">
      <c r="B28" s="2" t="s">
        <v>47</v>
      </c>
      <c r="C28" s="2" t="s">
        <v>148</v>
      </c>
      <c r="D28" s="2"/>
      <c r="E28" s="2"/>
      <c r="F28" s="2"/>
      <c r="G28" s="2"/>
    </row>
    <row r="29" spans="2:18" x14ac:dyDescent="0.15">
      <c r="B29" s="2" t="s">
        <v>46</v>
      </c>
      <c r="C29" s="2" t="s">
        <v>144</v>
      </c>
      <c r="D29" s="2"/>
      <c r="E29" s="2"/>
      <c r="F29" s="2"/>
      <c r="G29" s="2"/>
    </row>
    <row r="30" spans="2:18" x14ac:dyDescent="0.15">
      <c r="B30" s="2" t="s">
        <v>107</v>
      </c>
      <c r="C30" s="2" t="s">
        <v>145</v>
      </c>
      <c r="D30" s="2"/>
      <c r="E30" s="2"/>
      <c r="F30" s="2"/>
      <c r="G30" s="2"/>
    </row>
    <row r="31" spans="2:18" x14ac:dyDescent="0.15">
      <c r="B31" s="2" t="s">
        <v>108</v>
      </c>
      <c r="C31" s="2" t="s">
        <v>147</v>
      </c>
      <c r="D31" s="2"/>
      <c r="E31" s="2"/>
      <c r="F31" s="2"/>
      <c r="G31" s="2"/>
    </row>
    <row r="32" spans="2:18" x14ac:dyDescent="0.15">
      <c r="B32" s="2" t="s">
        <v>39</v>
      </c>
      <c r="C32" s="2" t="s">
        <v>150</v>
      </c>
      <c r="D32" s="2"/>
      <c r="E32" s="2"/>
      <c r="F32" s="2"/>
      <c r="G32" s="2"/>
    </row>
    <row r="33" spans="2:7" x14ac:dyDescent="0.15">
      <c r="B33" s="2" t="s">
        <v>49</v>
      </c>
      <c r="C33" s="2" t="s">
        <v>151</v>
      </c>
      <c r="D33" s="2"/>
      <c r="E33" s="2"/>
      <c r="F33" s="2"/>
      <c r="G33" s="2"/>
    </row>
    <row r="34" spans="2:7" x14ac:dyDescent="0.15">
      <c r="B34" s="2" t="s">
        <v>36</v>
      </c>
      <c r="C34" s="2" t="s">
        <v>152</v>
      </c>
      <c r="D34" s="2"/>
      <c r="E34" s="2"/>
      <c r="F34" s="2"/>
      <c r="G34" s="2"/>
    </row>
    <row r="35" spans="2:7" x14ac:dyDescent="0.15">
      <c r="B35" s="2" t="s">
        <v>45</v>
      </c>
      <c r="C35" s="2" t="s">
        <v>135</v>
      </c>
      <c r="D35" s="2"/>
      <c r="E35" s="2"/>
      <c r="F35" s="2"/>
      <c r="G35" s="2"/>
    </row>
    <row r="36" spans="2:7" x14ac:dyDescent="0.15">
      <c r="B36" s="2" t="s">
        <v>109</v>
      </c>
      <c r="C36" s="2" t="s">
        <v>156</v>
      </c>
      <c r="D36" s="2"/>
      <c r="E36" s="2"/>
      <c r="F36" s="2"/>
      <c r="G36" s="2"/>
    </row>
    <row r="37" spans="2:7" x14ac:dyDescent="0.15">
      <c r="B37" s="2" t="s">
        <v>115</v>
      </c>
      <c r="C37" s="2" t="s">
        <v>165</v>
      </c>
      <c r="D37" s="2"/>
      <c r="E37" s="2"/>
      <c r="F37" s="2"/>
      <c r="G37" s="2"/>
    </row>
    <row r="38" spans="2:7" x14ac:dyDescent="0.15">
      <c r="B38" s="2" t="s">
        <v>114</v>
      </c>
      <c r="C38" s="2" t="s">
        <v>164</v>
      </c>
      <c r="D38" s="2"/>
      <c r="E38" s="2"/>
      <c r="F38" s="2"/>
      <c r="G38" s="2"/>
    </row>
    <row r="39" spans="2:7" x14ac:dyDescent="0.15">
      <c r="B39" s="2" t="s">
        <v>586</v>
      </c>
      <c r="C39" s="2" t="s">
        <v>594</v>
      </c>
      <c r="D39" s="2"/>
      <c r="E39" s="2"/>
      <c r="F39" s="2"/>
      <c r="G39" s="2"/>
    </row>
    <row r="40" spans="2:7" x14ac:dyDescent="0.15">
      <c r="B40" s="2" t="s">
        <v>587</v>
      </c>
      <c r="C40" s="2" t="s">
        <v>593</v>
      </c>
      <c r="D40" s="2"/>
      <c r="E40" s="2"/>
      <c r="F40" s="2"/>
      <c r="G40" s="2"/>
    </row>
    <row r="41" spans="2:7" x14ac:dyDescent="0.15">
      <c r="B41" s="2" t="s">
        <v>588</v>
      </c>
      <c r="C41" s="2" t="s">
        <v>595</v>
      </c>
      <c r="D41" s="2"/>
      <c r="E41" s="2"/>
      <c r="F41" s="2"/>
      <c r="G41" s="2"/>
    </row>
    <row r="42" spans="2:7" x14ac:dyDescent="0.15">
      <c r="B42" s="2" t="s">
        <v>589</v>
      </c>
      <c r="C42" s="2" t="s">
        <v>596</v>
      </c>
      <c r="D42" s="2"/>
      <c r="E42" s="2"/>
      <c r="F42" s="2"/>
      <c r="G42" s="2"/>
    </row>
    <row r="43" spans="2:7" x14ac:dyDescent="0.15">
      <c r="B43" s="2" t="s">
        <v>590</v>
      </c>
      <c r="C43" s="2" t="s">
        <v>597</v>
      </c>
      <c r="D43" s="2"/>
      <c r="E43" s="2"/>
      <c r="F43" s="2"/>
      <c r="G43" s="2"/>
    </row>
    <row r="44" spans="2:7" x14ac:dyDescent="0.15">
      <c r="B44" s="2" t="s">
        <v>591</v>
      </c>
      <c r="C44" s="2" t="s">
        <v>598</v>
      </c>
      <c r="D44" s="2"/>
      <c r="E44" s="2"/>
      <c r="F44" s="2"/>
      <c r="G44" s="2"/>
    </row>
    <row r="45" spans="2:7" x14ac:dyDescent="0.15">
      <c r="B45" s="2" t="s">
        <v>592</v>
      </c>
      <c r="C45" s="2" t="s">
        <v>599</v>
      </c>
      <c r="D45" s="2"/>
      <c r="E45" s="2"/>
      <c r="F45" s="2"/>
      <c r="G45" s="2"/>
    </row>
    <row r="46" spans="2:7" x14ac:dyDescent="0.15">
      <c r="B46" s="2" t="s">
        <v>112</v>
      </c>
      <c r="C46" s="2" t="s">
        <v>162</v>
      </c>
      <c r="D46" s="2"/>
      <c r="E46" s="2"/>
      <c r="F46" s="2"/>
      <c r="G46" s="2"/>
    </row>
    <row r="47" spans="2:7" x14ac:dyDescent="0.15">
      <c r="B47" s="2" t="s">
        <v>54</v>
      </c>
      <c r="C47" s="2" t="s">
        <v>161</v>
      </c>
      <c r="D47" s="2"/>
      <c r="E47" s="2"/>
      <c r="F47" s="2"/>
      <c r="G47" s="2"/>
    </row>
    <row r="48" spans="2:7" x14ac:dyDescent="0.15">
      <c r="B48" s="2" t="s">
        <v>113</v>
      </c>
      <c r="C48" s="2" t="s">
        <v>163</v>
      </c>
      <c r="D48" s="2"/>
      <c r="E48" s="2"/>
      <c r="F48" s="2"/>
      <c r="G48" s="2"/>
    </row>
    <row r="49" spans="2:7" x14ac:dyDescent="0.15">
      <c r="B49" s="2" t="s">
        <v>35</v>
      </c>
      <c r="C49" s="2" t="s">
        <v>146</v>
      </c>
      <c r="D49" s="2"/>
      <c r="E49" s="2"/>
      <c r="F49" s="2"/>
      <c r="G49" s="2"/>
    </row>
    <row r="50" spans="2:7" x14ac:dyDescent="0.15">
      <c r="B50" s="2" t="s">
        <v>58</v>
      </c>
      <c r="C50" s="2" t="s">
        <v>167</v>
      </c>
      <c r="D50" s="2"/>
      <c r="E50" s="2"/>
      <c r="F50" s="2"/>
      <c r="G50" s="2"/>
    </row>
    <row r="51" spans="2:7" x14ac:dyDescent="0.15">
      <c r="B51" s="2" t="s">
        <v>104</v>
      </c>
      <c r="C51" s="2" t="s">
        <v>139</v>
      </c>
      <c r="D51" s="2"/>
      <c r="E51" s="2"/>
      <c r="F51" s="2"/>
      <c r="G51" s="2"/>
    </row>
    <row r="52" spans="2:7" x14ac:dyDescent="0.15">
      <c r="B52" s="2" t="s">
        <v>37</v>
      </c>
      <c r="C52" s="2" t="s">
        <v>154</v>
      </c>
      <c r="D52" s="2"/>
      <c r="E52" s="2"/>
      <c r="F52" s="2"/>
      <c r="G52" s="2"/>
    </row>
    <row r="53" spans="2:7" x14ac:dyDescent="0.15">
      <c r="B53" s="2" t="s">
        <v>51</v>
      </c>
      <c r="C53" s="2" t="s">
        <v>155</v>
      </c>
      <c r="D53" s="2"/>
      <c r="E53" s="2"/>
      <c r="F53" s="2"/>
      <c r="G53" s="2"/>
    </row>
    <row r="54" spans="2:7" x14ac:dyDescent="0.15">
      <c r="B54" s="2" t="s">
        <v>48</v>
      </c>
      <c r="C54" s="2" t="s">
        <v>149</v>
      </c>
      <c r="D54" s="2"/>
      <c r="E54" s="2"/>
      <c r="F54" s="2"/>
      <c r="G54" s="2"/>
    </row>
    <row r="55" spans="2:7" x14ac:dyDescent="0.15">
      <c r="B55" s="2" t="s">
        <v>52</v>
      </c>
      <c r="C55" s="2" t="s">
        <v>158</v>
      </c>
      <c r="D55" s="2"/>
      <c r="E55" s="2"/>
      <c r="F55" s="2"/>
      <c r="G55" s="2"/>
    </row>
    <row r="56" spans="2:7" x14ac:dyDescent="0.15">
      <c r="B56" s="2" t="s">
        <v>110</v>
      </c>
      <c r="C56" s="2" t="s">
        <v>159</v>
      </c>
      <c r="D56" s="2"/>
      <c r="E56" s="2"/>
      <c r="F56" s="2"/>
      <c r="G56" s="2"/>
    </row>
    <row r="57" spans="2:7" x14ac:dyDescent="0.15">
      <c r="B57" s="2" t="s">
        <v>111</v>
      </c>
      <c r="C57" s="2" t="s">
        <v>160</v>
      </c>
      <c r="D57" s="2"/>
      <c r="E57" s="2"/>
      <c r="F57" s="2"/>
      <c r="G57" s="2"/>
    </row>
    <row r="58" spans="2:7" x14ac:dyDescent="0.15">
      <c r="B58" s="2" t="s">
        <v>50</v>
      </c>
      <c r="C58" s="2" t="s">
        <v>153</v>
      </c>
      <c r="D58" s="2"/>
      <c r="E58" s="2"/>
      <c r="F58" s="2"/>
      <c r="G58" s="2"/>
    </row>
    <row r="59" spans="2:7" x14ac:dyDescent="0.15">
      <c r="B59" s="2" t="s">
        <v>574</v>
      </c>
      <c r="C59" s="2" t="s">
        <v>132</v>
      </c>
      <c r="D59" s="2"/>
      <c r="E59" s="2"/>
      <c r="F59" s="2"/>
      <c r="G59" s="2"/>
    </row>
    <row r="60" spans="2:7" x14ac:dyDescent="0.15">
      <c r="B60" s="2" t="s">
        <v>577</v>
      </c>
      <c r="C60" s="2" t="s">
        <v>168</v>
      </c>
      <c r="D60" s="2"/>
      <c r="E60" s="2"/>
      <c r="F60" s="2"/>
      <c r="G60" s="2"/>
    </row>
    <row r="61" spans="2:7" x14ac:dyDescent="0.15">
      <c r="B61" s="2"/>
    </row>
  </sheetData>
  <sheetProtection algorithmName="SHA-512" hashValue="IopDbXDPZbjmoi0jm/wmJju7Ne55Kd3ie1oCHx/Wg+PdIfBzq4vp3hSTVSSYYYJn0rBHaZSF9sG7vPEknnvDuA==" saltValue="T/N1V4i3qZPi9CDmIelXEw==" spinCount="100000" sheet="1" objects="1" scenarios="1"/>
  <phoneticPr fontId="2"/>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17"/>
  <sheetViews>
    <sheetView zoomScale="70" zoomScaleNormal="70" workbookViewId="0">
      <selection activeCell="M12" sqref="M12"/>
    </sheetView>
  </sheetViews>
  <sheetFormatPr defaultColWidth="9" defaultRowHeight="13.5" x14ac:dyDescent="0.15"/>
  <cols>
    <col min="1" max="1" width="16.125" style="166" customWidth="1"/>
    <col min="2" max="2" width="46.375" style="6" customWidth="1"/>
    <col min="3" max="3" width="19.25" style="6" customWidth="1"/>
    <col min="4" max="4" width="0" style="118" hidden="1" customWidth="1"/>
    <col min="5" max="61" width="0" style="6" hidden="1" customWidth="1"/>
    <col min="62" max="16384" width="9" style="6"/>
  </cols>
  <sheetData>
    <row r="1" spans="1:55" s="27" customFormat="1" ht="36.75" customHeight="1" x14ac:dyDescent="0.15">
      <c r="A1" s="274" t="s">
        <v>369</v>
      </c>
      <c r="B1" s="274"/>
      <c r="C1" s="274"/>
      <c r="D1" s="14"/>
      <c r="E1" s="14"/>
      <c r="F1" s="14"/>
      <c r="G1" s="14"/>
      <c r="H1" s="14"/>
      <c r="I1" s="14"/>
      <c r="J1" s="14"/>
      <c r="K1" s="14"/>
      <c r="L1" s="14"/>
      <c r="M1" s="14"/>
      <c r="N1" s="14"/>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4"/>
      <c r="AR1" s="14"/>
      <c r="AS1" s="14"/>
      <c r="AT1" s="14"/>
      <c r="AU1" s="14"/>
      <c r="AV1" s="14"/>
      <c r="AW1" s="14"/>
      <c r="AX1" s="14"/>
      <c r="AY1" s="14"/>
      <c r="AZ1" s="14"/>
      <c r="BA1" s="14"/>
      <c r="BB1" s="14"/>
      <c r="BC1" s="14"/>
    </row>
    <row r="2" spans="1:55" ht="22.5" customHeight="1" x14ac:dyDescent="0.15">
      <c r="A2" s="174" t="s">
        <v>324</v>
      </c>
      <c r="B2" s="175" t="s">
        <v>323</v>
      </c>
      <c r="C2" s="174" t="str">
        <f>IF(基本情報!C13="","",基本情報!C13)</f>
        <v/>
      </c>
    </row>
    <row r="3" spans="1:55" ht="21.75" customHeight="1" x14ac:dyDescent="0.15">
      <c r="A3" s="271" t="s">
        <v>243</v>
      </c>
      <c r="B3" s="175" t="s">
        <v>188</v>
      </c>
      <c r="C3" s="174" t="str">
        <f>IF(基本情報!$C$13="","",IF(VLOOKUP(基本情報!$C$13,推奨植物DB!B:Q,D3,FALSE)="","","○"))</f>
        <v/>
      </c>
      <c r="D3" s="118">
        <v>2</v>
      </c>
    </row>
    <row r="4" spans="1:55" ht="21.75" customHeight="1" x14ac:dyDescent="0.15">
      <c r="A4" s="272"/>
      <c r="B4" s="175" t="s">
        <v>189</v>
      </c>
      <c r="C4" s="174" t="str">
        <f>IF(基本情報!$C$13="","",IF(VLOOKUP(基本情報!$C$13,推奨植物DB!B:Q,D4,FALSE)="","","○"))</f>
        <v/>
      </c>
      <c r="D4" s="118">
        <v>3</v>
      </c>
    </row>
    <row r="5" spans="1:55" ht="21.75" customHeight="1" x14ac:dyDescent="0.15">
      <c r="A5" s="272"/>
      <c r="B5" s="175" t="s">
        <v>190</v>
      </c>
      <c r="C5" s="174" t="str">
        <f>IF(基本情報!$C$13="","",IF(VLOOKUP(基本情報!$C$13,推奨植物DB!B:Q,D5,FALSE)="","","○"))</f>
        <v/>
      </c>
      <c r="D5" s="118">
        <v>4</v>
      </c>
    </row>
    <row r="6" spans="1:55" ht="21.75" customHeight="1" x14ac:dyDescent="0.15">
      <c r="A6" s="272"/>
      <c r="B6" s="175" t="s">
        <v>77</v>
      </c>
      <c r="C6" s="174" t="str">
        <f>IF(基本情報!$C$13="","",IF(VLOOKUP(基本情報!$C$13,推奨植物DB!B:Q,D6,FALSE)="","","○"))</f>
        <v/>
      </c>
      <c r="D6" s="118">
        <v>5</v>
      </c>
    </row>
    <row r="7" spans="1:55" ht="21.75" customHeight="1" x14ac:dyDescent="0.15">
      <c r="A7" s="272"/>
      <c r="B7" s="175" t="s">
        <v>191</v>
      </c>
      <c r="C7" s="174" t="str">
        <f>IF(基本情報!$C$13="","",IF(VLOOKUP(基本情報!$C$13,推奨植物DB!B:Q,D7,FALSE)="","","○"))</f>
        <v/>
      </c>
      <c r="D7" s="118">
        <v>6</v>
      </c>
    </row>
    <row r="8" spans="1:55" ht="21.75" customHeight="1" x14ac:dyDescent="0.15">
      <c r="A8" s="272"/>
      <c r="B8" s="175" t="s">
        <v>192</v>
      </c>
      <c r="C8" s="174" t="str">
        <f>IF(基本情報!$C$13="","",IF(VLOOKUP(基本情報!$C$13,推奨植物DB!B:Q,D8,FALSE)="","","○"))</f>
        <v/>
      </c>
      <c r="D8" s="118">
        <v>7</v>
      </c>
    </row>
    <row r="9" spans="1:55" ht="21.75" customHeight="1" x14ac:dyDescent="0.15">
      <c r="A9" s="272"/>
      <c r="B9" s="175" t="s">
        <v>194</v>
      </c>
      <c r="C9" s="174" t="str">
        <f>IF(基本情報!$C$13="","",IF(VLOOKUP(基本情報!$C$13,推奨植物DB!B:Q,D9,FALSE)="","","○"))</f>
        <v/>
      </c>
      <c r="D9" s="118">
        <v>8</v>
      </c>
    </row>
    <row r="10" spans="1:55" ht="21.75" customHeight="1" x14ac:dyDescent="0.15">
      <c r="A10" s="272"/>
      <c r="B10" s="175" t="s">
        <v>195</v>
      </c>
      <c r="C10" s="174" t="str">
        <f>IF(基本情報!$C$13="","",IF(VLOOKUP(基本情報!$C$13,推奨植物DB!B:Q,D10,FALSE)="","","○"))</f>
        <v/>
      </c>
      <c r="D10" s="118">
        <v>9</v>
      </c>
    </row>
    <row r="11" spans="1:55" ht="21.75" customHeight="1" x14ac:dyDescent="0.15">
      <c r="A11" s="272"/>
      <c r="B11" s="175" t="s">
        <v>196</v>
      </c>
      <c r="C11" s="174" t="str">
        <f>IF(基本情報!$C$13="","",IF(VLOOKUP(基本情報!$C$13,推奨植物DB!B:Q,D11,FALSE)="","","○"))</f>
        <v/>
      </c>
      <c r="D11" s="118">
        <v>10</v>
      </c>
    </row>
    <row r="12" spans="1:55" ht="21.75" customHeight="1" x14ac:dyDescent="0.15">
      <c r="A12" s="272"/>
      <c r="B12" s="175" t="s">
        <v>197</v>
      </c>
      <c r="C12" s="174" t="str">
        <f>IF(基本情報!$C$13="","",IF(VLOOKUP(基本情報!$C$13,推奨植物DB!B:Q,D12,FALSE)="","","○"))</f>
        <v/>
      </c>
      <c r="D12" s="118">
        <v>11</v>
      </c>
    </row>
    <row r="13" spans="1:55" ht="21.75" customHeight="1" x14ac:dyDescent="0.15">
      <c r="A13" s="272"/>
      <c r="B13" s="175" t="s">
        <v>198</v>
      </c>
      <c r="C13" s="174" t="str">
        <f>IF(基本情報!$C$13="","",IF(VLOOKUP(基本情報!$C$13,推奨植物DB!B:Q,D13,FALSE)="","","○"))</f>
        <v/>
      </c>
      <c r="D13" s="118">
        <v>12</v>
      </c>
    </row>
    <row r="14" spans="1:55" ht="21.75" customHeight="1" x14ac:dyDescent="0.15">
      <c r="A14" s="272"/>
      <c r="B14" s="175" t="s">
        <v>199</v>
      </c>
      <c r="C14" s="174" t="str">
        <f>IF(基本情報!$C$13="","",IF(VLOOKUP(基本情報!$C$13,推奨植物DB!B:Q,D14,FALSE)="","","○"))</f>
        <v/>
      </c>
      <c r="D14" s="118">
        <v>13</v>
      </c>
    </row>
    <row r="15" spans="1:55" ht="21.75" customHeight="1" x14ac:dyDescent="0.15">
      <c r="A15" s="272"/>
      <c r="B15" s="175" t="s">
        <v>200</v>
      </c>
      <c r="C15" s="174" t="str">
        <f>IF(基本情報!$C$13="","",IF(VLOOKUP(基本情報!$C$13,推奨植物DB!B:Q,D15,FALSE)="","","○"))</f>
        <v/>
      </c>
      <c r="D15" s="118">
        <v>14</v>
      </c>
    </row>
    <row r="16" spans="1:55" ht="21.75" customHeight="1" x14ac:dyDescent="0.15">
      <c r="A16" s="273"/>
      <c r="B16" s="175" t="s">
        <v>201</v>
      </c>
      <c r="C16" s="174" t="str">
        <f>IF(基本情報!$C$13="","",IF(VLOOKUP(基本情報!$C$13,推奨植物DB!B:Q,D16,FALSE)="","","○"))</f>
        <v/>
      </c>
      <c r="D16" s="118">
        <v>15</v>
      </c>
    </row>
    <row r="17" spans="1:4" ht="21.75" customHeight="1" x14ac:dyDescent="0.15">
      <c r="A17" s="174" t="s">
        <v>325</v>
      </c>
      <c r="B17" s="175" t="s">
        <v>193</v>
      </c>
      <c r="C17" s="174" t="str">
        <f>IF(基本情報!$C$13="","",IF(VLOOKUP(基本情報!$C$13,推奨植物DB!B:Q,D17,FALSE)="","","○"))</f>
        <v/>
      </c>
      <c r="D17" s="118">
        <v>16</v>
      </c>
    </row>
  </sheetData>
  <sheetProtection algorithmName="SHA-512" hashValue="/Ae7JbE5ZCNr98Ubhf5bCjVH9D8PgQ3IFpkd6IRSLJjKvQvNDe+AcPG8lGpiBMblVrZTf2pBA3sYY/leOVD49A==" saltValue="LbjeHqZRdPYAnQihMTiNsQ==" spinCount="100000" sheet="1" objects="1" scenarios="1"/>
  <mergeCells count="2">
    <mergeCell ref="A3:A16"/>
    <mergeCell ref="A1:C1"/>
  </mergeCells>
  <phoneticPr fontId="1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3"/>
  <sheetViews>
    <sheetView zoomScale="70" zoomScaleNormal="70" workbookViewId="0">
      <pane ySplit="2" topLeftCell="A3" activePane="bottomLeft" state="frozen"/>
      <selection pane="bottomLeft" activeCell="D2" sqref="D2"/>
    </sheetView>
  </sheetViews>
  <sheetFormatPr defaultRowHeight="13.5" x14ac:dyDescent="0.15"/>
  <cols>
    <col min="2" max="2" width="16.375" customWidth="1"/>
  </cols>
  <sheetData>
    <row r="1" spans="1:17" s="8" customFormat="1" ht="67.5" x14ac:dyDescent="0.15">
      <c r="C1" s="9" t="s">
        <v>292</v>
      </c>
      <c r="D1" s="9" t="s">
        <v>293</v>
      </c>
      <c r="E1" s="9" t="s">
        <v>294</v>
      </c>
      <c r="F1" s="8" t="s">
        <v>295</v>
      </c>
      <c r="G1" s="8" t="s">
        <v>296</v>
      </c>
      <c r="H1" s="9" t="s">
        <v>297</v>
      </c>
      <c r="I1" s="9" t="s">
        <v>299</v>
      </c>
      <c r="J1" s="9" t="s">
        <v>300</v>
      </c>
      <c r="K1" s="10" t="s">
        <v>265</v>
      </c>
      <c r="L1" s="8" t="s">
        <v>301</v>
      </c>
      <c r="M1" s="9" t="s">
        <v>302</v>
      </c>
      <c r="N1" s="9" t="s">
        <v>303</v>
      </c>
      <c r="O1" s="10" t="s">
        <v>304</v>
      </c>
      <c r="P1" s="9" t="s">
        <v>305</v>
      </c>
      <c r="Q1" s="8" t="s">
        <v>298</v>
      </c>
    </row>
    <row r="2" spans="1:17" s="8" customFormat="1" ht="94.5" x14ac:dyDescent="0.15">
      <c r="B2" s="8" t="s">
        <v>306</v>
      </c>
      <c r="C2" s="8" t="s">
        <v>282</v>
      </c>
      <c r="D2" s="145" t="s">
        <v>284</v>
      </c>
      <c r="E2" s="145" t="s">
        <v>285</v>
      </c>
      <c r="F2" s="145" t="s">
        <v>286</v>
      </c>
      <c r="G2" s="145" t="s">
        <v>287</v>
      </c>
      <c r="H2" s="145" t="s">
        <v>283</v>
      </c>
      <c r="I2" s="145" t="s">
        <v>288</v>
      </c>
      <c r="J2" s="145" t="s">
        <v>289</v>
      </c>
      <c r="K2" s="145" t="s">
        <v>264</v>
      </c>
      <c r="L2" s="145" t="s">
        <v>290</v>
      </c>
      <c r="M2" s="145" t="s">
        <v>291</v>
      </c>
      <c r="N2" s="145" t="s">
        <v>280</v>
      </c>
      <c r="O2" s="145" t="s">
        <v>213</v>
      </c>
      <c r="P2" s="145" t="s">
        <v>281</v>
      </c>
      <c r="Q2" s="8" t="s">
        <v>307</v>
      </c>
    </row>
    <row r="3" spans="1:17" x14ac:dyDescent="0.15">
      <c r="A3">
        <v>1</v>
      </c>
      <c r="B3" t="s">
        <v>95</v>
      </c>
      <c r="C3" t="s">
        <v>62</v>
      </c>
      <c r="D3" t="s">
        <v>62</v>
      </c>
      <c r="E3" t="s">
        <v>62</v>
      </c>
      <c r="F3" t="s">
        <v>62</v>
      </c>
      <c r="G3" t="s">
        <v>62</v>
      </c>
      <c r="H3" t="s">
        <v>62</v>
      </c>
      <c r="I3" t="s">
        <v>62</v>
      </c>
      <c r="J3" t="s">
        <v>62</v>
      </c>
      <c r="K3" t="s">
        <v>62</v>
      </c>
      <c r="L3" t="s">
        <v>62</v>
      </c>
      <c r="M3" t="s">
        <v>62</v>
      </c>
      <c r="N3" t="s">
        <v>62</v>
      </c>
      <c r="O3" t="s">
        <v>309</v>
      </c>
      <c r="P3" t="s">
        <v>62</v>
      </c>
      <c r="Q3" t="s">
        <v>308</v>
      </c>
    </row>
    <row r="4" spans="1:17" x14ac:dyDescent="0.15">
      <c r="A4">
        <v>2</v>
      </c>
      <c r="B4" t="s">
        <v>65</v>
      </c>
      <c r="C4" t="s">
        <v>310</v>
      </c>
      <c r="D4" t="s">
        <v>62</v>
      </c>
      <c r="E4" t="s">
        <v>62</v>
      </c>
      <c r="F4" t="s">
        <v>311</v>
      </c>
      <c r="G4" t="s">
        <v>62</v>
      </c>
      <c r="H4" t="s">
        <v>62</v>
      </c>
      <c r="I4" t="s">
        <v>312</v>
      </c>
      <c r="J4" t="s">
        <v>62</v>
      </c>
      <c r="K4" t="s">
        <v>62</v>
      </c>
      <c r="L4" t="s">
        <v>313</v>
      </c>
      <c r="M4" t="s">
        <v>62</v>
      </c>
      <c r="N4" t="s">
        <v>62</v>
      </c>
      <c r="O4" t="s">
        <v>62</v>
      </c>
      <c r="P4" t="s">
        <v>62</v>
      </c>
      <c r="Q4" t="s">
        <v>308</v>
      </c>
    </row>
    <row r="5" spans="1:17" x14ac:dyDescent="0.15">
      <c r="A5">
        <v>3</v>
      </c>
      <c r="B5" t="s">
        <v>96</v>
      </c>
      <c r="C5" t="s">
        <v>62</v>
      </c>
      <c r="D5" t="s">
        <v>62</v>
      </c>
      <c r="E5" t="s">
        <v>62</v>
      </c>
      <c r="F5" t="s">
        <v>62</v>
      </c>
      <c r="G5" t="s">
        <v>62</v>
      </c>
      <c r="H5" t="s">
        <v>62</v>
      </c>
      <c r="I5" t="s">
        <v>62</v>
      </c>
      <c r="J5" t="s">
        <v>62</v>
      </c>
      <c r="K5" t="s">
        <v>62</v>
      </c>
      <c r="L5" t="s">
        <v>62</v>
      </c>
      <c r="M5" t="s">
        <v>62</v>
      </c>
      <c r="N5" t="s">
        <v>62</v>
      </c>
      <c r="O5" t="s">
        <v>309</v>
      </c>
      <c r="P5" t="s">
        <v>62</v>
      </c>
      <c r="Q5" t="s">
        <v>308</v>
      </c>
    </row>
    <row r="6" spans="1:17" x14ac:dyDescent="0.15">
      <c r="A6">
        <v>4</v>
      </c>
      <c r="B6" t="s">
        <v>55</v>
      </c>
      <c r="C6" t="s">
        <v>310</v>
      </c>
      <c r="D6" t="s">
        <v>62</v>
      </c>
      <c r="E6" t="s">
        <v>62</v>
      </c>
      <c r="F6" t="s">
        <v>311</v>
      </c>
      <c r="G6" t="s">
        <v>62</v>
      </c>
      <c r="H6" t="s">
        <v>62</v>
      </c>
      <c r="I6" t="s">
        <v>62</v>
      </c>
      <c r="J6" t="s">
        <v>314</v>
      </c>
      <c r="K6" t="s">
        <v>315</v>
      </c>
      <c r="L6" t="s">
        <v>62</v>
      </c>
      <c r="M6" t="s">
        <v>62</v>
      </c>
      <c r="N6" t="s">
        <v>62</v>
      </c>
      <c r="O6" t="s">
        <v>309</v>
      </c>
      <c r="P6" t="s">
        <v>62</v>
      </c>
      <c r="Q6" t="s">
        <v>308</v>
      </c>
    </row>
    <row r="7" spans="1:17" x14ac:dyDescent="0.15">
      <c r="A7">
        <v>5</v>
      </c>
      <c r="B7" t="s">
        <v>97</v>
      </c>
      <c r="C7" t="s">
        <v>310</v>
      </c>
      <c r="D7" t="s">
        <v>62</v>
      </c>
      <c r="E7" t="s">
        <v>62</v>
      </c>
      <c r="F7" t="s">
        <v>311</v>
      </c>
      <c r="H7" t="s">
        <v>317</v>
      </c>
      <c r="I7" t="s">
        <v>62</v>
      </c>
      <c r="J7" t="s">
        <v>314</v>
      </c>
      <c r="K7" t="s">
        <v>62</v>
      </c>
      <c r="L7" t="s">
        <v>62</v>
      </c>
      <c r="M7" t="s">
        <v>62</v>
      </c>
      <c r="N7" t="s">
        <v>62</v>
      </c>
      <c r="O7" t="s">
        <v>309</v>
      </c>
      <c r="P7" t="s">
        <v>62</v>
      </c>
      <c r="Q7" t="s">
        <v>308</v>
      </c>
    </row>
    <row r="8" spans="1:17" x14ac:dyDescent="0.15">
      <c r="A8">
        <v>6</v>
      </c>
      <c r="B8" t="s">
        <v>98</v>
      </c>
      <c r="C8" t="s">
        <v>62</v>
      </c>
      <c r="D8" t="s">
        <v>62</v>
      </c>
      <c r="E8" t="s">
        <v>62</v>
      </c>
      <c r="F8" t="s">
        <v>62</v>
      </c>
      <c r="G8" t="s">
        <v>62</v>
      </c>
      <c r="H8" t="s">
        <v>62</v>
      </c>
      <c r="I8" t="s">
        <v>62</v>
      </c>
      <c r="J8" t="s">
        <v>62</v>
      </c>
      <c r="K8" t="s">
        <v>62</v>
      </c>
      <c r="L8" t="s">
        <v>62</v>
      </c>
      <c r="M8" t="s">
        <v>62</v>
      </c>
      <c r="N8" t="s">
        <v>62</v>
      </c>
      <c r="O8" t="s">
        <v>309</v>
      </c>
      <c r="P8" t="s">
        <v>62</v>
      </c>
      <c r="Q8" t="s">
        <v>308</v>
      </c>
    </row>
    <row r="9" spans="1:17" x14ac:dyDescent="0.15">
      <c r="A9">
        <v>7</v>
      </c>
      <c r="B9" t="s">
        <v>5</v>
      </c>
      <c r="C9" t="s">
        <v>310</v>
      </c>
      <c r="D9" t="s">
        <v>62</v>
      </c>
      <c r="E9" t="s">
        <v>318</v>
      </c>
      <c r="F9" t="s">
        <v>311</v>
      </c>
      <c r="G9" t="s">
        <v>316</v>
      </c>
      <c r="H9" t="s">
        <v>62</v>
      </c>
      <c r="I9" t="s">
        <v>62</v>
      </c>
      <c r="J9" t="s">
        <v>314</v>
      </c>
      <c r="K9" t="s">
        <v>315</v>
      </c>
      <c r="L9" t="s">
        <v>313</v>
      </c>
      <c r="M9" t="s">
        <v>62</v>
      </c>
      <c r="N9" t="s">
        <v>62</v>
      </c>
      <c r="O9" t="s">
        <v>309</v>
      </c>
      <c r="P9" t="s">
        <v>319</v>
      </c>
      <c r="Q9" t="s">
        <v>308</v>
      </c>
    </row>
    <row r="10" spans="1:17" x14ac:dyDescent="0.15">
      <c r="A10">
        <v>8</v>
      </c>
      <c r="B10" t="s">
        <v>99</v>
      </c>
      <c r="C10" t="s">
        <v>62</v>
      </c>
      <c r="D10" t="s">
        <v>62</v>
      </c>
      <c r="E10" t="s">
        <v>62</v>
      </c>
      <c r="F10" t="s">
        <v>62</v>
      </c>
      <c r="G10" t="s">
        <v>62</v>
      </c>
      <c r="H10" t="s">
        <v>62</v>
      </c>
      <c r="I10" t="s">
        <v>62</v>
      </c>
      <c r="J10" t="s">
        <v>62</v>
      </c>
      <c r="K10" t="s">
        <v>62</v>
      </c>
      <c r="L10" t="s">
        <v>62</v>
      </c>
      <c r="M10" t="s">
        <v>62</v>
      </c>
      <c r="N10" t="s">
        <v>62</v>
      </c>
      <c r="O10" t="s">
        <v>309</v>
      </c>
      <c r="P10" t="s">
        <v>62</v>
      </c>
      <c r="Q10" t="s">
        <v>308</v>
      </c>
    </row>
    <row r="11" spans="1:17" x14ac:dyDescent="0.15">
      <c r="A11">
        <v>9</v>
      </c>
      <c r="B11" t="s">
        <v>44</v>
      </c>
      <c r="C11" t="s">
        <v>310</v>
      </c>
      <c r="D11" t="s">
        <v>62</v>
      </c>
      <c r="E11" t="s">
        <v>62</v>
      </c>
      <c r="F11" t="s">
        <v>311</v>
      </c>
      <c r="G11" t="s">
        <v>62</v>
      </c>
      <c r="H11" t="s">
        <v>62</v>
      </c>
      <c r="I11" t="s">
        <v>312</v>
      </c>
      <c r="J11" t="s">
        <v>314</v>
      </c>
      <c r="K11" t="s">
        <v>62</v>
      </c>
      <c r="L11" t="s">
        <v>313</v>
      </c>
      <c r="M11" t="s">
        <v>62</v>
      </c>
      <c r="N11" t="s">
        <v>62</v>
      </c>
      <c r="O11" t="s">
        <v>62</v>
      </c>
      <c r="P11" t="s">
        <v>62</v>
      </c>
      <c r="Q11" t="s">
        <v>308</v>
      </c>
    </row>
    <row r="12" spans="1:17" x14ac:dyDescent="0.15">
      <c r="A12">
        <v>10</v>
      </c>
      <c r="B12" t="s">
        <v>100</v>
      </c>
      <c r="C12" t="s">
        <v>310</v>
      </c>
      <c r="D12" t="s">
        <v>62</v>
      </c>
      <c r="E12" t="s">
        <v>62</v>
      </c>
      <c r="F12" t="s">
        <v>311</v>
      </c>
      <c r="G12" t="s">
        <v>62</v>
      </c>
      <c r="H12" t="s">
        <v>62</v>
      </c>
      <c r="I12" t="s">
        <v>62</v>
      </c>
      <c r="J12" t="s">
        <v>314</v>
      </c>
      <c r="K12" t="s">
        <v>315</v>
      </c>
      <c r="L12" t="s">
        <v>313</v>
      </c>
      <c r="M12" t="s">
        <v>62</v>
      </c>
      <c r="N12" t="s">
        <v>62</v>
      </c>
      <c r="O12" t="s">
        <v>309</v>
      </c>
      <c r="P12" t="s">
        <v>62</v>
      </c>
      <c r="Q12" t="s">
        <v>308</v>
      </c>
    </row>
    <row r="13" spans="1:17" x14ac:dyDescent="0.15">
      <c r="A13">
        <v>11</v>
      </c>
      <c r="B13" t="s">
        <v>101</v>
      </c>
      <c r="C13" t="s">
        <v>310</v>
      </c>
      <c r="D13" t="s">
        <v>62</v>
      </c>
      <c r="E13" t="s">
        <v>62</v>
      </c>
      <c r="F13" t="s">
        <v>311</v>
      </c>
      <c r="G13" t="s">
        <v>62</v>
      </c>
      <c r="H13" t="s">
        <v>62</v>
      </c>
      <c r="I13" t="s">
        <v>62</v>
      </c>
      <c r="J13" t="s">
        <v>314</v>
      </c>
      <c r="K13" t="s">
        <v>62</v>
      </c>
      <c r="L13" t="s">
        <v>62</v>
      </c>
      <c r="M13" t="s">
        <v>62</v>
      </c>
      <c r="N13" t="s">
        <v>62</v>
      </c>
      <c r="O13" t="s">
        <v>309</v>
      </c>
      <c r="P13" t="s">
        <v>62</v>
      </c>
      <c r="Q13" t="s">
        <v>308</v>
      </c>
    </row>
    <row r="14" spans="1:17" x14ac:dyDescent="0.15">
      <c r="A14">
        <v>12</v>
      </c>
      <c r="B14" t="s">
        <v>57</v>
      </c>
      <c r="C14" t="s">
        <v>310</v>
      </c>
      <c r="D14" t="s">
        <v>62</v>
      </c>
      <c r="E14" t="s">
        <v>62</v>
      </c>
      <c r="F14" t="s">
        <v>311</v>
      </c>
      <c r="H14" t="s">
        <v>317</v>
      </c>
      <c r="I14" t="s">
        <v>62</v>
      </c>
      <c r="J14" t="s">
        <v>314</v>
      </c>
      <c r="K14" t="s">
        <v>62</v>
      </c>
      <c r="L14" t="s">
        <v>313</v>
      </c>
      <c r="M14" t="s">
        <v>62</v>
      </c>
      <c r="N14" t="s">
        <v>62</v>
      </c>
      <c r="O14" t="s">
        <v>62</v>
      </c>
      <c r="P14" t="s">
        <v>62</v>
      </c>
      <c r="Q14" t="s">
        <v>308</v>
      </c>
    </row>
    <row r="15" spans="1:17" x14ac:dyDescent="0.15">
      <c r="A15">
        <v>13</v>
      </c>
      <c r="B15" t="s">
        <v>33</v>
      </c>
      <c r="C15" t="s">
        <v>310</v>
      </c>
      <c r="D15" t="s">
        <v>62</v>
      </c>
      <c r="E15" t="s">
        <v>62</v>
      </c>
      <c r="F15" t="s">
        <v>311</v>
      </c>
      <c r="G15" t="s">
        <v>62</v>
      </c>
      <c r="H15" t="s">
        <v>62</v>
      </c>
      <c r="I15" t="s">
        <v>312</v>
      </c>
      <c r="J15" t="s">
        <v>314</v>
      </c>
      <c r="K15" t="s">
        <v>315</v>
      </c>
      <c r="L15" t="s">
        <v>313</v>
      </c>
      <c r="M15" t="s">
        <v>62</v>
      </c>
      <c r="N15" t="s">
        <v>62</v>
      </c>
      <c r="O15" t="s">
        <v>309</v>
      </c>
      <c r="P15" t="s">
        <v>62</v>
      </c>
      <c r="Q15" t="s">
        <v>308</v>
      </c>
    </row>
    <row r="16" spans="1:17" x14ac:dyDescent="0.15">
      <c r="A16">
        <v>14</v>
      </c>
      <c r="B16" t="s">
        <v>102</v>
      </c>
      <c r="C16" t="s">
        <v>310</v>
      </c>
      <c r="D16" t="s">
        <v>62</v>
      </c>
      <c r="E16" t="s">
        <v>62</v>
      </c>
      <c r="F16" t="s">
        <v>311</v>
      </c>
      <c r="H16" t="s">
        <v>317</v>
      </c>
      <c r="I16" t="s">
        <v>62</v>
      </c>
      <c r="J16" t="s">
        <v>314</v>
      </c>
      <c r="K16" t="s">
        <v>62</v>
      </c>
      <c r="L16" t="s">
        <v>62</v>
      </c>
      <c r="M16" t="s">
        <v>62</v>
      </c>
      <c r="N16" t="s">
        <v>62</v>
      </c>
      <c r="O16" t="s">
        <v>309</v>
      </c>
      <c r="P16" t="s">
        <v>62</v>
      </c>
      <c r="Q16" t="s">
        <v>308</v>
      </c>
    </row>
    <row r="17" spans="1:17" x14ac:dyDescent="0.15">
      <c r="A17">
        <v>15</v>
      </c>
      <c r="B17" t="s">
        <v>56</v>
      </c>
      <c r="C17" t="s">
        <v>310</v>
      </c>
      <c r="D17" t="s">
        <v>62</v>
      </c>
      <c r="E17" t="s">
        <v>62</v>
      </c>
      <c r="F17" t="s">
        <v>311</v>
      </c>
      <c r="G17" t="s">
        <v>62</v>
      </c>
      <c r="H17" t="s">
        <v>62</v>
      </c>
      <c r="I17" t="s">
        <v>62</v>
      </c>
      <c r="J17" t="s">
        <v>314</v>
      </c>
      <c r="K17" t="s">
        <v>315</v>
      </c>
      <c r="L17" t="s">
        <v>62</v>
      </c>
      <c r="M17" t="s">
        <v>62</v>
      </c>
      <c r="N17" t="s">
        <v>62</v>
      </c>
      <c r="O17" t="s">
        <v>309</v>
      </c>
      <c r="P17" t="s">
        <v>62</v>
      </c>
      <c r="Q17" t="s">
        <v>308</v>
      </c>
    </row>
    <row r="18" spans="1:17" x14ac:dyDescent="0.15">
      <c r="A18">
        <v>16</v>
      </c>
      <c r="B18" t="s">
        <v>575</v>
      </c>
      <c r="C18" t="s">
        <v>310</v>
      </c>
      <c r="D18" t="s">
        <v>62</v>
      </c>
      <c r="E18" t="s">
        <v>62</v>
      </c>
      <c r="F18" t="s">
        <v>311</v>
      </c>
      <c r="G18" t="s">
        <v>62</v>
      </c>
      <c r="H18" t="s">
        <v>62</v>
      </c>
      <c r="I18" t="s">
        <v>62</v>
      </c>
      <c r="J18" t="s">
        <v>62</v>
      </c>
      <c r="K18" t="s">
        <v>62</v>
      </c>
      <c r="L18" t="s">
        <v>313</v>
      </c>
      <c r="M18" t="s">
        <v>62</v>
      </c>
      <c r="N18" t="s">
        <v>62</v>
      </c>
      <c r="O18" t="s">
        <v>309</v>
      </c>
      <c r="P18" t="s">
        <v>62</v>
      </c>
      <c r="Q18" t="s">
        <v>308</v>
      </c>
    </row>
    <row r="19" spans="1:17" x14ac:dyDescent="0.15">
      <c r="A19">
        <v>17</v>
      </c>
      <c r="B19" t="s">
        <v>40</v>
      </c>
      <c r="C19" t="s">
        <v>310</v>
      </c>
      <c r="D19" t="s">
        <v>62</v>
      </c>
      <c r="E19" t="s">
        <v>62</v>
      </c>
      <c r="F19" t="s">
        <v>311</v>
      </c>
      <c r="H19" t="s">
        <v>317</v>
      </c>
      <c r="I19" t="s">
        <v>62</v>
      </c>
      <c r="J19" t="s">
        <v>314</v>
      </c>
      <c r="K19" t="s">
        <v>62</v>
      </c>
      <c r="L19" t="s">
        <v>313</v>
      </c>
      <c r="M19" t="s">
        <v>62</v>
      </c>
      <c r="N19" t="s">
        <v>62</v>
      </c>
      <c r="O19" t="s">
        <v>309</v>
      </c>
      <c r="P19" t="s">
        <v>62</v>
      </c>
      <c r="Q19" t="s">
        <v>308</v>
      </c>
    </row>
    <row r="20" spans="1:17" x14ac:dyDescent="0.15">
      <c r="A20">
        <v>18</v>
      </c>
      <c r="B20" t="s">
        <v>42</v>
      </c>
      <c r="C20" t="s">
        <v>310</v>
      </c>
      <c r="D20" t="s">
        <v>62</v>
      </c>
      <c r="E20" t="s">
        <v>62</v>
      </c>
      <c r="F20" t="s">
        <v>311</v>
      </c>
      <c r="G20" t="s">
        <v>62</v>
      </c>
      <c r="H20" t="s">
        <v>62</v>
      </c>
      <c r="I20" t="s">
        <v>62</v>
      </c>
      <c r="J20" t="s">
        <v>314</v>
      </c>
      <c r="K20" t="s">
        <v>62</v>
      </c>
      <c r="L20" t="s">
        <v>313</v>
      </c>
      <c r="M20" t="s">
        <v>62</v>
      </c>
      <c r="N20" t="s">
        <v>62</v>
      </c>
      <c r="O20" t="s">
        <v>309</v>
      </c>
      <c r="P20" t="s">
        <v>62</v>
      </c>
      <c r="Q20" t="s">
        <v>308</v>
      </c>
    </row>
    <row r="21" spans="1:17" x14ac:dyDescent="0.15">
      <c r="A21">
        <v>19</v>
      </c>
      <c r="B21" t="s">
        <v>45</v>
      </c>
      <c r="C21" t="s">
        <v>310</v>
      </c>
      <c r="D21" t="s">
        <v>62</v>
      </c>
      <c r="E21" t="s">
        <v>62</v>
      </c>
      <c r="F21" t="s">
        <v>311</v>
      </c>
      <c r="G21" t="s">
        <v>62</v>
      </c>
      <c r="H21" t="s">
        <v>62</v>
      </c>
      <c r="I21" t="s">
        <v>312</v>
      </c>
      <c r="J21" t="s">
        <v>314</v>
      </c>
      <c r="K21" t="s">
        <v>62</v>
      </c>
      <c r="L21" t="s">
        <v>313</v>
      </c>
      <c r="M21" t="s">
        <v>62</v>
      </c>
      <c r="N21" t="s">
        <v>62</v>
      </c>
      <c r="O21" t="s">
        <v>62</v>
      </c>
      <c r="P21" t="s">
        <v>62</v>
      </c>
      <c r="Q21" t="s">
        <v>308</v>
      </c>
    </row>
    <row r="22" spans="1:17" x14ac:dyDescent="0.15">
      <c r="A22">
        <v>20</v>
      </c>
      <c r="B22" t="s">
        <v>6</v>
      </c>
      <c r="C22" t="s">
        <v>310</v>
      </c>
      <c r="D22" t="s">
        <v>62</v>
      </c>
      <c r="E22" t="s">
        <v>318</v>
      </c>
      <c r="F22" t="s">
        <v>311</v>
      </c>
      <c r="G22" t="s">
        <v>316</v>
      </c>
      <c r="H22" t="s">
        <v>62</v>
      </c>
      <c r="I22" t="s">
        <v>62</v>
      </c>
      <c r="J22" t="s">
        <v>314</v>
      </c>
      <c r="K22" t="s">
        <v>62</v>
      </c>
      <c r="L22" t="s">
        <v>313</v>
      </c>
      <c r="M22" t="s">
        <v>62</v>
      </c>
      <c r="N22" t="s">
        <v>62</v>
      </c>
      <c r="O22" t="s">
        <v>309</v>
      </c>
      <c r="P22" t="s">
        <v>319</v>
      </c>
      <c r="Q22" t="s">
        <v>308</v>
      </c>
    </row>
    <row r="23" spans="1:17" x14ac:dyDescent="0.15">
      <c r="A23">
        <v>21</v>
      </c>
      <c r="B23" t="s">
        <v>34</v>
      </c>
      <c r="C23" t="s">
        <v>310</v>
      </c>
      <c r="D23" t="s">
        <v>62</v>
      </c>
      <c r="E23" t="s">
        <v>318</v>
      </c>
      <c r="F23" t="s">
        <v>311</v>
      </c>
      <c r="G23" t="s">
        <v>316</v>
      </c>
      <c r="H23" t="s">
        <v>317</v>
      </c>
      <c r="I23" t="s">
        <v>62</v>
      </c>
      <c r="J23" t="s">
        <v>62</v>
      </c>
      <c r="K23" t="s">
        <v>62</v>
      </c>
      <c r="L23" t="s">
        <v>313</v>
      </c>
      <c r="M23" t="s">
        <v>62</v>
      </c>
      <c r="N23" t="s">
        <v>62</v>
      </c>
      <c r="O23" t="s">
        <v>62</v>
      </c>
      <c r="P23" t="s">
        <v>319</v>
      </c>
      <c r="Q23" t="s">
        <v>308</v>
      </c>
    </row>
    <row r="24" spans="1:17" x14ac:dyDescent="0.15">
      <c r="A24">
        <v>22</v>
      </c>
      <c r="B24" t="s">
        <v>103</v>
      </c>
      <c r="C24" t="s">
        <v>62</v>
      </c>
      <c r="D24" t="s">
        <v>62</v>
      </c>
      <c r="E24" t="s">
        <v>62</v>
      </c>
      <c r="F24" t="s">
        <v>62</v>
      </c>
      <c r="G24" t="s">
        <v>62</v>
      </c>
      <c r="H24" t="s">
        <v>62</v>
      </c>
      <c r="I24" t="s">
        <v>62</v>
      </c>
      <c r="J24" t="s">
        <v>62</v>
      </c>
      <c r="K24" t="s">
        <v>62</v>
      </c>
      <c r="L24" t="s">
        <v>62</v>
      </c>
      <c r="M24" t="s">
        <v>62</v>
      </c>
      <c r="N24" t="s">
        <v>62</v>
      </c>
      <c r="O24" t="s">
        <v>309</v>
      </c>
      <c r="P24" t="s">
        <v>62</v>
      </c>
      <c r="Q24" t="s">
        <v>308</v>
      </c>
    </row>
    <row r="25" spans="1:17" x14ac:dyDescent="0.15">
      <c r="A25">
        <v>23</v>
      </c>
      <c r="B25" t="s">
        <v>104</v>
      </c>
      <c r="C25" t="s">
        <v>310</v>
      </c>
      <c r="D25" t="s">
        <v>62</v>
      </c>
      <c r="E25" t="s">
        <v>62</v>
      </c>
      <c r="F25" t="s">
        <v>311</v>
      </c>
      <c r="G25" t="s">
        <v>62</v>
      </c>
      <c r="H25" t="s">
        <v>62</v>
      </c>
      <c r="I25" t="s">
        <v>312</v>
      </c>
      <c r="J25" t="s">
        <v>314</v>
      </c>
      <c r="K25" t="s">
        <v>315</v>
      </c>
      <c r="L25" t="s">
        <v>313</v>
      </c>
      <c r="M25" t="s">
        <v>62</v>
      </c>
      <c r="N25" t="s">
        <v>62</v>
      </c>
      <c r="O25" t="s">
        <v>309</v>
      </c>
      <c r="P25" t="s">
        <v>62</v>
      </c>
      <c r="Q25" t="s">
        <v>308</v>
      </c>
    </row>
    <row r="26" spans="1:17" x14ac:dyDescent="0.15">
      <c r="A26">
        <v>24</v>
      </c>
      <c r="B26" t="s">
        <v>105</v>
      </c>
      <c r="C26" t="s">
        <v>310</v>
      </c>
      <c r="D26" t="s">
        <v>320</v>
      </c>
      <c r="E26" t="s">
        <v>318</v>
      </c>
      <c r="F26" t="s">
        <v>62</v>
      </c>
      <c r="G26" t="s">
        <v>316</v>
      </c>
      <c r="H26" t="s">
        <v>62</v>
      </c>
      <c r="I26" t="s">
        <v>62</v>
      </c>
      <c r="J26" t="s">
        <v>62</v>
      </c>
      <c r="K26" t="s">
        <v>62</v>
      </c>
      <c r="L26" t="s">
        <v>62</v>
      </c>
      <c r="M26" t="s">
        <v>321</v>
      </c>
      <c r="N26" t="s">
        <v>322</v>
      </c>
      <c r="O26" t="s">
        <v>62</v>
      </c>
      <c r="P26" t="s">
        <v>319</v>
      </c>
      <c r="Q26" t="s">
        <v>308</v>
      </c>
    </row>
    <row r="27" spans="1:17" x14ac:dyDescent="0.15">
      <c r="A27">
        <v>25</v>
      </c>
      <c r="B27" t="s">
        <v>41</v>
      </c>
      <c r="C27" t="s">
        <v>310</v>
      </c>
      <c r="D27" t="s">
        <v>62</v>
      </c>
      <c r="E27" t="s">
        <v>62</v>
      </c>
      <c r="F27" t="s">
        <v>311</v>
      </c>
      <c r="H27" t="s">
        <v>317</v>
      </c>
      <c r="I27" t="s">
        <v>62</v>
      </c>
      <c r="J27" t="s">
        <v>314</v>
      </c>
      <c r="K27" t="s">
        <v>62</v>
      </c>
      <c r="L27" t="s">
        <v>62</v>
      </c>
      <c r="M27" t="s">
        <v>62</v>
      </c>
      <c r="N27" t="s">
        <v>62</v>
      </c>
      <c r="O27" t="s">
        <v>309</v>
      </c>
      <c r="P27" t="s">
        <v>62</v>
      </c>
      <c r="Q27" t="s">
        <v>308</v>
      </c>
    </row>
    <row r="28" spans="1:17" x14ac:dyDescent="0.15">
      <c r="A28">
        <v>26</v>
      </c>
      <c r="B28" t="s">
        <v>106</v>
      </c>
      <c r="C28" t="s">
        <v>62</v>
      </c>
      <c r="D28" t="s">
        <v>62</v>
      </c>
      <c r="E28" t="s">
        <v>62</v>
      </c>
      <c r="F28" t="s">
        <v>62</v>
      </c>
      <c r="G28" t="s">
        <v>62</v>
      </c>
      <c r="H28" t="s">
        <v>62</v>
      </c>
      <c r="I28" t="s">
        <v>62</v>
      </c>
      <c r="J28" t="s">
        <v>62</v>
      </c>
      <c r="K28" t="s">
        <v>62</v>
      </c>
      <c r="L28" t="s">
        <v>62</v>
      </c>
      <c r="M28" t="s">
        <v>62</v>
      </c>
      <c r="N28" t="s">
        <v>62</v>
      </c>
      <c r="O28" t="s">
        <v>309</v>
      </c>
      <c r="P28" t="s">
        <v>62</v>
      </c>
      <c r="Q28" t="s">
        <v>308</v>
      </c>
    </row>
    <row r="29" spans="1:17" x14ac:dyDescent="0.15">
      <c r="A29">
        <v>27</v>
      </c>
      <c r="B29" t="s">
        <v>43</v>
      </c>
      <c r="C29" t="s">
        <v>310</v>
      </c>
      <c r="D29" t="s">
        <v>62</v>
      </c>
      <c r="E29" t="s">
        <v>62</v>
      </c>
      <c r="F29" t="s">
        <v>311</v>
      </c>
      <c r="G29" t="s">
        <v>62</v>
      </c>
      <c r="H29" t="s">
        <v>62</v>
      </c>
      <c r="I29" t="s">
        <v>62</v>
      </c>
      <c r="J29" t="s">
        <v>314</v>
      </c>
      <c r="K29" t="s">
        <v>62</v>
      </c>
      <c r="L29" t="s">
        <v>313</v>
      </c>
      <c r="M29" t="s">
        <v>62</v>
      </c>
      <c r="N29" t="s">
        <v>62</v>
      </c>
      <c r="O29" t="s">
        <v>309</v>
      </c>
      <c r="P29" t="s">
        <v>62</v>
      </c>
      <c r="Q29" t="s">
        <v>308</v>
      </c>
    </row>
    <row r="30" spans="1:17" x14ac:dyDescent="0.15">
      <c r="A30">
        <v>28</v>
      </c>
      <c r="B30" t="s">
        <v>46</v>
      </c>
      <c r="C30" t="s">
        <v>310</v>
      </c>
      <c r="D30" t="s">
        <v>62</v>
      </c>
      <c r="E30" t="s">
        <v>62</v>
      </c>
      <c r="F30" t="s">
        <v>311</v>
      </c>
      <c r="G30" t="s">
        <v>62</v>
      </c>
      <c r="H30" t="s">
        <v>62</v>
      </c>
      <c r="I30" t="s">
        <v>312</v>
      </c>
      <c r="J30" t="s">
        <v>62</v>
      </c>
      <c r="K30" t="s">
        <v>62</v>
      </c>
      <c r="L30" t="s">
        <v>313</v>
      </c>
      <c r="M30" t="s">
        <v>62</v>
      </c>
      <c r="N30" t="s">
        <v>62</v>
      </c>
      <c r="O30" t="s">
        <v>62</v>
      </c>
      <c r="P30" t="s">
        <v>62</v>
      </c>
      <c r="Q30" t="s">
        <v>308</v>
      </c>
    </row>
    <row r="31" spans="1:17" x14ac:dyDescent="0.15">
      <c r="A31">
        <v>29</v>
      </c>
      <c r="B31" t="s">
        <v>107</v>
      </c>
      <c r="C31" t="s">
        <v>310</v>
      </c>
      <c r="D31" t="s">
        <v>62</v>
      </c>
      <c r="E31" t="s">
        <v>62</v>
      </c>
      <c r="F31" t="s">
        <v>311</v>
      </c>
      <c r="G31" t="s">
        <v>62</v>
      </c>
      <c r="H31" t="s">
        <v>62</v>
      </c>
      <c r="I31" t="s">
        <v>62</v>
      </c>
      <c r="J31" t="s">
        <v>314</v>
      </c>
      <c r="K31" t="s">
        <v>62</v>
      </c>
      <c r="L31" t="s">
        <v>62</v>
      </c>
      <c r="M31" t="s">
        <v>62</v>
      </c>
      <c r="N31" t="s">
        <v>62</v>
      </c>
      <c r="O31" t="s">
        <v>309</v>
      </c>
      <c r="P31" t="s">
        <v>62</v>
      </c>
      <c r="Q31" t="s">
        <v>308</v>
      </c>
    </row>
    <row r="32" spans="1:17" x14ac:dyDescent="0.15">
      <c r="A32">
        <v>30</v>
      </c>
      <c r="B32" t="s">
        <v>35</v>
      </c>
      <c r="C32" t="s">
        <v>310</v>
      </c>
      <c r="D32" t="s">
        <v>62</v>
      </c>
      <c r="E32" t="s">
        <v>62</v>
      </c>
      <c r="F32" t="s">
        <v>311</v>
      </c>
      <c r="G32" t="s">
        <v>62</v>
      </c>
      <c r="H32" t="s">
        <v>62</v>
      </c>
      <c r="I32" t="s">
        <v>62</v>
      </c>
      <c r="J32" t="s">
        <v>62</v>
      </c>
      <c r="K32" t="s">
        <v>62</v>
      </c>
      <c r="L32" t="s">
        <v>313</v>
      </c>
      <c r="M32" t="s">
        <v>62</v>
      </c>
      <c r="N32" t="s">
        <v>62</v>
      </c>
      <c r="O32" t="s">
        <v>62</v>
      </c>
      <c r="P32" t="s">
        <v>62</v>
      </c>
      <c r="Q32" t="s">
        <v>308</v>
      </c>
    </row>
    <row r="33" spans="1:17" x14ac:dyDescent="0.15">
      <c r="A33">
        <v>31</v>
      </c>
      <c r="B33" t="s">
        <v>108</v>
      </c>
      <c r="C33" t="s">
        <v>62</v>
      </c>
      <c r="D33" t="s">
        <v>62</v>
      </c>
      <c r="E33" t="s">
        <v>62</v>
      </c>
      <c r="F33" t="s">
        <v>62</v>
      </c>
      <c r="G33" t="s">
        <v>62</v>
      </c>
      <c r="H33" t="s">
        <v>62</v>
      </c>
      <c r="I33" t="s">
        <v>62</v>
      </c>
      <c r="J33" t="s">
        <v>62</v>
      </c>
      <c r="K33" t="s">
        <v>62</v>
      </c>
      <c r="L33" t="s">
        <v>62</v>
      </c>
      <c r="M33" t="s">
        <v>62</v>
      </c>
      <c r="N33" t="s">
        <v>62</v>
      </c>
      <c r="O33" t="s">
        <v>309</v>
      </c>
      <c r="P33" t="s">
        <v>62</v>
      </c>
      <c r="Q33" t="s">
        <v>308</v>
      </c>
    </row>
    <row r="34" spans="1:17" x14ac:dyDescent="0.15">
      <c r="A34">
        <v>32</v>
      </c>
      <c r="B34" t="s">
        <v>47</v>
      </c>
      <c r="C34" t="s">
        <v>310</v>
      </c>
      <c r="D34" t="s">
        <v>62</v>
      </c>
      <c r="E34" t="s">
        <v>62</v>
      </c>
      <c r="F34" t="s">
        <v>311</v>
      </c>
      <c r="G34" t="s">
        <v>62</v>
      </c>
      <c r="H34" t="s">
        <v>62</v>
      </c>
      <c r="I34" t="s">
        <v>312</v>
      </c>
      <c r="J34" t="s">
        <v>314</v>
      </c>
      <c r="K34" t="s">
        <v>315</v>
      </c>
      <c r="L34" t="s">
        <v>62</v>
      </c>
      <c r="M34" t="s">
        <v>62</v>
      </c>
      <c r="N34" t="s">
        <v>62</v>
      </c>
      <c r="O34" t="s">
        <v>62</v>
      </c>
      <c r="P34" t="s">
        <v>62</v>
      </c>
      <c r="Q34" t="s">
        <v>308</v>
      </c>
    </row>
    <row r="35" spans="1:17" x14ac:dyDescent="0.15">
      <c r="A35">
        <v>33</v>
      </c>
      <c r="B35" t="s">
        <v>48</v>
      </c>
      <c r="C35" t="s">
        <v>310</v>
      </c>
      <c r="D35" t="s">
        <v>62</v>
      </c>
      <c r="E35" t="s">
        <v>62</v>
      </c>
      <c r="F35" t="s">
        <v>311</v>
      </c>
      <c r="G35" t="s">
        <v>62</v>
      </c>
      <c r="H35" t="s">
        <v>62</v>
      </c>
      <c r="I35" t="s">
        <v>312</v>
      </c>
      <c r="J35" t="s">
        <v>314</v>
      </c>
      <c r="K35" t="s">
        <v>62</v>
      </c>
      <c r="L35" t="s">
        <v>313</v>
      </c>
      <c r="M35" t="s">
        <v>62</v>
      </c>
      <c r="N35" t="s">
        <v>62</v>
      </c>
      <c r="O35" t="s">
        <v>62</v>
      </c>
      <c r="P35" t="s">
        <v>62</v>
      </c>
      <c r="Q35" t="s">
        <v>308</v>
      </c>
    </row>
    <row r="36" spans="1:17" x14ac:dyDescent="0.15">
      <c r="A36">
        <v>34</v>
      </c>
      <c r="B36" t="s">
        <v>39</v>
      </c>
      <c r="C36" t="s">
        <v>310</v>
      </c>
      <c r="D36" t="s">
        <v>62</v>
      </c>
      <c r="E36" t="s">
        <v>318</v>
      </c>
      <c r="F36" t="s">
        <v>62</v>
      </c>
      <c r="G36" t="s">
        <v>316</v>
      </c>
      <c r="H36" t="s">
        <v>62</v>
      </c>
      <c r="I36" t="s">
        <v>62</v>
      </c>
      <c r="J36" t="s">
        <v>62</v>
      </c>
      <c r="K36" t="s">
        <v>62</v>
      </c>
      <c r="L36" t="s">
        <v>62</v>
      </c>
      <c r="M36" t="s">
        <v>62</v>
      </c>
      <c r="N36" t="s">
        <v>62</v>
      </c>
      <c r="O36" t="s">
        <v>62</v>
      </c>
      <c r="P36" t="s">
        <v>319</v>
      </c>
      <c r="Q36" t="s">
        <v>308</v>
      </c>
    </row>
    <row r="37" spans="1:17" x14ac:dyDescent="0.15">
      <c r="A37">
        <v>35</v>
      </c>
      <c r="B37" t="s">
        <v>49</v>
      </c>
      <c r="C37" t="s">
        <v>310</v>
      </c>
      <c r="D37" t="s">
        <v>62</v>
      </c>
      <c r="E37" t="s">
        <v>62</v>
      </c>
      <c r="F37" t="s">
        <v>311</v>
      </c>
      <c r="G37" t="s">
        <v>62</v>
      </c>
      <c r="H37" t="s">
        <v>62</v>
      </c>
      <c r="I37" t="s">
        <v>312</v>
      </c>
      <c r="J37" t="s">
        <v>62</v>
      </c>
      <c r="K37" t="s">
        <v>62</v>
      </c>
      <c r="L37" t="s">
        <v>313</v>
      </c>
      <c r="M37" t="s">
        <v>62</v>
      </c>
      <c r="N37" t="s">
        <v>62</v>
      </c>
      <c r="O37" t="s">
        <v>62</v>
      </c>
      <c r="P37" t="s">
        <v>62</v>
      </c>
      <c r="Q37" t="s">
        <v>308</v>
      </c>
    </row>
    <row r="38" spans="1:17" x14ac:dyDescent="0.15">
      <c r="A38">
        <v>36</v>
      </c>
      <c r="B38" t="s">
        <v>36</v>
      </c>
      <c r="C38" t="s">
        <v>310</v>
      </c>
      <c r="D38" t="s">
        <v>62</v>
      </c>
      <c r="E38" t="s">
        <v>62</v>
      </c>
      <c r="F38" t="s">
        <v>311</v>
      </c>
      <c r="G38" t="s">
        <v>62</v>
      </c>
      <c r="H38" t="s">
        <v>62</v>
      </c>
      <c r="I38" t="s">
        <v>62</v>
      </c>
      <c r="J38" t="s">
        <v>62</v>
      </c>
      <c r="K38" t="s">
        <v>62</v>
      </c>
      <c r="L38" t="s">
        <v>313</v>
      </c>
      <c r="M38" t="s">
        <v>62</v>
      </c>
      <c r="N38" t="s">
        <v>62</v>
      </c>
      <c r="O38" t="s">
        <v>62</v>
      </c>
      <c r="P38" t="s">
        <v>62</v>
      </c>
      <c r="Q38" t="s">
        <v>308</v>
      </c>
    </row>
    <row r="39" spans="1:17" x14ac:dyDescent="0.15">
      <c r="A39">
        <v>37</v>
      </c>
      <c r="B39" t="s">
        <v>50</v>
      </c>
      <c r="C39" t="s">
        <v>310</v>
      </c>
      <c r="D39" t="s">
        <v>62</v>
      </c>
      <c r="E39" t="s">
        <v>62</v>
      </c>
      <c r="F39" t="s">
        <v>311</v>
      </c>
      <c r="G39" t="s">
        <v>62</v>
      </c>
      <c r="H39" t="s">
        <v>62</v>
      </c>
      <c r="I39" t="s">
        <v>312</v>
      </c>
      <c r="J39" t="s">
        <v>314</v>
      </c>
      <c r="K39" t="s">
        <v>62</v>
      </c>
      <c r="L39" t="s">
        <v>62</v>
      </c>
      <c r="M39" t="s">
        <v>62</v>
      </c>
      <c r="N39" t="s">
        <v>62</v>
      </c>
      <c r="O39" t="s">
        <v>62</v>
      </c>
      <c r="P39" t="s">
        <v>62</v>
      </c>
      <c r="Q39" t="s">
        <v>308</v>
      </c>
    </row>
    <row r="40" spans="1:17" x14ac:dyDescent="0.15">
      <c r="A40">
        <v>38</v>
      </c>
      <c r="B40" t="s">
        <v>37</v>
      </c>
      <c r="C40" t="s">
        <v>310</v>
      </c>
      <c r="D40" t="s">
        <v>62</v>
      </c>
      <c r="E40" t="s">
        <v>62</v>
      </c>
      <c r="F40" t="s">
        <v>311</v>
      </c>
      <c r="G40" t="s">
        <v>62</v>
      </c>
      <c r="H40" t="s">
        <v>62</v>
      </c>
      <c r="I40" t="s">
        <v>62</v>
      </c>
      <c r="J40" t="s">
        <v>62</v>
      </c>
      <c r="K40" t="s">
        <v>62</v>
      </c>
      <c r="L40" t="s">
        <v>313</v>
      </c>
      <c r="M40" t="s">
        <v>62</v>
      </c>
      <c r="N40" t="s">
        <v>62</v>
      </c>
      <c r="O40" t="s">
        <v>62</v>
      </c>
      <c r="P40" t="s">
        <v>62</v>
      </c>
      <c r="Q40" t="s">
        <v>308</v>
      </c>
    </row>
    <row r="41" spans="1:17" x14ac:dyDescent="0.15">
      <c r="A41">
        <v>39</v>
      </c>
      <c r="B41" t="s">
        <v>51</v>
      </c>
      <c r="C41" t="s">
        <v>310</v>
      </c>
      <c r="D41" t="s">
        <v>62</v>
      </c>
      <c r="E41" t="s">
        <v>62</v>
      </c>
      <c r="F41" t="s">
        <v>311</v>
      </c>
      <c r="G41" t="s">
        <v>62</v>
      </c>
      <c r="H41" t="s">
        <v>62</v>
      </c>
      <c r="I41" t="s">
        <v>312</v>
      </c>
      <c r="J41" t="s">
        <v>62</v>
      </c>
      <c r="K41" t="s">
        <v>62</v>
      </c>
      <c r="L41" t="s">
        <v>313</v>
      </c>
      <c r="M41" t="s">
        <v>62</v>
      </c>
      <c r="N41" t="s">
        <v>62</v>
      </c>
      <c r="O41" t="s">
        <v>309</v>
      </c>
      <c r="P41" t="s">
        <v>62</v>
      </c>
      <c r="Q41" t="s">
        <v>308</v>
      </c>
    </row>
    <row r="42" spans="1:17" x14ac:dyDescent="0.15">
      <c r="A42">
        <v>40</v>
      </c>
      <c r="B42" t="s">
        <v>109</v>
      </c>
      <c r="C42" t="s">
        <v>62</v>
      </c>
      <c r="D42" t="s">
        <v>62</v>
      </c>
      <c r="E42" t="s">
        <v>62</v>
      </c>
      <c r="F42" t="s">
        <v>62</v>
      </c>
      <c r="G42" t="s">
        <v>62</v>
      </c>
      <c r="H42" t="s">
        <v>62</v>
      </c>
      <c r="I42" t="s">
        <v>62</v>
      </c>
      <c r="J42" t="s">
        <v>62</v>
      </c>
      <c r="K42" t="s">
        <v>62</v>
      </c>
      <c r="L42" t="s">
        <v>62</v>
      </c>
      <c r="M42" t="s">
        <v>62</v>
      </c>
      <c r="N42" t="s">
        <v>62</v>
      </c>
      <c r="O42" t="s">
        <v>309</v>
      </c>
      <c r="P42" t="s">
        <v>62</v>
      </c>
      <c r="Q42" t="s">
        <v>308</v>
      </c>
    </row>
    <row r="43" spans="1:17" x14ac:dyDescent="0.15">
      <c r="A43">
        <v>41</v>
      </c>
      <c r="B43" t="s">
        <v>38</v>
      </c>
      <c r="C43" t="s">
        <v>310</v>
      </c>
      <c r="D43" t="s">
        <v>62</v>
      </c>
      <c r="E43" t="s">
        <v>62</v>
      </c>
      <c r="F43" t="s">
        <v>311</v>
      </c>
      <c r="G43" t="s">
        <v>62</v>
      </c>
      <c r="H43" t="s">
        <v>62</v>
      </c>
      <c r="I43" t="s">
        <v>62</v>
      </c>
      <c r="J43" t="s">
        <v>62</v>
      </c>
      <c r="K43" t="s">
        <v>62</v>
      </c>
      <c r="L43" t="s">
        <v>313</v>
      </c>
      <c r="M43" t="s">
        <v>62</v>
      </c>
      <c r="N43" t="s">
        <v>62</v>
      </c>
      <c r="O43" t="s">
        <v>309</v>
      </c>
      <c r="P43" t="s">
        <v>62</v>
      </c>
      <c r="Q43" t="s">
        <v>308</v>
      </c>
    </row>
    <row r="44" spans="1:17" x14ac:dyDescent="0.15">
      <c r="A44">
        <v>42</v>
      </c>
      <c r="B44" t="s">
        <v>52</v>
      </c>
      <c r="C44" t="s">
        <v>310</v>
      </c>
      <c r="D44" t="s">
        <v>62</v>
      </c>
      <c r="E44" t="s">
        <v>62</v>
      </c>
      <c r="F44" t="s">
        <v>311</v>
      </c>
      <c r="G44" t="s">
        <v>62</v>
      </c>
      <c r="H44" t="s">
        <v>62</v>
      </c>
      <c r="I44" t="s">
        <v>312</v>
      </c>
      <c r="J44" t="s">
        <v>314</v>
      </c>
      <c r="K44" t="s">
        <v>62</v>
      </c>
      <c r="L44" t="s">
        <v>62</v>
      </c>
      <c r="M44" t="s">
        <v>62</v>
      </c>
      <c r="N44" t="s">
        <v>62</v>
      </c>
      <c r="O44" t="s">
        <v>62</v>
      </c>
      <c r="P44" t="s">
        <v>62</v>
      </c>
      <c r="Q44" t="s">
        <v>308</v>
      </c>
    </row>
    <row r="45" spans="1:17" x14ac:dyDescent="0.15">
      <c r="A45">
        <v>43</v>
      </c>
      <c r="B45" t="s">
        <v>110</v>
      </c>
      <c r="C45" t="s">
        <v>310</v>
      </c>
      <c r="D45" t="s">
        <v>62</v>
      </c>
      <c r="E45" t="s">
        <v>62</v>
      </c>
      <c r="F45" t="s">
        <v>311</v>
      </c>
      <c r="H45" t="s">
        <v>317</v>
      </c>
      <c r="I45" t="s">
        <v>62</v>
      </c>
      <c r="J45" t="s">
        <v>314</v>
      </c>
      <c r="K45" t="s">
        <v>62</v>
      </c>
      <c r="L45" t="s">
        <v>62</v>
      </c>
      <c r="M45" t="s">
        <v>62</v>
      </c>
      <c r="N45" t="s">
        <v>62</v>
      </c>
      <c r="O45" t="s">
        <v>309</v>
      </c>
      <c r="P45" t="s">
        <v>62</v>
      </c>
      <c r="Q45" t="s">
        <v>308</v>
      </c>
    </row>
    <row r="46" spans="1:17" x14ac:dyDescent="0.15">
      <c r="A46">
        <v>44</v>
      </c>
      <c r="B46" t="s">
        <v>53</v>
      </c>
      <c r="C46" t="s">
        <v>310</v>
      </c>
      <c r="D46" t="s">
        <v>62</v>
      </c>
      <c r="E46" t="s">
        <v>62</v>
      </c>
      <c r="F46" t="s">
        <v>311</v>
      </c>
      <c r="G46" t="s">
        <v>62</v>
      </c>
      <c r="H46" t="s">
        <v>62</v>
      </c>
      <c r="I46" t="s">
        <v>312</v>
      </c>
      <c r="J46" t="s">
        <v>314</v>
      </c>
      <c r="K46" t="s">
        <v>62</v>
      </c>
      <c r="L46" t="s">
        <v>313</v>
      </c>
      <c r="M46" t="s">
        <v>62</v>
      </c>
      <c r="N46" t="s">
        <v>62</v>
      </c>
      <c r="O46" t="s">
        <v>309</v>
      </c>
      <c r="P46" t="s">
        <v>62</v>
      </c>
      <c r="Q46" t="s">
        <v>308</v>
      </c>
    </row>
    <row r="47" spans="1:17" x14ac:dyDescent="0.15">
      <c r="A47">
        <v>45</v>
      </c>
      <c r="B47" t="s">
        <v>111</v>
      </c>
      <c r="C47" t="s">
        <v>310</v>
      </c>
      <c r="D47" t="s">
        <v>62</v>
      </c>
      <c r="E47" t="s">
        <v>62</v>
      </c>
      <c r="F47" t="s">
        <v>311</v>
      </c>
      <c r="G47" t="s">
        <v>62</v>
      </c>
      <c r="H47" t="s">
        <v>62</v>
      </c>
      <c r="I47" t="s">
        <v>62</v>
      </c>
      <c r="J47" t="s">
        <v>62</v>
      </c>
      <c r="K47" t="s">
        <v>315</v>
      </c>
      <c r="L47" t="s">
        <v>62</v>
      </c>
      <c r="M47" t="s">
        <v>62</v>
      </c>
      <c r="N47" t="s">
        <v>62</v>
      </c>
      <c r="O47" t="s">
        <v>309</v>
      </c>
      <c r="P47" t="s">
        <v>62</v>
      </c>
      <c r="Q47" t="s">
        <v>308</v>
      </c>
    </row>
    <row r="48" spans="1:17" x14ac:dyDescent="0.15">
      <c r="A48">
        <v>46</v>
      </c>
      <c r="B48" t="s">
        <v>54</v>
      </c>
      <c r="C48" t="s">
        <v>310</v>
      </c>
      <c r="D48" t="s">
        <v>62</v>
      </c>
      <c r="E48" t="s">
        <v>318</v>
      </c>
      <c r="F48" t="s">
        <v>311</v>
      </c>
      <c r="G48" t="s">
        <v>316</v>
      </c>
      <c r="H48" t="s">
        <v>62</v>
      </c>
      <c r="I48" t="s">
        <v>312</v>
      </c>
      <c r="J48" t="s">
        <v>62</v>
      </c>
      <c r="K48" t="s">
        <v>315</v>
      </c>
      <c r="L48" t="s">
        <v>313</v>
      </c>
      <c r="M48" t="s">
        <v>62</v>
      </c>
      <c r="N48" t="s">
        <v>62</v>
      </c>
      <c r="O48" t="s">
        <v>309</v>
      </c>
      <c r="P48" t="s">
        <v>319</v>
      </c>
      <c r="Q48" t="s">
        <v>308</v>
      </c>
    </row>
    <row r="49" spans="1:17" x14ac:dyDescent="0.15">
      <c r="A49">
        <v>47</v>
      </c>
      <c r="B49" t="s">
        <v>112</v>
      </c>
      <c r="C49" t="s">
        <v>310</v>
      </c>
      <c r="D49" t="s">
        <v>320</v>
      </c>
      <c r="E49" t="s">
        <v>318</v>
      </c>
      <c r="F49" t="s">
        <v>62</v>
      </c>
      <c r="G49" t="s">
        <v>316</v>
      </c>
      <c r="H49" t="s">
        <v>62</v>
      </c>
      <c r="I49" t="s">
        <v>62</v>
      </c>
      <c r="J49" t="s">
        <v>62</v>
      </c>
      <c r="K49" t="s">
        <v>62</v>
      </c>
      <c r="L49" t="s">
        <v>62</v>
      </c>
      <c r="M49" t="s">
        <v>321</v>
      </c>
      <c r="N49" t="s">
        <v>322</v>
      </c>
      <c r="O49" t="s">
        <v>62</v>
      </c>
      <c r="P49" t="s">
        <v>319</v>
      </c>
      <c r="Q49" t="s">
        <v>308</v>
      </c>
    </row>
    <row r="50" spans="1:17" x14ac:dyDescent="0.15">
      <c r="A50">
        <v>48</v>
      </c>
      <c r="B50" t="s">
        <v>113</v>
      </c>
      <c r="C50" t="s">
        <v>310</v>
      </c>
      <c r="D50" t="s">
        <v>62</v>
      </c>
      <c r="E50" t="s">
        <v>62</v>
      </c>
      <c r="F50" t="s">
        <v>311</v>
      </c>
      <c r="G50" t="s">
        <v>62</v>
      </c>
      <c r="H50" t="s">
        <v>62</v>
      </c>
      <c r="I50" t="s">
        <v>62</v>
      </c>
      <c r="J50" t="s">
        <v>314</v>
      </c>
      <c r="K50" t="s">
        <v>62</v>
      </c>
      <c r="L50" t="s">
        <v>62</v>
      </c>
      <c r="M50" t="s">
        <v>62</v>
      </c>
      <c r="N50" t="s">
        <v>62</v>
      </c>
      <c r="O50" t="s">
        <v>309</v>
      </c>
      <c r="P50" t="s">
        <v>62</v>
      </c>
      <c r="Q50" t="s">
        <v>308</v>
      </c>
    </row>
    <row r="51" spans="1:17" x14ac:dyDescent="0.15">
      <c r="A51">
        <v>49</v>
      </c>
      <c r="B51" t="s">
        <v>114</v>
      </c>
      <c r="C51" t="s">
        <v>310</v>
      </c>
      <c r="D51" t="s">
        <v>62</v>
      </c>
      <c r="E51" t="s">
        <v>318</v>
      </c>
      <c r="F51" t="s">
        <v>311</v>
      </c>
      <c r="G51" t="s">
        <v>316</v>
      </c>
      <c r="H51" t="s">
        <v>62</v>
      </c>
      <c r="I51" t="s">
        <v>312</v>
      </c>
      <c r="J51" t="s">
        <v>62</v>
      </c>
      <c r="K51" t="s">
        <v>62</v>
      </c>
      <c r="L51" t="s">
        <v>313</v>
      </c>
      <c r="M51" t="s">
        <v>62</v>
      </c>
      <c r="N51" t="s">
        <v>62</v>
      </c>
      <c r="O51" t="s">
        <v>309</v>
      </c>
      <c r="P51" t="s">
        <v>319</v>
      </c>
      <c r="Q51" t="s">
        <v>308</v>
      </c>
    </row>
    <row r="52" spans="1:17" s="2" customFormat="1" x14ac:dyDescent="0.15">
      <c r="A52" s="2">
        <v>50</v>
      </c>
      <c r="B52" s="2" t="s">
        <v>586</v>
      </c>
      <c r="C52" s="2" t="s">
        <v>310</v>
      </c>
      <c r="F52" s="2" t="s">
        <v>311</v>
      </c>
      <c r="J52" s="2" t="s">
        <v>314</v>
      </c>
      <c r="L52" s="2" t="s">
        <v>313</v>
      </c>
      <c r="O52" s="2" t="s">
        <v>309</v>
      </c>
      <c r="Q52" s="2" t="s">
        <v>308</v>
      </c>
    </row>
    <row r="53" spans="1:17" s="2" customFormat="1" x14ac:dyDescent="0.15">
      <c r="A53" s="2">
        <v>51</v>
      </c>
      <c r="B53" s="2" t="s">
        <v>587</v>
      </c>
      <c r="C53" s="2" t="s">
        <v>310</v>
      </c>
      <c r="F53" s="2" t="s">
        <v>311</v>
      </c>
      <c r="G53" s="2" t="s">
        <v>316</v>
      </c>
      <c r="L53" s="2" t="s">
        <v>313</v>
      </c>
      <c r="P53" s="2" t="s">
        <v>319</v>
      </c>
      <c r="Q53" s="2" t="s">
        <v>308</v>
      </c>
    </row>
    <row r="54" spans="1:17" s="2" customFormat="1" x14ac:dyDescent="0.15">
      <c r="A54" s="2">
        <v>52</v>
      </c>
      <c r="B54" s="2" t="s">
        <v>588</v>
      </c>
      <c r="C54" s="2" t="s">
        <v>310</v>
      </c>
      <c r="E54" s="2" t="s">
        <v>318</v>
      </c>
      <c r="F54" s="2" t="s">
        <v>311</v>
      </c>
      <c r="G54" s="2" t="s">
        <v>316</v>
      </c>
      <c r="L54" s="2" t="s">
        <v>313</v>
      </c>
      <c r="P54" s="2" t="s">
        <v>319</v>
      </c>
      <c r="Q54" s="2" t="s">
        <v>308</v>
      </c>
    </row>
    <row r="55" spans="1:17" s="2" customFormat="1" x14ac:dyDescent="0.15">
      <c r="A55" s="2">
        <v>53</v>
      </c>
      <c r="B55" s="2" t="s">
        <v>589</v>
      </c>
      <c r="C55" s="2" t="s">
        <v>310</v>
      </c>
      <c r="D55" s="2" t="s">
        <v>320</v>
      </c>
      <c r="E55" s="2" t="s">
        <v>318</v>
      </c>
      <c r="F55" s="2" t="s">
        <v>311</v>
      </c>
      <c r="G55" s="2" t="s">
        <v>316</v>
      </c>
      <c r="L55" s="2" t="s">
        <v>313</v>
      </c>
      <c r="M55" s="2" t="s">
        <v>321</v>
      </c>
      <c r="N55" s="2" t="s">
        <v>322</v>
      </c>
      <c r="P55" s="2" t="s">
        <v>319</v>
      </c>
      <c r="Q55" s="2" t="s">
        <v>308</v>
      </c>
    </row>
    <row r="56" spans="1:17" s="2" customFormat="1" x14ac:dyDescent="0.15">
      <c r="A56" s="2">
        <v>54</v>
      </c>
      <c r="B56" s="2" t="s">
        <v>590</v>
      </c>
      <c r="C56" s="2" t="s">
        <v>310</v>
      </c>
      <c r="D56" s="2" t="s">
        <v>320</v>
      </c>
      <c r="E56" s="2" t="s">
        <v>318</v>
      </c>
      <c r="F56" s="2" t="s">
        <v>311</v>
      </c>
      <c r="G56" s="2" t="s">
        <v>316</v>
      </c>
      <c r="L56" s="2" t="s">
        <v>313</v>
      </c>
      <c r="M56" s="2" t="s">
        <v>321</v>
      </c>
      <c r="N56" s="2" t="s">
        <v>322</v>
      </c>
      <c r="P56" s="2" t="s">
        <v>319</v>
      </c>
      <c r="Q56" s="2" t="s">
        <v>308</v>
      </c>
    </row>
    <row r="57" spans="1:17" s="2" customFormat="1" x14ac:dyDescent="0.15">
      <c r="A57" s="2">
        <v>55</v>
      </c>
      <c r="B57" s="2" t="s">
        <v>591</v>
      </c>
      <c r="C57" s="2" t="s">
        <v>310</v>
      </c>
      <c r="E57" s="2" t="s">
        <v>318</v>
      </c>
      <c r="F57" s="2" t="s">
        <v>311</v>
      </c>
      <c r="G57" s="2" t="s">
        <v>316</v>
      </c>
      <c r="H57" s="2" t="s">
        <v>317</v>
      </c>
      <c r="L57" s="2" t="s">
        <v>313</v>
      </c>
      <c r="P57" s="2" t="s">
        <v>319</v>
      </c>
      <c r="Q57" s="2" t="s">
        <v>308</v>
      </c>
    </row>
    <row r="58" spans="1:17" s="2" customFormat="1" x14ac:dyDescent="0.15">
      <c r="A58" s="2">
        <v>56</v>
      </c>
      <c r="B58" s="2" t="s">
        <v>592</v>
      </c>
      <c r="C58" s="2" t="s">
        <v>310</v>
      </c>
      <c r="D58" s="2" t="s">
        <v>320</v>
      </c>
      <c r="E58" s="2" t="s">
        <v>318</v>
      </c>
      <c r="F58" s="2" t="s">
        <v>311</v>
      </c>
      <c r="G58" s="2" t="s">
        <v>316</v>
      </c>
      <c r="H58" s="2" t="s">
        <v>317</v>
      </c>
      <c r="M58" s="2" t="s">
        <v>321</v>
      </c>
      <c r="N58" s="2" t="s">
        <v>322</v>
      </c>
      <c r="P58" s="2" t="s">
        <v>319</v>
      </c>
      <c r="Q58" s="2" t="s">
        <v>308</v>
      </c>
    </row>
    <row r="59" spans="1:17" x14ac:dyDescent="0.15">
      <c r="A59">
        <v>57</v>
      </c>
      <c r="B59" t="s">
        <v>115</v>
      </c>
      <c r="C59" t="s">
        <v>310</v>
      </c>
      <c r="D59" t="s">
        <v>62</v>
      </c>
      <c r="E59" t="s">
        <v>62</v>
      </c>
      <c r="F59" t="s">
        <v>311</v>
      </c>
      <c r="G59" t="s">
        <v>62</v>
      </c>
      <c r="H59" t="s">
        <v>62</v>
      </c>
      <c r="I59" t="s">
        <v>62</v>
      </c>
      <c r="J59" t="s">
        <v>314</v>
      </c>
      <c r="K59" t="s">
        <v>62</v>
      </c>
      <c r="L59" t="s">
        <v>313</v>
      </c>
      <c r="M59" t="s">
        <v>62</v>
      </c>
      <c r="N59" t="s">
        <v>62</v>
      </c>
      <c r="O59" t="s">
        <v>309</v>
      </c>
      <c r="P59" t="s">
        <v>62</v>
      </c>
      <c r="Q59" t="s">
        <v>308</v>
      </c>
    </row>
    <row r="60" spans="1:17" x14ac:dyDescent="0.15">
      <c r="A60">
        <v>58</v>
      </c>
      <c r="B60" t="s">
        <v>116</v>
      </c>
      <c r="C60" t="s">
        <v>310</v>
      </c>
      <c r="D60" t="s">
        <v>62</v>
      </c>
      <c r="E60" t="s">
        <v>62</v>
      </c>
      <c r="F60" t="s">
        <v>311</v>
      </c>
      <c r="G60" t="s">
        <v>62</v>
      </c>
      <c r="H60" t="s">
        <v>62</v>
      </c>
      <c r="I60" t="s">
        <v>62</v>
      </c>
      <c r="J60" t="s">
        <v>314</v>
      </c>
      <c r="K60" t="s">
        <v>62</v>
      </c>
      <c r="L60" t="s">
        <v>62</v>
      </c>
      <c r="M60" t="s">
        <v>62</v>
      </c>
      <c r="N60" t="s">
        <v>62</v>
      </c>
      <c r="O60" t="s">
        <v>309</v>
      </c>
      <c r="P60" t="s">
        <v>62</v>
      </c>
      <c r="Q60" t="s">
        <v>308</v>
      </c>
    </row>
    <row r="61" spans="1:17" x14ac:dyDescent="0.15">
      <c r="A61">
        <v>59</v>
      </c>
      <c r="B61" t="s">
        <v>58</v>
      </c>
      <c r="C61" t="s">
        <v>310</v>
      </c>
      <c r="D61" t="s">
        <v>62</v>
      </c>
      <c r="E61" t="s">
        <v>62</v>
      </c>
      <c r="F61" t="s">
        <v>311</v>
      </c>
      <c r="H61" t="s">
        <v>317</v>
      </c>
      <c r="I61" t="s">
        <v>312</v>
      </c>
      <c r="J61" t="s">
        <v>314</v>
      </c>
      <c r="K61" t="s">
        <v>62</v>
      </c>
      <c r="L61" t="s">
        <v>313</v>
      </c>
      <c r="M61" t="s">
        <v>62</v>
      </c>
      <c r="N61" t="s">
        <v>62</v>
      </c>
      <c r="O61" t="s">
        <v>309</v>
      </c>
      <c r="P61" t="s">
        <v>62</v>
      </c>
      <c r="Q61" t="s">
        <v>308</v>
      </c>
    </row>
    <row r="62" spans="1:17" x14ac:dyDescent="0.15">
      <c r="A62">
        <v>60</v>
      </c>
      <c r="B62" t="s">
        <v>576</v>
      </c>
      <c r="C62" t="s">
        <v>62</v>
      </c>
      <c r="D62" t="s">
        <v>62</v>
      </c>
      <c r="E62" t="s">
        <v>62</v>
      </c>
      <c r="F62" t="s">
        <v>62</v>
      </c>
      <c r="G62" t="s">
        <v>62</v>
      </c>
      <c r="H62" t="s">
        <v>62</v>
      </c>
      <c r="I62" t="s">
        <v>62</v>
      </c>
      <c r="J62" t="s">
        <v>62</v>
      </c>
      <c r="K62" t="s">
        <v>62</v>
      </c>
      <c r="L62" t="s">
        <v>62</v>
      </c>
      <c r="M62" t="s">
        <v>62</v>
      </c>
      <c r="N62" t="s">
        <v>62</v>
      </c>
      <c r="O62" t="s">
        <v>309</v>
      </c>
      <c r="P62" t="s">
        <v>62</v>
      </c>
      <c r="Q62" t="s">
        <v>308</v>
      </c>
    </row>
    <row r="63" spans="1:17" x14ac:dyDescent="0.15">
      <c r="B63" t="s">
        <v>366</v>
      </c>
      <c r="C63" t="s">
        <v>310</v>
      </c>
      <c r="D63" t="s">
        <v>62</v>
      </c>
      <c r="E63" t="s">
        <v>318</v>
      </c>
      <c r="F63" t="s">
        <v>311</v>
      </c>
      <c r="G63" t="s">
        <v>316</v>
      </c>
      <c r="H63" t="s">
        <v>62</v>
      </c>
      <c r="I63" t="s">
        <v>62</v>
      </c>
      <c r="J63" t="s">
        <v>314</v>
      </c>
      <c r="K63" t="s">
        <v>62</v>
      </c>
      <c r="L63" t="s">
        <v>313</v>
      </c>
      <c r="M63" t="s">
        <v>62</v>
      </c>
      <c r="N63" t="s">
        <v>62</v>
      </c>
      <c r="O63" t="s">
        <v>309</v>
      </c>
      <c r="P63" t="s">
        <v>319</v>
      </c>
      <c r="Q63" t="s">
        <v>308</v>
      </c>
    </row>
  </sheetData>
  <sheetProtection algorithmName="SHA-512" hashValue="h/uCcAsrxzfr79gTLLciuaA6yN9my1lefM5AUa/rN6xb0QX+dORGSwzwWoyHYcXRPEIOhIoGDLyGbsBnqHHfJw==" saltValue="w8hQlho3SVidjcGwGuql0w==" spinCount="100000" sheet="1" objects="1" scenarios="1"/>
  <autoFilter ref="A2:P63" xr:uid="{00000000-0009-0000-0000-000005000000}"/>
  <phoneticPr fontId="17"/>
  <pageMargins left="0.7" right="0.7" top="0.75" bottom="0.75" header="0.3" footer="0.3"/>
  <pageSetup paperSize="9" scale="87"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J75"/>
  <sheetViews>
    <sheetView view="pageBreakPreview" zoomScale="55" zoomScaleNormal="70" zoomScaleSheetLayoutView="55" workbookViewId="0">
      <pane ySplit="3" topLeftCell="A4" activePane="bottomLeft" state="frozen"/>
      <selection activeCell="C11" sqref="C11"/>
      <selection pane="bottomLeft" activeCell="H7" sqref="H7"/>
    </sheetView>
  </sheetViews>
  <sheetFormatPr defaultColWidth="9" defaultRowHeight="14.25" x14ac:dyDescent="0.15"/>
  <cols>
    <col min="1" max="1" width="6.125" style="176" customWidth="1"/>
    <col min="2" max="3" width="15.625" style="176" customWidth="1"/>
    <col min="4" max="4" width="18.375" style="176" bestFit="1" customWidth="1"/>
    <col min="5" max="5" width="25.375" style="176" bestFit="1" customWidth="1"/>
    <col min="6" max="6" width="7.5" style="176" customWidth="1"/>
    <col min="7" max="7" width="21.125" style="176" customWidth="1"/>
    <col min="8" max="8" width="50" style="176" customWidth="1"/>
    <col min="9" max="9" width="12.875" style="176" customWidth="1"/>
    <col min="10" max="10" width="8.75" style="176" customWidth="1"/>
    <col min="11" max="11" width="13" style="176" customWidth="1"/>
    <col min="12" max="12" width="11.375" style="176" customWidth="1"/>
    <col min="13" max="14" width="14" style="176" customWidth="1"/>
    <col min="15" max="15" width="13.125" style="176" customWidth="1"/>
    <col min="16" max="16" width="14.375" style="176" customWidth="1"/>
    <col min="17" max="18" width="7.5" style="18" hidden="1" customWidth="1"/>
    <col min="19" max="19" width="10.25" style="18" hidden="1" customWidth="1"/>
    <col min="20" max="20" width="13.875" style="18" hidden="1" customWidth="1"/>
    <col min="21" max="21" width="13.75" style="18" hidden="1" customWidth="1"/>
    <col min="22" max="22" width="8.25" style="18" hidden="1" customWidth="1"/>
    <col min="23" max="23" width="14.75" style="18" hidden="1" customWidth="1"/>
    <col min="24" max="24" width="17.5" style="18" hidden="1" customWidth="1"/>
    <col min="25" max="25" width="17.125" style="18" hidden="1" customWidth="1"/>
    <col min="26" max="26" width="14.25" style="18" hidden="1" customWidth="1"/>
    <col min="27" max="27" width="14" style="18" hidden="1" customWidth="1"/>
    <col min="28" max="28" width="10.25" style="18" hidden="1" customWidth="1"/>
    <col min="29" max="39" width="7.5" style="18" hidden="1" customWidth="1"/>
    <col min="40" max="40" width="9.125" style="18" hidden="1" customWidth="1"/>
    <col min="41" max="43" width="9" style="18" hidden="1" customWidth="1"/>
    <col min="44" max="44" width="17.875" style="18" hidden="1" customWidth="1"/>
    <col min="45" max="45" width="16.375" style="18" hidden="1" customWidth="1"/>
    <col min="46" max="46" width="17.5" style="18" hidden="1" customWidth="1"/>
    <col min="47" max="48" width="17.125" style="18" hidden="1" customWidth="1"/>
    <col min="49" max="49" width="14.25" style="18" hidden="1" customWidth="1"/>
    <col min="50" max="50" width="14" style="18" hidden="1" customWidth="1"/>
    <col min="51" max="51" width="10.25" style="18" hidden="1" customWidth="1"/>
    <col min="52" max="62" width="7.5" style="18" hidden="1" customWidth="1"/>
    <col min="63" max="63" width="9" style="18" hidden="1" customWidth="1"/>
    <col min="64" max="79" width="0" style="18" hidden="1" customWidth="1"/>
    <col min="80" max="81" width="0" style="176" hidden="1" customWidth="1"/>
    <col min="82" max="164" width="9" style="176"/>
    <col min="165" max="166" width="9" style="177"/>
    <col min="167" max="16384" width="9" style="176"/>
  </cols>
  <sheetData>
    <row r="1" spans="1:61" ht="21" customHeight="1" x14ac:dyDescent="0.15">
      <c r="A1" s="13" t="s">
        <v>439</v>
      </c>
      <c r="B1" s="13"/>
      <c r="C1" s="13"/>
      <c r="D1" s="13"/>
      <c r="E1" s="29"/>
      <c r="F1" s="29"/>
      <c r="G1" s="13"/>
      <c r="H1" s="13"/>
      <c r="I1" s="13"/>
      <c r="J1" s="13"/>
      <c r="K1" s="13"/>
      <c r="L1" s="13"/>
      <c r="M1" s="13"/>
      <c r="N1" s="13"/>
      <c r="O1" s="13"/>
      <c r="P1" s="13"/>
      <c r="V1" s="25"/>
      <c r="W1" s="25"/>
      <c r="X1" s="25"/>
      <c r="Y1" s="25"/>
      <c r="Z1" s="25"/>
      <c r="AA1" s="25"/>
      <c r="AB1" s="25"/>
      <c r="AC1" s="25"/>
      <c r="AD1" s="25"/>
      <c r="AE1" s="25"/>
      <c r="AF1" s="25"/>
      <c r="AG1" s="25"/>
      <c r="AH1" s="25"/>
      <c r="AI1" s="25"/>
      <c r="AJ1" s="25"/>
      <c r="AK1" s="25"/>
      <c r="AL1" s="25"/>
      <c r="AR1" s="25"/>
      <c r="AS1" s="25"/>
      <c r="AT1" s="25"/>
      <c r="AU1" s="25"/>
      <c r="AV1" s="25"/>
      <c r="AW1" s="25"/>
      <c r="AX1" s="25"/>
      <c r="AY1" s="25"/>
      <c r="AZ1" s="25"/>
      <c r="BA1" s="25"/>
      <c r="BB1" s="25"/>
      <c r="BC1" s="25"/>
      <c r="BD1" s="25"/>
      <c r="BE1" s="25"/>
      <c r="BF1" s="25"/>
      <c r="BG1" s="25"/>
      <c r="BH1" s="25"/>
      <c r="BI1" s="25"/>
    </row>
    <row r="2" spans="1:61" ht="26.25" customHeight="1" x14ac:dyDescent="0.15">
      <c r="A2" s="277" t="s">
        <v>223</v>
      </c>
      <c r="B2" s="281" t="s">
        <v>71</v>
      </c>
      <c r="C2" s="277" t="s">
        <v>86</v>
      </c>
      <c r="D2" s="277" t="s">
        <v>412</v>
      </c>
      <c r="E2" s="277" t="s">
        <v>413</v>
      </c>
      <c r="F2" s="277" t="s">
        <v>92</v>
      </c>
      <c r="G2" s="277" t="s">
        <v>87</v>
      </c>
      <c r="H2" s="282" t="s">
        <v>69</v>
      </c>
      <c r="I2" s="282"/>
      <c r="J2" s="282"/>
      <c r="K2" s="278" t="s">
        <v>16</v>
      </c>
      <c r="L2" s="278"/>
      <c r="M2" s="278"/>
      <c r="N2" s="148" t="s">
        <v>614</v>
      </c>
      <c r="O2" s="277" t="s">
        <v>619</v>
      </c>
      <c r="P2" s="275" t="s">
        <v>620</v>
      </c>
      <c r="S2" s="18" t="s">
        <v>333</v>
      </c>
      <c r="T2" s="178" t="s">
        <v>338</v>
      </c>
      <c r="U2" s="178" t="s">
        <v>240</v>
      </c>
      <c r="V2" s="179" t="s">
        <v>337</v>
      </c>
      <c r="W2" s="179" t="s">
        <v>339</v>
      </c>
      <c r="X2" s="179" t="s">
        <v>261</v>
      </c>
      <c r="Y2" s="179" t="s">
        <v>331</v>
      </c>
      <c r="Z2" s="179" t="s">
        <v>260</v>
      </c>
      <c r="AA2" s="179" t="s">
        <v>89</v>
      </c>
      <c r="AB2" s="179" t="s">
        <v>93</v>
      </c>
      <c r="AC2" s="180" t="s">
        <v>214</v>
      </c>
      <c r="AD2" s="180" t="s">
        <v>215</v>
      </c>
      <c r="AE2" s="180" t="s">
        <v>216</v>
      </c>
      <c r="AF2" s="180" t="s">
        <v>259</v>
      </c>
      <c r="AG2" s="180" t="s">
        <v>217</v>
      </c>
      <c r="AH2" s="180" t="s">
        <v>218</v>
      </c>
      <c r="AI2" s="180"/>
      <c r="AJ2" s="180"/>
      <c r="AK2" s="180"/>
      <c r="AL2" s="180"/>
      <c r="AN2" s="18" t="s">
        <v>613</v>
      </c>
      <c r="AO2" s="18" t="s">
        <v>2</v>
      </c>
      <c r="AP2" s="178" t="s">
        <v>338</v>
      </c>
      <c r="AQ2" s="178" t="s">
        <v>240</v>
      </c>
      <c r="AR2" s="179" t="s">
        <v>337</v>
      </c>
      <c r="AS2" s="179" t="s">
        <v>339</v>
      </c>
      <c r="AT2" s="179" t="s">
        <v>261</v>
      </c>
      <c r="AU2" s="179" t="s">
        <v>331</v>
      </c>
      <c r="AV2" s="179" t="s">
        <v>260</v>
      </c>
      <c r="AW2" s="179" t="s">
        <v>89</v>
      </c>
      <c r="AX2" s="179" t="s">
        <v>93</v>
      </c>
      <c r="AY2" s="180" t="s">
        <v>214</v>
      </c>
      <c r="AZ2" s="180" t="s">
        <v>215</v>
      </c>
      <c r="BA2" s="180" t="s">
        <v>216</v>
      </c>
      <c r="BB2" s="180" t="s">
        <v>259</v>
      </c>
      <c r="BC2" s="180" t="s">
        <v>217</v>
      </c>
      <c r="BD2" s="180" t="s">
        <v>218</v>
      </c>
      <c r="BE2" s="180"/>
      <c r="BF2" s="180"/>
      <c r="BG2" s="180"/>
      <c r="BH2" s="180"/>
    </row>
    <row r="3" spans="1:61" ht="42" customHeight="1" x14ac:dyDescent="0.15">
      <c r="A3" s="277"/>
      <c r="B3" s="281"/>
      <c r="C3" s="277"/>
      <c r="D3" s="280"/>
      <c r="E3" s="277"/>
      <c r="F3" s="279"/>
      <c r="G3" s="283"/>
      <c r="H3" s="161" t="s">
        <v>88</v>
      </c>
      <c r="I3" s="161" t="s">
        <v>394</v>
      </c>
      <c r="J3" s="161" t="s">
        <v>225</v>
      </c>
      <c r="K3" s="159" t="s">
        <v>224</v>
      </c>
      <c r="L3" s="159" t="s">
        <v>245</v>
      </c>
      <c r="M3" s="159" t="s">
        <v>395</v>
      </c>
      <c r="N3" s="148" t="s">
        <v>618</v>
      </c>
      <c r="O3" s="277"/>
      <c r="P3" s="276"/>
      <c r="Q3" s="18">
        <f>PRODUCT(Q4:Q73)</f>
        <v>1</v>
      </c>
      <c r="R3" s="18">
        <f>PRODUCT(R4:R73)</f>
        <v>1</v>
      </c>
      <c r="T3" s="178" t="s">
        <v>336</v>
      </c>
      <c r="U3" s="18" t="s">
        <v>326</v>
      </c>
      <c r="V3" s="179"/>
      <c r="W3" s="181"/>
      <c r="X3" s="179" t="s">
        <v>340</v>
      </c>
      <c r="Y3" s="179" t="s">
        <v>344</v>
      </c>
      <c r="Z3" s="179"/>
      <c r="AA3" s="179"/>
      <c r="AB3" s="179"/>
      <c r="AC3" s="180"/>
      <c r="AD3" s="180"/>
      <c r="AE3" s="180"/>
      <c r="AF3" s="180"/>
      <c r="AG3" s="180"/>
      <c r="AH3" s="180"/>
      <c r="AI3" s="180" t="s">
        <v>23</v>
      </c>
      <c r="AJ3" s="180" t="s">
        <v>24</v>
      </c>
      <c r="AK3" s="180" t="s">
        <v>25</v>
      </c>
      <c r="AL3" s="180" t="s">
        <v>66</v>
      </c>
      <c r="AM3" s="18" t="s">
        <v>67</v>
      </c>
      <c r="AQ3" s="179"/>
      <c r="AR3" s="181"/>
      <c r="AS3" s="179"/>
      <c r="AT3" s="179"/>
      <c r="AU3" s="179"/>
      <c r="AV3" s="179"/>
      <c r="AW3" s="179"/>
      <c r="AX3" s="179"/>
      <c r="AY3" s="179"/>
      <c r="AZ3" s="180"/>
      <c r="BA3" s="180"/>
      <c r="BB3" s="180"/>
      <c r="BC3" s="180"/>
      <c r="BD3" s="180"/>
      <c r="BE3" s="180" t="s">
        <v>23</v>
      </c>
      <c r="BF3" s="180" t="s">
        <v>24</v>
      </c>
      <c r="BG3" s="180" t="s">
        <v>25</v>
      </c>
      <c r="BH3" s="180" t="s">
        <v>26</v>
      </c>
      <c r="BI3" s="18" t="s">
        <v>27</v>
      </c>
    </row>
    <row r="4" spans="1:61" ht="27" customHeight="1" x14ac:dyDescent="0.15">
      <c r="A4" s="30" t="s">
        <v>232</v>
      </c>
      <c r="B4" s="19"/>
      <c r="C4" s="19"/>
      <c r="D4" s="40" t="str">
        <f>IF(E4="",IF(C4="","",IF(C4="低木・竹・草地","低木・草地",IF(C4="人工面","－",C4))),LEFT(E4,LEN(E4)-6))</f>
        <v/>
      </c>
      <c r="E4" s="20"/>
      <c r="F4" s="31"/>
      <c r="G4" s="21"/>
      <c r="H4" s="22"/>
      <c r="I4" s="22"/>
      <c r="J4" s="22"/>
      <c r="K4" s="23"/>
      <c r="L4" s="23"/>
      <c r="M4" s="23"/>
      <c r="N4" s="146"/>
      <c r="O4" s="40">
        <f>S4</f>
        <v>0</v>
      </c>
      <c r="P4" s="183" t="str">
        <f t="shared" ref="P4:P8" si="0">IF(B4="","",B4*O4)</f>
        <v/>
      </c>
      <c r="Q4" s="18">
        <f t="shared" ref="Q4:Q67" si="1">IF($C4="湿性環境",IF($D4="湿性環境",1,IF(AND($D4="低木・草地",$G4="整備水田"),1,0)),1)</f>
        <v>1</v>
      </c>
      <c r="R4" s="18">
        <f t="shared" ref="R4:R67" si="2">IF($C4="樹林",IF($D4="樹林",1,0),1)</f>
        <v>1</v>
      </c>
      <c r="S4" s="18">
        <f>IF(T4=0,0,IF(U4="点数特定できず",SUM(AF4:AH4),U4))*AN4</f>
        <v>0</v>
      </c>
      <c r="T4" s="18">
        <f>IF(OR($C4="人工面",$C4=""),0,IF($C4=$D4,70,IF(AND($C4="低木・竹・草地",$D4="低木・草地"),70,IF(AND($C4="湿性環境",$D4="低木・草地",$G4="整備水田"),10,0))))</f>
        <v>0</v>
      </c>
      <c r="U4" s="18">
        <f>IF($C4="人工面",0,IF($G4="",70,IF($D4="湿性環境",VLOOKUP($G4,環境タイプⅡによる点数DB!$A:$B,2,FALSE),IF($D4="樹林",VLOOKUP($G4,環境タイプⅡによる点数DB!$A:$C,3,FALSE),IF($D4="低木・草地",VLOOKUP($G4,環境タイプⅡによる点数DB!$A:$D,4,FALSE),0)))))</f>
        <v>70</v>
      </c>
      <c r="V4" s="24" t="str">
        <f>$H4&amp;"in"&amp;基本情報!$C$13</f>
        <v>in</v>
      </c>
      <c r="W4" s="24">
        <f t="shared" ref="W4:W67" si="3">IF($G4="乾性草地",1,IF($G4="高さ8m以上の木",1,IF($G4="高さ3.5m以上8m未満の木",0.375,0)))</f>
        <v>0</v>
      </c>
      <c r="X4" s="24">
        <f>IF($H4="",0,IF($D4="樹林",IF(ISERROR(VLOOKUP($V4,市町村・植物種ごとの樹林点数DB!$A:$F,6,FALSE))=TRUE,20,VLOOKUP($V4,市町村・植物種ごとの樹林点数DB!$A:$F,6,FALSE)),IF($D4="低木・草地",IF(OR($H4="【ススキ】・【ネザサ】・【チガヤ】",$H4="不明"),45,10),0)))</f>
        <v>0</v>
      </c>
      <c r="Y4" s="24">
        <f t="shared" ref="Y4:Y67" si="4">IF($D4="樹林",IF($H4="",40,0),IF($D4="低木・草地",IF($H4="",45,0),0))</f>
        <v>0</v>
      </c>
      <c r="Z4" s="24">
        <f t="shared" ref="Z4:Z67" si="5">IF(OR($H4="その他の低木・草",$H4="【ススキ】・【ネザサ】・【チガヤ】"),0,1)</f>
        <v>1</v>
      </c>
      <c r="AA4" s="24">
        <f t="shared" ref="AA4:AA67" si="6">IF($I4="ほぼ無し",0,IF($I4="1/4程度",0.25,IF($I4="1/2程度",0.5,IF($I4="3/4程度",0.75,IF($I4="ほぼ全て",1,0)))))</f>
        <v>0</v>
      </c>
      <c r="AB4" s="24">
        <f t="shared" ref="AB4:AB67" si="7">IF($J4="無し",0,IF($J4="有り",1,IF($J4="不明",1,1)))</f>
        <v>1</v>
      </c>
      <c r="AC4" s="25">
        <f t="shared" ref="AC4:AC8" si="8">(X4+Y4)*W4</f>
        <v>0</v>
      </c>
      <c r="AD4" s="25">
        <f>IF(AC4=45,25*(1-AA4),IF(AC4=40,20*(1-AA4),IF(AC4&gt;=2.5,10*(1-AA4),IF(AC4&gt;0,5*(1-AA4),0))))</f>
        <v>0</v>
      </c>
      <c r="AE4" s="25">
        <f t="shared" ref="AE4:AE8" si="9">IF(W4=1,AB4*Z4*10,0)</f>
        <v>0</v>
      </c>
      <c r="AF4" s="25" t="str">
        <f t="shared" ref="AF4:AF8" si="10">IF($D4="低木・草地",SUM(AC4:AD4),"")</f>
        <v/>
      </c>
      <c r="AG4" s="25" t="str">
        <f t="shared" ref="AG4:AG8" si="11">IF($D4="樹林",SUM(AC4:AE4),"")</f>
        <v/>
      </c>
      <c r="AH4" s="25" t="str">
        <f t="shared" ref="AH4:AH8" si="12">IF($D4="湿性環境",IF(AL4+AM4&lt;60,0,(AL4+AM4)/2-30),"")</f>
        <v/>
      </c>
      <c r="AI4" s="25">
        <f>IF(ISERROR(VLOOKUP($K4,割合DB!$A:$B,2,FALSE))=TRUE,0,VLOOKUP($K4,割合DB!$A:$B,2,FALSE))</f>
        <v>0</v>
      </c>
      <c r="AJ4" s="25">
        <f>IF(ISERROR(VLOOKUP($L4,割合DB!$A:$B,2,FALSE))=TRUE,0,VLOOKUP($L4,割合DB!$A:$B,2,FALSE))</f>
        <v>0</v>
      </c>
      <c r="AK4" s="25">
        <f>IF(ISERROR(VLOOKUP($M4,割合DB!$A:$B,2,FALSE))=TRUE,0,VLOOKUP($M4,割合DB!$A:$B,2,FALSE))</f>
        <v>0</v>
      </c>
      <c r="AL4" s="25">
        <f t="shared" ref="AL4:AL8" si="13">((100-AI4)+(100-AJ4))/2</f>
        <v>100</v>
      </c>
      <c r="AM4" s="18">
        <f t="shared" ref="AM4:AM8" si="14">100-AK4</f>
        <v>100</v>
      </c>
      <c r="AN4" s="18">
        <f>IF(N4="",1,IF(N4="CR",30,IF(N4="EN",20,IF(N4="VU",5,1))))</f>
        <v>1</v>
      </c>
      <c r="AR4" s="24"/>
      <c r="AS4" s="24"/>
      <c r="AT4" s="24"/>
      <c r="AU4" s="24"/>
      <c r="AV4" s="24"/>
      <c r="AW4" s="24"/>
      <c r="AX4" s="24"/>
      <c r="AY4" s="24"/>
      <c r="AZ4" s="25"/>
      <c r="BA4" s="25"/>
      <c r="BB4" s="25"/>
      <c r="BC4" s="25"/>
      <c r="BD4" s="25"/>
      <c r="BE4" s="25"/>
      <c r="BF4" s="25"/>
      <c r="BG4" s="25"/>
      <c r="BH4" s="25"/>
      <c r="BI4" s="25"/>
    </row>
    <row r="5" spans="1:61" ht="27" customHeight="1" x14ac:dyDescent="0.15">
      <c r="A5" s="30" t="s">
        <v>233</v>
      </c>
      <c r="B5" s="19"/>
      <c r="C5" s="19"/>
      <c r="D5" s="40" t="str">
        <f>IF(E5="",IF(C5="","",IF(C5="低木・竹・草地","低木・草地",IF(C5="人工面","－",C5))),LEFT(E5,LEN(E5)-6))</f>
        <v/>
      </c>
      <c r="E5" s="20"/>
      <c r="F5" s="32"/>
      <c r="G5" s="21"/>
      <c r="H5" s="22"/>
      <c r="I5" s="22"/>
      <c r="J5" s="22"/>
      <c r="K5" s="23"/>
      <c r="L5" s="23"/>
      <c r="M5" s="23"/>
      <c r="N5" s="146"/>
      <c r="O5" s="40">
        <f t="shared" ref="O5:O8" si="15">S5</f>
        <v>0</v>
      </c>
      <c r="P5" s="183" t="str">
        <f t="shared" si="0"/>
        <v/>
      </c>
      <c r="Q5" s="18">
        <f t="shared" si="1"/>
        <v>1</v>
      </c>
      <c r="R5" s="18">
        <f t="shared" si="2"/>
        <v>1</v>
      </c>
      <c r="S5" s="18">
        <f t="shared" ref="S5:S68" si="16">IF(T5=0,0,IF(U5="点数特定できず",SUM(AF5:AH5),U5))*AN5</f>
        <v>0</v>
      </c>
      <c r="T5" s="18">
        <f t="shared" ref="T5:T67" si="17">IF(OR($C5="人工面",$C5=""),0,IF($C5=$D5,70,IF(AND($C5="低木・竹・草地",$D5="低木・草地"),70,IF(AND($C5="湿性環境",$D5="低木・草地",$G5="整備水田"),10,0))))</f>
        <v>0</v>
      </c>
      <c r="U5" s="18">
        <f>IF($C5="人工面",0,IF($G5="",70,IF($D5="湿性環境",VLOOKUP($G5,環境タイプⅡによる点数DB!$A:$B,2,FALSE),IF($D5="樹林",VLOOKUP($G5,環境タイプⅡによる点数DB!$A:$C,3,FALSE),IF($D5="低木・草地",VLOOKUP($G5,環境タイプⅡによる点数DB!$A:$D,4,FALSE),0)))))</f>
        <v>70</v>
      </c>
      <c r="V5" s="24" t="str">
        <f>$H5&amp;"in"&amp;基本情報!$C$13</f>
        <v>in</v>
      </c>
      <c r="W5" s="24">
        <f t="shared" si="3"/>
        <v>0</v>
      </c>
      <c r="X5" s="24">
        <f>IF($H5="",0,IF($D5="樹林",IF(ISERROR(VLOOKUP($V5,市町村・植物種ごとの樹林点数DB!$A:$F,6,FALSE))=TRUE,20,VLOOKUP($V5,市町村・植物種ごとの樹林点数DB!$A:$F,6,FALSE)),IF($D5="低木・草地",IF(OR($H5="【ススキ】・【ネザサ】・【チガヤ】",$H5="不明"),45,10),0)))</f>
        <v>0</v>
      </c>
      <c r="Y5" s="24">
        <f t="shared" si="4"/>
        <v>0</v>
      </c>
      <c r="Z5" s="24">
        <f t="shared" si="5"/>
        <v>1</v>
      </c>
      <c r="AA5" s="24">
        <f t="shared" si="6"/>
        <v>0</v>
      </c>
      <c r="AB5" s="24">
        <f t="shared" si="7"/>
        <v>1</v>
      </c>
      <c r="AC5" s="25">
        <f t="shared" si="8"/>
        <v>0</v>
      </c>
      <c r="AD5" s="25">
        <f t="shared" ref="AD5:AD8" si="18">IF(AC5=45,25*(1-AA5),IF(AC5=40,20*(1-AA5),IF(AC5&gt;=2.5,10*(1-AA5),IF(AC5&gt;0,5*(1-AA5),0))))</f>
        <v>0</v>
      </c>
      <c r="AE5" s="25">
        <f t="shared" si="9"/>
        <v>0</v>
      </c>
      <c r="AF5" s="25" t="str">
        <f t="shared" si="10"/>
        <v/>
      </c>
      <c r="AG5" s="25" t="str">
        <f t="shared" si="11"/>
        <v/>
      </c>
      <c r="AH5" s="25" t="str">
        <f t="shared" si="12"/>
        <v/>
      </c>
      <c r="AI5" s="25">
        <f>IF(ISERROR(VLOOKUP($K5,割合DB!$A:$B,2,FALSE))=TRUE,0,VLOOKUP($K5,割合DB!$A:$B,2,FALSE))</f>
        <v>0</v>
      </c>
      <c r="AJ5" s="25">
        <f>IF(ISERROR(VLOOKUP($L5,割合DB!$A:$B,2,FALSE))=TRUE,0,VLOOKUP($L5,割合DB!$A:$B,2,FALSE))</f>
        <v>0</v>
      </c>
      <c r="AK5" s="25">
        <f>IF(ISERROR(VLOOKUP($M5,割合DB!$A:$B,2,FALSE))=TRUE,0,VLOOKUP($M5,割合DB!$A:$B,2,FALSE))</f>
        <v>0</v>
      </c>
      <c r="AL5" s="25">
        <f>((100-AI5)+(100-AJ5))/2</f>
        <v>100</v>
      </c>
      <c r="AM5" s="18">
        <f t="shared" si="14"/>
        <v>100</v>
      </c>
      <c r="AN5" s="18">
        <f t="shared" ref="AN5:AN68" si="19">IF(N5="",1,IF(N5="CR",30,IF(N5="EN",20,IF(N5="VU",5,1))))</f>
        <v>1</v>
      </c>
      <c r="AR5" s="24"/>
      <c r="AS5" s="24"/>
      <c r="AT5" s="24"/>
      <c r="AU5" s="24"/>
      <c r="AV5" s="24"/>
      <c r="AW5" s="24"/>
      <c r="AX5" s="24"/>
      <c r="AY5" s="24"/>
      <c r="AZ5" s="25"/>
      <c r="BA5" s="25"/>
      <c r="BB5" s="25"/>
      <c r="BC5" s="25"/>
      <c r="BD5" s="25"/>
      <c r="BE5" s="25"/>
      <c r="BF5" s="25"/>
      <c r="BG5" s="25"/>
      <c r="BH5" s="25"/>
      <c r="BI5" s="25"/>
    </row>
    <row r="6" spans="1:61" ht="27" customHeight="1" x14ac:dyDescent="0.15">
      <c r="A6" s="30" t="s">
        <v>234</v>
      </c>
      <c r="B6" s="19"/>
      <c r="C6" s="19"/>
      <c r="D6" s="40" t="str">
        <f>IF(E6="",IF(C6="","",IF(C6="低木・竹・草地","低木・草地",IF(C6="人工面","－",C6))),LEFT(E6,LEN(E6)-6))</f>
        <v/>
      </c>
      <c r="E6" s="20"/>
      <c r="F6" s="32"/>
      <c r="G6" s="21"/>
      <c r="H6" s="22"/>
      <c r="I6" s="22"/>
      <c r="J6" s="22"/>
      <c r="K6" s="23"/>
      <c r="L6" s="23"/>
      <c r="M6" s="23"/>
      <c r="N6" s="146"/>
      <c r="O6" s="40">
        <f t="shared" si="15"/>
        <v>0</v>
      </c>
      <c r="P6" s="183" t="str">
        <f t="shared" si="0"/>
        <v/>
      </c>
      <c r="Q6" s="18">
        <f t="shared" si="1"/>
        <v>1</v>
      </c>
      <c r="R6" s="18">
        <f t="shared" si="2"/>
        <v>1</v>
      </c>
      <c r="S6" s="18">
        <f t="shared" si="16"/>
        <v>0</v>
      </c>
      <c r="T6" s="18">
        <f t="shared" si="17"/>
        <v>0</v>
      </c>
      <c r="U6" s="18">
        <f>IF($C6="人工面",0,IF($G6="",70,IF($D6="湿性環境",VLOOKUP($G6,環境タイプⅡによる点数DB!$A:$B,2,FALSE),IF($D6="樹林",VLOOKUP($G6,環境タイプⅡによる点数DB!$A:$C,3,FALSE),IF($D6="低木・草地",VLOOKUP($G6,環境タイプⅡによる点数DB!$A:$D,4,FALSE),0)))))</f>
        <v>70</v>
      </c>
      <c r="V6" s="24" t="str">
        <f>$H6&amp;"in"&amp;基本情報!$C$13</f>
        <v>in</v>
      </c>
      <c r="W6" s="24">
        <f t="shared" si="3"/>
        <v>0</v>
      </c>
      <c r="X6" s="24">
        <f>IF($H6="",0,IF($D6="樹林",IF(ISERROR(VLOOKUP($V6,市町村・植物種ごとの樹林点数DB!$A:$F,6,FALSE))=TRUE,20,VLOOKUP($V6,市町村・植物種ごとの樹林点数DB!$A:$F,6,FALSE)),IF($D6="低木・草地",IF(OR($H6="【ススキ】・【ネザサ】・【チガヤ】",$H6="不明"),45,10),0)))</f>
        <v>0</v>
      </c>
      <c r="Y6" s="24">
        <f t="shared" si="4"/>
        <v>0</v>
      </c>
      <c r="Z6" s="24">
        <f t="shared" si="5"/>
        <v>1</v>
      </c>
      <c r="AA6" s="24">
        <f t="shared" si="6"/>
        <v>0</v>
      </c>
      <c r="AB6" s="24">
        <f t="shared" si="7"/>
        <v>1</v>
      </c>
      <c r="AC6" s="25">
        <f t="shared" si="8"/>
        <v>0</v>
      </c>
      <c r="AD6" s="25">
        <f t="shared" si="18"/>
        <v>0</v>
      </c>
      <c r="AE6" s="25">
        <f t="shared" si="9"/>
        <v>0</v>
      </c>
      <c r="AF6" s="25" t="str">
        <f t="shared" si="10"/>
        <v/>
      </c>
      <c r="AG6" s="25" t="str">
        <f t="shared" si="11"/>
        <v/>
      </c>
      <c r="AH6" s="25" t="str">
        <f t="shared" si="12"/>
        <v/>
      </c>
      <c r="AI6" s="25">
        <f>IF(ISERROR(VLOOKUP($K6,割合DB!$A:$B,2,FALSE))=TRUE,0,VLOOKUP($K6,割合DB!$A:$B,2,FALSE))</f>
        <v>0</v>
      </c>
      <c r="AJ6" s="25">
        <f>IF(ISERROR(VLOOKUP($L6,割合DB!$A:$B,2,FALSE))=TRUE,0,VLOOKUP($L6,割合DB!$A:$B,2,FALSE))</f>
        <v>0</v>
      </c>
      <c r="AK6" s="25">
        <f>IF(ISERROR(VLOOKUP($M6,割合DB!$A:$B,2,FALSE))=TRUE,0,VLOOKUP($M6,割合DB!$A:$B,2,FALSE))</f>
        <v>0</v>
      </c>
      <c r="AL6" s="25">
        <f t="shared" si="13"/>
        <v>100</v>
      </c>
      <c r="AM6" s="18">
        <f t="shared" si="14"/>
        <v>100</v>
      </c>
      <c r="AN6" s="18">
        <f t="shared" si="19"/>
        <v>1</v>
      </c>
      <c r="AR6" s="24"/>
      <c r="AS6" s="24"/>
      <c r="AT6" s="24"/>
      <c r="AU6" s="24"/>
      <c r="AV6" s="24"/>
      <c r="AW6" s="24"/>
      <c r="AX6" s="24"/>
      <c r="AY6" s="24"/>
      <c r="AZ6" s="25"/>
      <c r="BA6" s="25"/>
      <c r="BB6" s="25"/>
      <c r="BC6" s="25"/>
      <c r="BD6" s="25"/>
      <c r="BE6" s="25"/>
      <c r="BF6" s="25"/>
      <c r="BG6" s="25"/>
      <c r="BH6" s="25"/>
      <c r="BI6" s="25"/>
    </row>
    <row r="7" spans="1:61" ht="27" customHeight="1" x14ac:dyDescent="0.15">
      <c r="A7" s="30" t="s">
        <v>235</v>
      </c>
      <c r="B7" s="19"/>
      <c r="C7" s="19"/>
      <c r="D7" s="40" t="str">
        <f>IF(E7="",IF(C7="","",IF(C7="低木・竹・草地","低木・草地",IF(C7="人工面","－",C7))),LEFT(E7,LEN(E7)-6))</f>
        <v/>
      </c>
      <c r="E7" s="20"/>
      <c r="F7" s="32"/>
      <c r="G7" s="21"/>
      <c r="H7" s="22"/>
      <c r="I7" s="22"/>
      <c r="J7" s="22"/>
      <c r="K7" s="23"/>
      <c r="L7" s="23"/>
      <c r="M7" s="23"/>
      <c r="N7" s="146"/>
      <c r="O7" s="40">
        <f t="shared" si="15"/>
        <v>0</v>
      </c>
      <c r="P7" s="183" t="str">
        <f t="shared" si="0"/>
        <v/>
      </c>
      <c r="Q7" s="18">
        <f t="shared" si="1"/>
        <v>1</v>
      </c>
      <c r="R7" s="18">
        <f t="shared" si="2"/>
        <v>1</v>
      </c>
      <c r="S7" s="18">
        <f t="shared" si="16"/>
        <v>0</v>
      </c>
      <c r="T7" s="18">
        <f t="shared" si="17"/>
        <v>0</v>
      </c>
      <c r="U7" s="18">
        <f>IF($C7="人工面",0,IF($G7="",70,IF($D7="湿性環境",VLOOKUP($G7,環境タイプⅡによる点数DB!$A:$B,2,FALSE),IF($D7="樹林",VLOOKUP($G7,環境タイプⅡによる点数DB!$A:$C,3,FALSE),IF($D7="低木・草地",VLOOKUP($G7,環境タイプⅡによる点数DB!$A:$D,4,FALSE),0)))))</f>
        <v>70</v>
      </c>
      <c r="V7" s="24" t="str">
        <f>$H7&amp;"in"&amp;基本情報!$C$13</f>
        <v>in</v>
      </c>
      <c r="W7" s="24">
        <f t="shared" si="3"/>
        <v>0</v>
      </c>
      <c r="X7" s="24">
        <f>IF($H7="",0,IF($D7="樹林",IF(ISERROR(VLOOKUP($V7,市町村・植物種ごとの樹林点数DB!$A:$F,6,FALSE))=TRUE,20,VLOOKUP($V7,市町村・植物種ごとの樹林点数DB!$A:$F,6,FALSE)),IF($D7="低木・草地",IF(OR($H7="【ススキ】・【ネザサ】・【チガヤ】",$H7="不明"),45,10),0)))</f>
        <v>0</v>
      </c>
      <c r="Y7" s="24">
        <f t="shared" si="4"/>
        <v>0</v>
      </c>
      <c r="Z7" s="24">
        <f t="shared" si="5"/>
        <v>1</v>
      </c>
      <c r="AA7" s="24">
        <f t="shared" si="6"/>
        <v>0</v>
      </c>
      <c r="AB7" s="24">
        <f t="shared" si="7"/>
        <v>1</v>
      </c>
      <c r="AC7" s="25">
        <f t="shared" si="8"/>
        <v>0</v>
      </c>
      <c r="AD7" s="25">
        <f t="shared" si="18"/>
        <v>0</v>
      </c>
      <c r="AE7" s="25">
        <f t="shared" si="9"/>
        <v>0</v>
      </c>
      <c r="AF7" s="25" t="str">
        <f t="shared" si="10"/>
        <v/>
      </c>
      <c r="AG7" s="25" t="str">
        <f t="shared" si="11"/>
        <v/>
      </c>
      <c r="AH7" s="25" t="str">
        <f t="shared" si="12"/>
        <v/>
      </c>
      <c r="AI7" s="25">
        <f>IF(ISERROR(VLOOKUP($K7,割合DB!$A:$B,2,FALSE))=TRUE,0,VLOOKUP($K7,割合DB!$A:$B,2,FALSE))</f>
        <v>0</v>
      </c>
      <c r="AJ7" s="25">
        <f>IF(ISERROR(VLOOKUP($L7,割合DB!$A:$B,2,FALSE))=TRUE,0,VLOOKUP($L7,割合DB!$A:$B,2,FALSE))</f>
        <v>0</v>
      </c>
      <c r="AK7" s="25">
        <f>IF(ISERROR(VLOOKUP($M7,割合DB!$A:$B,2,FALSE))=TRUE,0,VLOOKUP($M7,割合DB!$A:$B,2,FALSE))</f>
        <v>0</v>
      </c>
      <c r="AL7" s="25">
        <f t="shared" si="13"/>
        <v>100</v>
      </c>
      <c r="AM7" s="18">
        <f t="shared" si="14"/>
        <v>100</v>
      </c>
      <c r="AN7" s="18">
        <f t="shared" si="19"/>
        <v>1</v>
      </c>
      <c r="AR7" s="24"/>
      <c r="AS7" s="24"/>
      <c r="AT7" s="24"/>
      <c r="AU7" s="24"/>
      <c r="AV7" s="24"/>
      <c r="AW7" s="24"/>
      <c r="AX7" s="24"/>
      <c r="AY7" s="24"/>
      <c r="AZ7" s="25"/>
      <c r="BA7" s="25"/>
      <c r="BB7" s="25"/>
      <c r="BC7" s="25"/>
      <c r="BD7" s="25"/>
      <c r="BE7" s="25"/>
      <c r="BF7" s="25"/>
      <c r="BG7" s="25"/>
      <c r="BH7" s="25"/>
      <c r="BI7" s="25"/>
    </row>
    <row r="8" spans="1:61" ht="27" customHeight="1" x14ac:dyDescent="0.15">
      <c r="A8" s="30" t="s">
        <v>236</v>
      </c>
      <c r="B8" s="21"/>
      <c r="C8" s="19"/>
      <c r="D8" s="40" t="str">
        <f t="shared" ref="D8:D71" si="20">IF(E8="",IF(C8="","",IF(C8="低木・竹・草地","低木・草地",IF(C8="人工面","－",C8))),LEFT(E8,LEN(E8)-6))</f>
        <v/>
      </c>
      <c r="E8" s="20"/>
      <c r="F8" s="32"/>
      <c r="G8" s="21"/>
      <c r="H8" s="22"/>
      <c r="I8" s="22"/>
      <c r="J8" s="22"/>
      <c r="K8" s="23"/>
      <c r="L8" s="23"/>
      <c r="M8" s="23"/>
      <c r="N8" s="146"/>
      <c r="O8" s="40">
        <f t="shared" si="15"/>
        <v>0</v>
      </c>
      <c r="P8" s="183" t="str">
        <f t="shared" si="0"/>
        <v/>
      </c>
      <c r="Q8" s="18">
        <f t="shared" si="1"/>
        <v>1</v>
      </c>
      <c r="R8" s="18">
        <f t="shared" si="2"/>
        <v>1</v>
      </c>
      <c r="S8" s="18">
        <f t="shared" si="16"/>
        <v>0</v>
      </c>
      <c r="T8" s="18">
        <f t="shared" si="17"/>
        <v>0</v>
      </c>
      <c r="U8" s="18">
        <f>IF($C8="人工面",0,IF($G8="",70,IF($D8="湿性環境",VLOOKUP($G8,環境タイプⅡによる点数DB!$A:$B,2,FALSE),IF($D8="樹林",VLOOKUP($G8,環境タイプⅡによる点数DB!$A:$C,3,FALSE),IF($D8="低木・草地",VLOOKUP($G8,環境タイプⅡによる点数DB!$A:$D,4,FALSE),0)))))</f>
        <v>70</v>
      </c>
      <c r="V8" s="24" t="str">
        <f>$H8&amp;"in"&amp;基本情報!$C$13</f>
        <v>in</v>
      </c>
      <c r="W8" s="24">
        <f t="shared" si="3"/>
        <v>0</v>
      </c>
      <c r="X8" s="24">
        <f>IF($H8="",0,IF($D8="樹林",IF(ISERROR(VLOOKUP($V8,市町村・植物種ごとの樹林点数DB!$A:$F,6,FALSE))=TRUE,20,VLOOKUP($V8,市町村・植物種ごとの樹林点数DB!$A:$F,6,FALSE)),IF($D8="低木・草地",IF(OR($H8="【ススキ】・【ネザサ】・【チガヤ】",$H8="不明"),45,10),0)))</f>
        <v>0</v>
      </c>
      <c r="Y8" s="24">
        <f t="shared" si="4"/>
        <v>0</v>
      </c>
      <c r="Z8" s="24">
        <f t="shared" si="5"/>
        <v>1</v>
      </c>
      <c r="AA8" s="24">
        <f t="shared" si="6"/>
        <v>0</v>
      </c>
      <c r="AB8" s="24">
        <f t="shared" si="7"/>
        <v>1</v>
      </c>
      <c r="AC8" s="25">
        <f t="shared" si="8"/>
        <v>0</v>
      </c>
      <c r="AD8" s="25">
        <f t="shared" si="18"/>
        <v>0</v>
      </c>
      <c r="AE8" s="25">
        <f t="shared" si="9"/>
        <v>0</v>
      </c>
      <c r="AF8" s="25" t="str">
        <f t="shared" si="10"/>
        <v/>
      </c>
      <c r="AG8" s="25" t="str">
        <f t="shared" si="11"/>
        <v/>
      </c>
      <c r="AH8" s="25" t="str">
        <f t="shared" si="12"/>
        <v/>
      </c>
      <c r="AI8" s="25">
        <f>IF(ISERROR(VLOOKUP($K8,割合DB!$A:$B,2,FALSE))=TRUE,0,VLOOKUP($K8,割合DB!$A:$B,2,FALSE))</f>
        <v>0</v>
      </c>
      <c r="AJ8" s="25">
        <f>IF(ISERROR(VLOOKUP($L8,割合DB!$A:$B,2,FALSE))=TRUE,0,VLOOKUP($L8,割合DB!$A:$B,2,FALSE))</f>
        <v>0</v>
      </c>
      <c r="AK8" s="25">
        <f>IF(ISERROR(VLOOKUP($M8,割合DB!$A:$B,2,FALSE))=TRUE,0,VLOOKUP($M8,割合DB!$A:$B,2,FALSE))</f>
        <v>0</v>
      </c>
      <c r="AL8" s="25">
        <f t="shared" si="13"/>
        <v>100</v>
      </c>
      <c r="AM8" s="18">
        <f t="shared" si="14"/>
        <v>100</v>
      </c>
      <c r="AN8" s="18">
        <f t="shared" si="19"/>
        <v>1</v>
      </c>
      <c r="AR8" s="24"/>
      <c r="AS8" s="24"/>
      <c r="AT8" s="24"/>
      <c r="AU8" s="24"/>
      <c r="AV8" s="24"/>
      <c r="AW8" s="24"/>
      <c r="AX8" s="24"/>
      <c r="AY8" s="24"/>
      <c r="AZ8" s="25"/>
      <c r="BA8" s="25"/>
      <c r="BB8" s="25"/>
      <c r="BC8" s="25"/>
      <c r="BD8" s="25"/>
      <c r="BE8" s="25"/>
      <c r="BF8" s="25"/>
      <c r="BG8" s="25"/>
      <c r="BH8" s="25"/>
      <c r="BI8" s="25"/>
    </row>
    <row r="9" spans="1:61" ht="27" customHeight="1" x14ac:dyDescent="0.15">
      <c r="A9" s="30" t="s">
        <v>237</v>
      </c>
      <c r="B9" s="21"/>
      <c r="C9" s="19"/>
      <c r="D9" s="40" t="str">
        <f t="shared" si="20"/>
        <v/>
      </c>
      <c r="E9" s="20"/>
      <c r="F9" s="32"/>
      <c r="G9" s="21"/>
      <c r="H9" s="22"/>
      <c r="I9" s="22"/>
      <c r="J9" s="22"/>
      <c r="K9" s="23"/>
      <c r="L9" s="23"/>
      <c r="M9" s="23"/>
      <c r="N9" s="146"/>
      <c r="O9" s="40">
        <f t="shared" ref="O9:O72" si="21">S9</f>
        <v>0</v>
      </c>
      <c r="P9" s="183" t="str">
        <f t="shared" ref="P9:P72" si="22">IF(B9="","",B9*O9)</f>
        <v/>
      </c>
      <c r="Q9" s="18">
        <f t="shared" si="1"/>
        <v>1</v>
      </c>
      <c r="R9" s="18">
        <f t="shared" si="2"/>
        <v>1</v>
      </c>
      <c r="S9" s="18">
        <f t="shared" si="16"/>
        <v>0</v>
      </c>
      <c r="T9" s="18">
        <f t="shared" si="17"/>
        <v>0</v>
      </c>
      <c r="U9" s="18">
        <f>IF($C9="人工面",0,IF($G9="",70,IF($D9="湿性環境",VLOOKUP($G9,環境タイプⅡによる点数DB!$A:$B,2,FALSE),IF($D9="樹林",VLOOKUP($G9,環境タイプⅡによる点数DB!$A:$C,3,FALSE),IF($D9="低木・草地",VLOOKUP($G9,環境タイプⅡによる点数DB!$A:$D,4,FALSE),0)))))</f>
        <v>70</v>
      </c>
      <c r="V9" s="24" t="str">
        <f>$H9&amp;"in"&amp;基本情報!$C$13</f>
        <v>in</v>
      </c>
      <c r="W9" s="24">
        <f t="shared" si="3"/>
        <v>0</v>
      </c>
      <c r="X9" s="24">
        <f>IF($H9="",0,IF($D9="樹林",IF(ISERROR(VLOOKUP($V9,市町村・植物種ごとの樹林点数DB!$A:$F,6,FALSE))=TRUE,20,VLOOKUP($V9,市町村・植物種ごとの樹林点数DB!$A:$F,6,FALSE)),IF($D9="低木・草地",IF(OR($H9="【ススキ】・【ネザサ】・【チガヤ】",$H9="不明"),45,10),0)))</f>
        <v>0</v>
      </c>
      <c r="Y9" s="24">
        <f t="shared" si="4"/>
        <v>0</v>
      </c>
      <c r="Z9" s="24">
        <f t="shared" si="5"/>
        <v>1</v>
      </c>
      <c r="AA9" s="24">
        <f t="shared" si="6"/>
        <v>0</v>
      </c>
      <c r="AB9" s="24">
        <f t="shared" si="7"/>
        <v>1</v>
      </c>
      <c r="AC9" s="25">
        <f t="shared" ref="AC9:AC72" si="23">(X9+Y9)*W9</f>
        <v>0</v>
      </c>
      <c r="AD9" s="25">
        <f t="shared" ref="AD9:AD72" si="24">IF(AC9=45,25*(1-AA9),IF(AC9=40,20*(1-AA9),IF(AC9&gt;=2.5,10*(1-AA9),IF(AC9&gt;0,5*(1-AA9),0))))</f>
        <v>0</v>
      </c>
      <c r="AE9" s="25">
        <f t="shared" ref="AE9:AE72" si="25">IF(W9=1,AB9*Z9*10,0)</f>
        <v>0</v>
      </c>
      <c r="AF9" s="25" t="str">
        <f t="shared" ref="AF9:AF72" si="26">IF($D9="低木・草地",SUM(AC9:AD9),"")</f>
        <v/>
      </c>
      <c r="AG9" s="25" t="str">
        <f t="shared" ref="AG9:AG72" si="27">IF($D9="樹林",SUM(AC9:AE9),"")</f>
        <v/>
      </c>
      <c r="AH9" s="25" t="str">
        <f t="shared" ref="AH9:AH72" si="28">IF($D9="湿性環境",IF(AL9+AM9&lt;60,0,(AL9+AM9)/2-30),"")</f>
        <v/>
      </c>
      <c r="AI9" s="25">
        <f>IF(ISERROR(VLOOKUP($K9,割合DB!$A:$B,2,FALSE))=TRUE,0,VLOOKUP($K9,割合DB!$A:$B,2,FALSE))</f>
        <v>0</v>
      </c>
      <c r="AJ9" s="25">
        <f>IF(ISERROR(VLOOKUP($L9,割合DB!$A:$B,2,FALSE))=TRUE,0,VLOOKUP($L9,割合DB!$A:$B,2,FALSE))</f>
        <v>0</v>
      </c>
      <c r="AK9" s="25">
        <f>IF(ISERROR(VLOOKUP($M9,割合DB!$A:$B,2,FALSE))=TRUE,0,VLOOKUP($M9,割合DB!$A:$B,2,FALSE))</f>
        <v>0</v>
      </c>
      <c r="AL9" s="25">
        <f t="shared" ref="AL9:AL72" si="29">((100-AI9)+(100-AJ9))/2</f>
        <v>100</v>
      </c>
      <c r="AM9" s="18">
        <f t="shared" ref="AM9:AM72" si="30">100-AK9</f>
        <v>100</v>
      </c>
      <c r="AN9" s="18">
        <f t="shared" si="19"/>
        <v>1</v>
      </c>
      <c r="AR9" s="24"/>
      <c r="AS9" s="24"/>
      <c r="AT9" s="24"/>
      <c r="AU9" s="24"/>
      <c r="AV9" s="24"/>
      <c r="AW9" s="24"/>
      <c r="AX9" s="24"/>
      <c r="AY9" s="24"/>
      <c r="AZ9" s="25"/>
      <c r="BA9" s="25"/>
      <c r="BB9" s="25"/>
      <c r="BC9" s="25"/>
      <c r="BD9" s="25"/>
      <c r="BE9" s="25"/>
      <c r="BF9" s="25"/>
      <c r="BG9" s="25"/>
      <c r="BH9" s="25"/>
      <c r="BI9" s="25"/>
    </row>
    <row r="10" spans="1:61" ht="27" customHeight="1" x14ac:dyDescent="0.15">
      <c r="A10" s="30" t="s">
        <v>238</v>
      </c>
      <c r="B10" s="21"/>
      <c r="C10" s="19"/>
      <c r="D10" s="40" t="str">
        <f t="shared" si="20"/>
        <v/>
      </c>
      <c r="E10" s="20"/>
      <c r="F10" s="32"/>
      <c r="G10" s="21"/>
      <c r="H10" s="22"/>
      <c r="I10" s="22"/>
      <c r="J10" s="22"/>
      <c r="K10" s="23"/>
      <c r="L10" s="23"/>
      <c r="M10" s="23"/>
      <c r="N10" s="146"/>
      <c r="O10" s="40">
        <f t="shared" si="21"/>
        <v>0</v>
      </c>
      <c r="P10" s="183" t="str">
        <f t="shared" si="22"/>
        <v/>
      </c>
      <c r="Q10" s="18">
        <f t="shared" si="1"/>
        <v>1</v>
      </c>
      <c r="R10" s="18">
        <f t="shared" si="2"/>
        <v>1</v>
      </c>
      <c r="S10" s="18">
        <f t="shared" si="16"/>
        <v>0</v>
      </c>
      <c r="T10" s="18">
        <f t="shared" si="17"/>
        <v>0</v>
      </c>
      <c r="U10" s="18">
        <f>IF($C10="人工面",0,IF($G10="",70,IF($D10="湿性環境",VLOOKUP($G10,環境タイプⅡによる点数DB!$A:$B,2,FALSE),IF($D10="樹林",VLOOKUP($G10,環境タイプⅡによる点数DB!$A:$C,3,FALSE),IF($D10="低木・草地",VLOOKUP($G10,環境タイプⅡによる点数DB!$A:$D,4,FALSE),0)))))</f>
        <v>70</v>
      </c>
      <c r="V10" s="24" t="str">
        <f>$H10&amp;"in"&amp;基本情報!$C$13</f>
        <v>in</v>
      </c>
      <c r="W10" s="24">
        <f t="shared" si="3"/>
        <v>0</v>
      </c>
      <c r="X10" s="24">
        <f>IF($H10="",0,IF($D10="樹林",IF(ISERROR(VLOOKUP($V10,市町村・植物種ごとの樹林点数DB!$A:$F,6,FALSE))=TRUE,20,VLOOKUP($V10,市町村・植物種ごとの樹林点数DB!$A:$F,6,FALSE)),IF($D10="低木・草地",IF(OR($H10="【ススキ】・【ネザサ】・【チガヤ】",$H10="不明"),45,10),0)))</f>
        <v>0</v>
      </c>
      <c r="Y10" s="24">
        <f t="shared" si="4"/>
        <v>0</v>
      </c>
      <c r="Z10" s="24">
        <f t="shared" si="5"/>
        <v>1</v>
      </c>
      <c r="AA10" s="24">
        <f t="shared" si="6"/>
        <v>0</v>
      </c>
      <c r="AB10" s="24">
        <f t="shared" si="7"/>
        <v>1</v>
      </c>
      <c r="AC10" s="25">
        <f t="shared" si="23"/>
        <v>0</v>
      </c>
      <c r="AD10" s="25">
        <f t="shared" si="24"/>
        <v>0</v>
      </c>
      <c r="AE10" s="25">
        <f t="shared" si="25"/>
        <v>0</v>
      </c>
      <c r="AF10" s="25" t="str">
        <f t="shared" si="26"/>
        <v/>
      </c>
      <c r="AG10" s="25" t="str">
        <f t="shared" si="27"/>
        <v/>
      </c>
      <c r="AH10" s="25" t="str">
        <f t="shared" si="28"/>
        <v/>
      </c>
      <c r="AI10" s="25">
        <f>IF(ISERROR(VLOOKUP($K10,割合DB!$A:$B,2,FALSE))=TRUE,0,VLOOKUP($K10,割合DB!$A:$B,2,FALSE))</f>
        <v>0</v>
      </c>
      <c r="AJ10" s="25">
        <f>IF(ISERROR(VLOOKUP($L10,割合DB!$A:$B,2,FALSE))=TRUE,0,VLOOKUP($L10,割合DB!$A:$B,2,FALSE))</f>
        <v>0</v>
      </c>
      <c r="AK10" s="25">
        <f>IF(ISERROR(VLOOKUP($M10,割合DB!$A:$B,2,FALSE))=TRUE,0,VLOOKUP($M10,割合DB!$A:$B,2,FALSE))</f>
        <v>0</v>
      </c>
      <c r="AL10" s="25">
        <f t="shared" si="29"/>
        <v>100</v>
      </c>
      <c r="AM10" s="18">
        <f t="shared" si="30"/>
        <v>100</v>
      </c>
      <c r="AN10" s="18">
        <f t="shared" si="19"/>
        <v>1</v>
      </c>
      <c r="AR10" s="24"/>
      <c r="AS10" s="24"/>
      <c r="AT10" s="24"/>
      <c r="AU10" s="24"/>
      <c r="AV10" s="24"/>
      <c r="AW10" s="24"/>
      <c r="AX10" s="24"/>
      <c r="AY10" s="24"/>
      <c r="AZ10" s="25"/>
      <c r="BA10" s="25"/>
      <c r="BB10" s="25"/>
      <c r="BC10" s="25"/>
      <c r="BD10" s="25"/>
      <c r="BE10" s="25"/>
      <c r="BF10" s="25"/>
      <c r="BG10" s="25"/>
      <c r="BH10" s="25"/>
      <c r="BI10" s="25"/>
    </row>
    <row r="11" spans="1:61" ht="27" customHeight="1" x14ac:dyDescent="0.15">
      <c r="A11" s="30" t="s">
        <v>239</v>
      </c>
      <c r="B11" s="21"/>
      <c r="C11" s="19"/>
      <c r="D11" s="40" t="str">
        <f t="shared" si="20"/>
        <v/>
      </c>
      <c r="E11" s="20"/>
      <c r="F11" s="32"/>
      <c r="G11" s="21"/>
      <c r="H11" s="22"/>
      <c r="I11" s="22"/>
      <c r="J11" s="22"/>
      <c r="K11" s="23"/>
      <c r="L11" s="23"/>
      <c r="M11" s="23"/>
      <c r="N11" s="146"/>
      <c r="O11" s="40">
        <f t="shared" si="21"/>
        <v>0</v>
      </c>
      <c r="P11" s="183" t="str">
        <f t="shared" si="22"/>
        <v/>
      </c>
      <c r="Q11" s="18">
        <f t="shared" si="1"/>
        <v>1</v>
      </c>
      <c r="R11" s="18">
        <f t="shared" si="2"/>
        <v>1</v>
      </c>
      <c r="S11" s="18">
        <f t="shared" si="16"/>
        <v>0</v>
      </c>
      <c r="T11" s="18">
        <f t="shared" si="17"/>
        <v>0</v>
      </c>
      <c r="U11" s="18">
        <f>IF($C11="人工面",0,IF($G11="",70,IF($D11="湿性環境",VLOOKUP($G11,環境タイプⅡによる点数DB!$A:$B,2,FALSE),IF($D11="樹林",VLOOKUP($G11,環境タイプⅡによる点数DB!$A:$C,3,FALSE),IF($D11="低木・草地",VLOOKUP($G11,環境タイプⅡによる点数DB!$A:$D,4,FALSE),0)))))</f>
        <v>70</v>
      </c>
      <c r="V11" s="24" t="str">
        <f>$H11&amp;"in"&amp;基本情報!$C$13</f>
        <v>in</v>
      </c>
      <c r="W11" s="24">
        <f t="shared" si="3"/>
        <v>0</v>
      </c>
      <c r="X11" s="24">
        <f>IF($H11="",0,IF($D11="樹林",IF(ISERROR(VLOOKUP($V11,市町村・植物種ごとの樹林点数DB!$A:$F,6,FALSE))=TRUE,20,VLOOKUP($V11,市町村・植物種ごとの樹林点数DB!$A:$F,6,FALSE)),IF($D11="低木・草地",IF(OR($H11="【ススキ】・【ネザサ】・【チガヤ】",$H11="不明"),45,10),0)))</f>
        <v>0</v>
      </c>
      <c r="Y11" s="24">
        <f t="shared" si="4"/>
        <v>0</v>
      </c>
      <c r="Z11" s="24">
        <f t="shared" si="5"/>
        <v>1</v>
      </c>
      <c r="AA11" s="24">
        <f t="shared" si="6"/>
        <v>0</v>
      </c>
      <c r="AB11" s="24">
        <f t="shared" si="7"/>
        <v>1</v>
      </c>
      <c r="AC11" s="25">
        <f t="shared" si="23"/>
        <v>0</v>
      </c>
      <c r="AD11" s="25">
        <f t="shared" si="24"/>
        <v>0</v>
      </c>
      <c r="AE11" s="25">
        <f t="shared" si="25"/>
        <v>0</v>
      </c>
      <c r="AF11" s="25" t="str">
        <f t="shared" si="26"/>
        <v/>
      </c>
      <c r="AG11" s="25" t="str">
        <f t="shared" si="27"/>
        <v/>
      </c>
      <c r="AH11" s="25" t="str">
        <f t="shared" si="28"/>
        <v/>
      </c>
      <c r="AI11" s="25">
        <f>IF(ISERROR(VLOOKUP($K11,割合DB!$A:$B,2,FALSE))=TRUE,0,VLOOKUP($K11,割合DB!$A:$B,2,FALSE))</f>
        <v>0</v>
      </c>
      <c r="AJ11" s="25">
        <f>IF(ISERROR(VLOOKUP($L11,割合DB!$A:$B,2,FALSE))=TRUE,0,VLOOKUP($L11,割合DB!$A:$B,2,FALSE))</f>
        <v>0</v>
      </c>
      <c r="AK11" s="25">
        <f>IF(ISERROR(VLOOKUP($M11,割合DB!$A:$B,2,FALSE))=TRUE,0,VLOOKUP($M11,割合DB!$A:$B,2,FALSE))</f>
        <v>0</v>
      </c>
      <c r="AL11" s="25">
        <f t="shared" si="29"/>
        <v>100</v>
      </c>
      <c r="AM11" s="18">
        <f t="shared" si="30"/>
        <v>100</v>
      </c>
      <c r="AN11" s="18">
        <f t="shared" si="19"/>
        <v>1</v>
      </c>
      <c r="AR11" s="24"/>
      <c r="AS11" s="24"/>
      <c r="AT11" s="24"/>
      <c r="AU11" s="24"/>
      <c r="AV11" s="24"/>
      <c r="AW11" s="24"/>
      <c r="AX11" s="24"/>
      <c r="AY11" s="24"/>
      <c r="AZ11" s="25"/>
      <c r="BA11" s="25"/>
      <c r="BB11" s="25"/>
      <c r="BC11" s="25"/>
      <c r="BD11" s="25"/>
      <c r="BE11" s="25"/>
      <c r="BF11" s="25"/>
      <c r="BG11" s="25"/>
      <c r="BH11" s="25"/>
      <c r="BI11" s="25"/>
    </row>
    <row r="12" spans="1:61" ht="27" customHeight="1" x14ac:dyDescent="0.15">
      <c r="A12" s="30" t="s">
        <v>440</v>
      </c>
      <c r="B12" s="21"/>
      <c r="C12" s="19"/>
      <c r="D12" s="40" t="str">
        <f t="shared" si="20"/>
        <v/>
      </c>
      <c r="E12" s="20"/>
      <c r="F12" s="32"/>
      <c r="G12" s="21"/>
      <c r="H12" s="22"/>
      <c r="I12" s="22"/>
      <c r="J12" s="22"/>
      <c r="K12" s="23"/>
      <c r="L12" s="23"/>
      <c r="M12" s="23"/>
      <c r="N12" s="146"/>
      <c r="O12" s="40">
        <f t="shared" si="21"/>
        <v>0</v>
      </c>
      <c r="P12" s="183" t="str">
        <f t="shared" si="22"/>
        <v/>
      </c>
      <c r="Q12" s="18">
        <f t="shared" si="1"/>
        <v>1</v>
      </c>
      <c r="R12" s="18">
        <f t="shared" si="2"/>
        <v>1</v>
      </c>
      <c r="S12" s="18">
        <f t="shared" si="16"/>
        <v>0</v>
      </c>
      <c r="T12" s="18">
        <f t="shared" si="17"/>
        <v>0</v>
      </c>
      <c r="U12" s="18">
        <f>IF($C12="人工面",0,IF($G12="",70,IF($D12="湿性環境",VLOOKUP($G12,環境タイプⅡによる点数DB!$A:$B,2,FALSE),IF($D12="樹林",VLOOKUP($G12,環境タイプⅡによる点数DB!$A:$C,3,FALSE),IF($D12="低木・草地",VLOOKUP($G12,環境タイプⅡによる点数DB!$A:$D,4,FALSE),0)))))</f>
        <v>70</v>
      </c>
      <c r="V12" s="24" t="str">
        <f>$H12&amp;"in"&amp;基本情報!$C$13</f>
        <v>in</v>
      </c>
      <c r="W12" s="24">
        <f t="shared" si="3"/>
        <v>0</v>
      </c>
      <c r="X12" s="24">
        <f>IF($H12="",0,IF($D12="樹林",IF(ISERROR(VLOOKUP($V12,市町村・植物種ごとの樹林点数DB!$A:$F,6,FALSE))=TRUE,20,VLOOKUP($V12,市町村・植物種ごとの樹林点数DB!$A:$F,6,FALSE)),IF($D12="低木・草地",IF(OR($H12="【ススキ】・【ネザサ】・【チガヤ】",$H12="不明"),45,10),0)))</f>
        <v>0</v>
      </c>
      <c r="Y12" s="24">
        <f t="shared" si="4"/>
        <v>0</v>
      </c>
      <c r="Z12" s="24">
        <f t="shared" si="5"/>
        <v>1</v>
      </c>
      <c r="AA12" s="24">
        <f t="shared" si="6"/>
        <v>0</v>
      </c>
      <c r="AB12" s="24">
        <f t="shared" si="7"/>
        <v>1</v>
      </c>
      <c r="AC12" s="25">
        <f t="shared" si="23"/>
        <v>0</v>
      </c>
      <c r="AD12" s="25">
        <f t="shared" si="24"/>
        <v>0</v>
      </c>
      <c r="AE12" s="25">
        <f t="shared" si="25"/>
        <v>0</v>
      </c>
      <c r="AF12" s="25" t="str">
        <f t="shared" si="26"/>
        <v/>
      </c>
      <c r="AG12" s="25" t="str">
        <f t="shared" si="27"/>
        <v/>
      </c>
      <c r="AH12" s="25" t="str">
        <f t="shared" si="28"/>
        <v/>
      </c>
      <c r="AI12" s="25">
        <f>IF(ISERROR(VLOOKUP($K12,割合DB!$A:$B,2,FALSE))=TRUE,0,VLOOKUP($K12,割合DB!$A:$B,2,FALSE))</f>
        <v>0</v>
      </c>
      <c r="AJ12" s="25">
        <f>IF(ISERROR(VLOOKUP($L12,割合DB!$A:$B,2,FALSE))=TRUE,0,VLOOKUP($L12,割合DB!$A:$B,2,FALSE))</f>
        <v>0</v>
      </c>
      <c r="AK12" s="25">
        <f>IF(ISERROR(VLOOKUP($M12,割合DB!$A:$B,2,FALSE))=TRUE,0,VLOOKUP($M12,割合DB!$A:$B,2,FALSE))</f>
        <v>0</v>
      </c>
      <c r="AL12" s="25">
        <f t="shared" si="29"/>
        <v>100</v>
      </c>
      <c r="AM12" s="18">
        <f t="shared" si="30"/>
        <v>100</v>
      </c>
      <c r="AN12" s="18">
        <f t="shared" si="19"/>
        <v>1</v>
      </c>
      <c r="AR12" s="24"/>
      <c r="AS12" s="24"/>
      <c r="AT12" s="24"/>
      <c r="AU12" s="24"/>
      <c r="AV12" s="24"/>
      <c r="AW12" s="24"/>
      <c r="AX12" s="24"/>
      <c r="AY12" s="24"/>
      <c r="AZ12" s="25"/>
      <c r="BA12" s="25"/>
      <c r="BB12" s="25"/>
      <c r="BC12" s="25"/>
      <c r="BD12" s="25"/>
      <c r="BE12" s="25"/>
      <c r="BF12" s="25"/>
      <c r="BG12" s="25"/>
      <c r="BH12" s="25"/>
      <c r="BI12" s="25"/>
    </row>
    <row r="13" spans="1:61" ht="27" customHeight="1" x14ac:dyDescent="0.15">
      <c r="A13" s="30" t="s">
        <v>441</v>
      </c>
      <c r="B13" s="21"/>
      <c r="C13" s="19"/>
      <c r="D13" s="40" t="str">
        <f t="shared" si="20"/>
        <v/>
      </c>
      <c r="E13" s="20"/>
      <c r="F13" s="32"/>
      <c r="G13" s="21"/>
      <c r="H13" s="22"/>
      <c r="I13" s="22"/>
      <c r="J13" s="22"/>
      <c r="K13" s="23"/>
      <c r="L13" s="23"/>
      <c r="M13" s="23"/>
      <c r="N13" s="146"/>
      <c r="O13" s="40">
        <f t="shared" si="21"/>
        <v>0</v>
      </c>
      <c r="P13" s="183" t="str">
        <f t="shared" si="22"/>
        <v/>
      </c>
      <c r="Q13" s="18">
        <f t="shared" si="1"/>
        <v>1</v>
      </c>
      <c r="R13" s="18">
        <f t="shared" si="2"/>
        <v>1</v>
      </c>
      <c r="S13" s="18">
        <f t="shared" si="16"/>
        <v>0</v>
      </c>
      <c r="T13" s="18">
        <f t="shared" si="17"/>
        <v>0</v>
      </c>
      <c r="U13" s="18">
        <f>IF($C13="人工面",0,IF($G13="",70,IF($D13="湿性環境",VLOOKUP($G13,環境タイプⅡによる点数DB!$A:$B,2,FALSE),IF($D13="樹林",VLOOKUP($G13,環境タイプⅡによる点数DB!$A:$C,3,FALSE),IF($D13="低木・草地",VLOOKUP($G13,環境タイプⅡによる点数DB!$A:$D,4,FALSE),0)))))</f>
        <v>70</v>
      </c>
      <c r="V13" s="24" t="str">
        <f>$H13&amp;"in"&amp;基本情報!$C$13</f>
        <v>in</v>
      </c>
      <c r="W13" s="24">
        <f t="shared" si="3"/>
        <v>0</v>
      </c>
      <c r="X13" s="24">
        <f>IF($H13="",0,IF($D13="樹林",IF(ISERROR(VLOOKUP($V13,市町村・植物種ごとの樹林点数DB!$A:$F,6,FALSE))=TRUE,20,VLOOKUP($V13,市町村・植物種ごとの樹林点数DB!$A:$F,6,FALSE)),IF($D13="低木・草地",IF(OR($H13="【ススキ】・【ネザサ】・【チガヤ】",$H13="不明"),45,10),0)))</f>
        <v>0</v>
      </c>
      <c r="Y13" s="24">
        <f t="shared" si="4"/>
        <v>0</v>
      </c>
      <c r="Z13" s="24">
        <f t="shared" si="5"/>
        <v>1</v>
      </c>
      <c r="AA13" s="24">
        <f t="shared" si="6"/>
        <v>0</v>
      </c>
      <c r="AB13" s="24">
        <f t="shared" si="7"/>
        <v>1</v>
      </c>
      <c r="AC13" s="25">
        <f t="shared" si="23"/>
        <v>0</v>
      </c>
      <c r="AD13" s="25">
        <f t="shared" si="24"/>
        <v>0</v>
      </c>
      <c r="AE13" s="25">
        <f t="shared" si="25"/>
        <v>0</v>
      </c>
      <c r="AF13" s="25" t="str">
        <f t="shared" si="26"/>
        <v/>
      </c>
      <c r="AG13" s="25" t="str">
        <f t="shared" si="27"/>
        <v/>
      </c>
      <c r="AH13" s="25" t="str">
        <f t="shared" si="28"/>
        <v/>
      </c>
      <c r="AI13" s="25">
        <f>IF(ISERROR(VLOOKUP($K13,割合DB!$A:$B,2,FALSE))=TRUE,0,VLOOKUP($K13,割合DB!$A:$B,2,FALSE))</f>
        <v>0</v>
      </c>
      <c r="AJ13" s="25">
        <f>IF(ISERROR(VLOOKUP($L13,割合DB!$A:$B,2,FALSE))=TRUE,0,VLOOKUP($L13,割合DB!$A:$B,2,FALSE))</f>
        <v>0</v>
      </c>
      <c r="AK13" s="25">
        <f>IF(ISERROR(VLOOKUP($M13,割合DB!$A:$B,2,FALSE))=TRUE,0,VLOOKUP($M13,割合DB!$A:$B,2,FALSE))</f>
        <v>0</v>
      </c>
      <c r="AL13" s="25">
        <f t="shared" si="29"/>
        <v>100</v>
      </c>
      <c r="AM13" s="18">
        <f t="shared" si="30"/>
        <v>100</v>
      </c>
      <c r="AN13" s="18">
        <f t="shared" si="19"/>
        <v>1</v>
      </c>
      <c r="AR13" s="24"/>
      <c r="AS13" s="24"/>
      <c r="AT13" s="24"/>
      <c r="AU13" s="24"/>
      <c r="AV13" s="24"/>
      <c r="AW13" s="24"/>
      <c r="AX13" s="24"/>
      <c r="AY13" s="24"/>
      <c r="AZ13" s="25"/>
      <c r="BA13" s="25"/>
      <c r="BB13" s="25"/>
      <c r="BC13" s="25"/>
      <c r="BD13" s="25"/>
      <c r="BE13" s="25"/>
      <c r="BF13" s="25"/>
      <c r="BG13" s="25"/>
      <c r="BH13" s="25"/>
      <c r="BI13" s="25"/>
    </row>
    <row r="14" spans="1:61" ht="27" customHeight="1" x14ac:dyDescent="0.15">
      <c r="A14" s="30" t="s">
        <v>442</v>
      </c>
      <c r="B14" s="21"/>
      <c r="C14" s="19"/>
      <c r="D14" s="40" t="str">
        <f t="shared" si="20"/>
        <v/>
      </c>
      <c r="E14" s="20"/>
      <c r="F14" s="32"/>
      <c r="G14" s="21"/>
      <c r="H14" s="22"/>
      <c r="I14" s="22"/>
      <c r="J14" s="22"/>
      <c r="K14" s="23"/>
      <c r="L14" s="23"/>
      <c r="M14" s="23"/>
      <c r="N14" s="146"/>
      <c r="O14" s="40">
        <f t="shared" si="21"/>
        <v>0</v>
      </c>
      <c r="P14" s="183" t="str">
        <f t="shared" si="22"/>
        <v/>
      </c>
      <c r="Q14" s="18">
        <f t="shared" si="1"/>
        <v>1</v>
      </c>
      <c r="R14" s="18">
        <f t="shared" si="2"/>
        <v>1</v>
      </c>
      <c r="S14" s="18">
        <f t="shared" si="16"/>
        <v>0</v>
      </c>
      <c r="T14" s="18">
        <f t="shared" si="17"/>
        <v>0</v>
      </c>
      <c r="U14" s="18">
        <f>IF($C14="人工面",0,IF($G14="",70,IF($D14="湿性環境",VLOOKUP($G14,環境タイプⅡによる点数DB!$A:$B,2,FALSE),IF($D14="樹林",VLOOKUP($G14,環境タイプⅡによる点数DB!$A:$C,3,FALSE),IF($D14="低木・草地",VLOOKUP($G14,環境タイプⅡによる点数DB!$A:$D,4,FALSE),0)))))</f>
        <v>70</v>
      </c>
      <c r="V14" s="24" t="str">
        <f>$H14&amp;"in"&amp;基本情報!$C$13</f>
        <v>in</v>
      </c>
      <c r="W14" s="24">
        <f t="shared" si="3"/>
        <v>0</v>
      </c>
      <c r="X14" s="24">
        <f>IF($H14="",0,IF($D14="樹林",IF(ISERROR(VLOOKUP($V14,市町村・植物種ごとの樹林点数DB!$A:$F,6,FALSE))=TRUE,20,VLOOKUP($V14,市町村・植物種ごとの樹林点数DB!$A:$F,6,FALSE)),IF($D14="低木・草地",IF(OR($H14="【ススキ】・【ネザサ】・【チガヤ】",$H14="不明"),45,10),0)))</f>
        <v>0</v>
      </c>
      <c r="Y14" s="24">
        <f t="shared" si="4"/>
        <v>0</v>
      </c>
      <c r="Z14" s="24">
        <f t="shared" si="5"/>
        <v>1</v>
      </c>
      <c r="AA14" s="24">
        <f t="shared" si="6"/>
        <v>0</v>
      </c>
      <c r="AB14" s="24">
        <f t="shared" si="7"/>
        <v>1</v>
      </c>
      <c r="AC14" s="25">
        <f t="shared" si="23"/>
        <v>0</v>
      </c>
      <c r="AD14" s="25">
        <f t="shared" si="24"/>
        <v>0</v>
      </c>
      <c r="AE14" s="25">
        <f t="shared" si="25"/>
        <v>0</v>
      </c>
      <c r="AF14" s="25" t="str">
        <f t="shared" si="26"/>
        <v/>
      </c>
      <c r="AG14" s="25" t="str">
        <f t="shared" si="27"/>
        <v/>
      </c>
      <c r="AH14" s="25" t="str">
        <f t="shared" si="28"/>
        <v/>
      </c>
      <c r="AI14" s="25">
        <f>IF(ISERROR(VLOOKUP($K14,割合DB!$A:$B,2,FALSE))=TRUE,0,VLOOKUP($K14,割合DB!$A:$B,2,FALSE))</f>
        <v>0</v>
      </c>
      <c r="AJ14" s="25">
        <f>IF(ISERROR(VLOOKUP($L14,割合DB!$A:$B,2,FALSE))=TRUE,0,VLOOKUP($L14,割合DB!$A:$B,2,FALSE))</f>
        <v>0</v>
      </c>
      <c r="AK14" s="25">
        <f>IF(ISERROR(VLOOKUP($M14,割合DB!$A:$B,2,FALSE))=TRUE,0,VLOOKUP($M14,割合DB!$A:$B,2,FALSE))</f>
        <v>0</v>
      </c>
      <c r="AL14" s="25">
        <f t="shared" si="29"/>
        <v>100</v>
      </c>
      <c r="AM14" s="18">
        <f t="shared" si="30"/>
        <v>100</v>
      </c>
      <c r="AN14" s="18">
        <f t="shared" si="19"/>
        <v>1</v>
      </c>
      <c r="AR14" s="24"/>
      <c r="AS14" s="24"/>
      <c r="AT14" s="24"/>
      <c r="AU14" s="24"/>
      <c r="AV14" s="24"/>
      <c r="AW14" s="24"/>
      <c r="AX14" s="24"/>
      <c r="AY14" s="24"/>
      <c r="AZ14" s="25"/>
      <c r="BA14" s="25"/>
      <c r="BB14" s="25"/>
      <c r="BC14" s="25"/>
      <c r="BD14" s="25"/>
      <c r="BE14" s="25"/>
      <c r="BF14" s="25"/>
      <c r="BG14" s="25"/>
      <c r="BH14" s="25"/>
      <c r="BI14" s="25"/>
    </row>
    <row r="15" spans="1:61" ht="27" customHeight="1" x14ac:dyDescent="0.15">
      <c r="A15" s="30" t="s">
        <v>443</v>
      </c>
      <c r="B15" s="21"/>
      <c r="C15" s="19"/>
      <c r="D15" s="40" t="str">
        <f t="shared" si="20"/>
        <v/>
      </c>
      <c r="E15" s="20"/>
      <c r="F15" s="32"/>
      <c r="G15" s="21"/>
      <c r="H15" s="22"/>
      <c r="I15" s="22"/>
      <c r="J15" s="22"/>
      <c r="K15" s="23"/>
      <c r="L15" s="23"/>
      <c r="M15" s="23"/>
      <c r="N15" s="146"/>
      <c r="O15" s="40">
        <f t="shared" si="21"/>
        <v>0</v>
      </c>
      <c r="P15" s="183" t="str">
        <f t="shared" si="22"/>
        <v/>
      </c>
      <c r="Q15" s="18">
        <f t="shared" si="1"/>
        <v>1</v>
      </c>
      <c r="R15" s="18">
        <f t="shared" si="2"/>
        <v>1</v>
      </c>
      <c r="S15" s="18">
        <f t="shared" si="16"/>
        <v>0</v>
      </c>
      <c r="T15" s="18">
        <f t="shared" si="17"/>
        <v>0</v>
      </c>
      <c r="U15" s="18">
        <f>IF($C15="人工面",0,IF($G15="",70,IF($D15="湿性環境",VLOOKUP($G15,環境タイプⅡによる点数DB!$A:$B,2,FALSE),IF($D15="樹林",VLOOKUP($G15,環境タイプⅡによる点数DB!$A:$C,3,FALSE),IF($D15="低木・草地",VLOOKUP($G15,環境タイプⅡによる点数DB!$A:$D,4,FALSE),0)))))</f>
        <v>70</v>
      </c>
      <c r="V15" s="24" t="str">
        <f>$H15&amp;"in"&amp;基本情報!$C$13</f>
        <v>in</v>
      </c>
      <c r="W15" s="24">
        <f t="shared" si="3"/>
        <v>0</v>
      </c>
      <c r="X15" s="24">
        <f>IF($H15="",0,IF($D15="樹林",IF(ISERROR(VLOOKUP($V15,市町村・植物種ごとの樹林点数DB!$A:$F,6,FALSE))=TRUE,20,VLOOKUP($V15,市町村・植物種ごとの樹林点数DB!$A:$F,6,FALSE)),IF($D15="低木・草地",IF(OR($H15="【ススキ】・【ネザサ】・【チガヤ】",$H15="不明"),45,10),0)))</f>
        <v>0</v>
      </c>
      <c r="Y15" s="24">
        <f t="shared" si="4"/>
        <v>0</v>
      </c>
      <c r="Z15" s="24">
        <f t="shared" si="5"/>
        <v>1</v>
      </c>
      <c r="AA15" s="24">
        <f t="shared" si="6"/>
        <v>0</v>
      </c>
      <c r="AB15" s="24">
        <f t="shared" si="7"/>
        <v>1</v>
      </c>
      <c r="AC15" s="25">
        <f t="shared" si="23"/>
        <v>0</v>
      </c>
      <c r="AD15" s="25">
        <f t="shared" si="24"/>
        <v>0</v>
      </c>
      <c r="AE15" s="25">
        <f t="shared" si="25"/>
        <v>0</v>
      </c>
      <c r="AF15" s="25" t="str">
        <f t="shared" si="26"/>
        <v/>
      </c>
      <c r="AG15" s="25" t="str">
        <f t="shared" si="27"/>
        <v/>
      </c>
      <c r="AH15" s="25" t="str">
        <f t="shared" si="28"/>
        <v/>
      </c>
      <c r="AI15" s="25">
        <f>IF(ISERROR(VLOOKUP($K15,割合DB!$A:$B,2,FALSE))=TRUE,0,VLOOKUP($K15,割合DB!$A:$B,2,FALSE))</f>
        <v>0</v>
      </c>
      <c r="AJ15" s="25">
        <f>IF(ISERROR(VLOOKUP($L15,割合DB!$A:$B,2,FALSE))=TRUE,0,VLOOKUP($L15,割合DB!$A:$B,2,FALSE))</f>
        <v>0</v>
      </c>
      <c r="AK15" s="25">
        <f>IF(ISERROR(VLOOKUP($M15,割合DB!$A:$B,2,FALSE))=TRUE,0,VLOOKUP($M15,割合DB!$A:$B,2,FALSE))</f>
        <v>0</v>
      </c>
      <c r="AL15" s="25">
        <f t="shared" si="29"/>
        <v>100</v>
      </c>
      <c r="AM15" s="18">
        <f t="shared" si="30"/>
        <v>100</v>
      </c>
      <c r="AN15" s="18">
        <f t="shared" si="19"/>
        <v>1</v>
      </c>
      <c r="AR15" s="24"/>
      <c r="AS15" s="24"/>
      <c r="AT15" s="24"/>
      <c r="AU15" s="24"/>
      <c r="AV15" s="24"/>
      <c r="AW15" s="24"/>
      <c r="AX15" s="24"/>
      <c r="AY15" s="24"/>
      <c r="AZ15" s="25"/>
      <c r="BA15" s="25"/>
      <c r="BB15" s="25"/>
      <c r="BC15" s="25"/>
      <c r="BD15" s="25"/>
      <c r="BE15" s="25"/>
      <c r="BF15" s="25"/>
      <c r="BG15" s="25"/>
      <c r="BH15" s="25"/>
      <c r="BI15" s="25"/>
    </row>
    <row r="16" spans="1:61" ht="27" customHeight="1" x14ac:dyDescent="0.15">
      <c r="A16" s="30" t="s">
        <v>444</v>
      </c>
      <c r="B16" s="21"/>
      <c r="C16" s="19"/>
      <c r="D16" s="40" t="str">
        <f t="shared" si="20"/>
        <v/>
      </c>
      <c r="E16" s="20"/>
      <c r="F16" s="32"/>
      <c r="G16" s="21"/>
      <c r="H16" s="22"/>
      <c r="I16" s="22"/>
      <c r="J16" s="22"/>
      <c r="K16" s="23"/>
      <c r="L16" s="23"/>
      <c r="M16" s="23"/>
      <c r="N16" s="146"/>
      <c r="O16" s="40">
        <f t="shared" si="21"/>
        <v>0</v>
      </c>
      <c r="P16" s="183" t="str">
        <f t="shared" si="22"/>
        <v/>
      </c>
      <c r="Q16" s="18">
        <f t="shared" si="1"/>
        <v>1</v>
      </c>
      <c r="R16" s="18">
        <f t="shared" si="2"/>
        <v>1</v>
      </c>
      <c r="S16" s="18">
        <f t="shared" si="16"/>
        <v>0</v>
      </c>
      <c r="T16" s="18">
        <f t="shared" si="17"/>
        <v>0</v>
      </c>
      <c r="U16" s="18">
        <f>IF($C16="人工面",0,IF($G16="",70,IF($D16="湿性環境",VLOOKUP($G16,環境タイプⅡによる点数DB!$A:$B,2,FALSE),IF($D16="樹林",VLOOKUP($G16,環境タイプⅡによる点数DB!$A:$C,3,FALSE),IF($D16="低木・草地",VLOOKUP($G16,環境タイプⅡによる点数DB!$A:$D,4,FALSE),0)))))</f>
        <v>70</v>
      </c>
      <c r="V16" s="24" t="str">
        <f>$H16&amp;"in"&amp;基本情報!$C$13</f>
        <v>in</v>
      </c>
      <c r="W16" s="24">
        <f t="shared" si="3"/>
        <v>0</v>
      </c>
      <c r="X16" s="24">
        <f>IF($H16="",0,IF($D16="樹林",IF(ISERROR(VLOOKUP($V16,市町村・植物種ごとの樹林点数DB!$A:$F,6,FALSE))=TRUE,20,VLOOKUP($V16,市町村・植物種ごとの樹林点数DB!$A:$F,6,FALSE)),IF($D16="低木・草地",IF(OR($H16="【ススキ】・【ネザサ】・【チガヤ】",$H16="不明"),45,10),0)))</f>
        <v>0</v>
      </c>
      <c r="Y16" s="24">
        <f t="shared" si="4"/>
        <v>0</v>
      </c>
      <c r="Z16" s="24">
        <f t="shared" si="5"/>
        <v>1</v>
      </c>
      <c r="AA16" s="24">
        <f t="shared" si="6"/>
        <v>0</v>
      </c>
      <c r="AB16" s="24">
        <f t="shared" si="7"/>
        <v>1</v>
      </c>
      <c r="AC16" s="25">
        <f t="shared" si="23"/>
        <v>0</v>
      </c>
      <c r="AD16" s="25">
        <f t="shared" si="24"/>
        <v>0</v>
      </c>
      <c r="AE16" s="25">
        <f t="shared" si="25"/>
        <v>0</v>
      </c>
      <c r="AF16" s="25" t="str">
        <f t="shared" si="26"/>
        <v/>
      </c>
      <c r="AG16" s="25" t="str">
        <f t="shared" si="27"/>
        <v/>
      </c>
      <c r="AH16" s="25" t="str">
        <f t="shared" si="28"/>
        <v/>
      </c>
      <c r="AI16" s="25">
        <f>IF(ISERROR(VLOOKUP($K16,割合DB!$A:$B,2,FALSE))=TRUE,0,VLOOKUP($K16,割合DB!$A:$B,2,FALSE))</f>
        <v>0</v>
      </c>
      <c r="AJ16" s="25">
        <f>IF(ISERROR(VLOOKUP($L16,割合DB!$A:$B,2,FALSE))=TRUE,0,VLOOKUP($L16,割合DB!$A:$B,2,FALSE))</f>
        <v>0</v>
      </c>
      <c r="AK16" s="25">
        <f>IF(ISERROR(VLOOKUP($M16,割合DB!$A:$B,2,FALSE))=TRUE,0,VLOOKUP($M16,割合DB!$A:$B,2,FALSE))</f>
        <v>0</v>
      </c>
      <c r="AL16" s="25">
        <f t="shared" si="29"/>
        <v>100</v>
      </c>
      <c r="AM16" s="18">
        <f t="shared" si="30"/>
        <v>100</v>
      </c>
      <c r="AN16" s="18">
        <f t="shared" si="19"/>
        <v>1</v>
      </c>
      <c r="AR16" s="24"/>
      <c r="AS16" s="24"/>
      <c r="AT16" s="24"/>
      <c r="AU16" s="24"/>
      <c r="AV16" s="24"/>
      <c r="AW16" s="24"/>
      <c r="AX16" s="24"/>
      <c r="AY16" s="24"/>
      <c r="AZ16" s="25"/>
      <c r="BA16" s="25"/>
      <c r="BB16" s="25"/>
      <c r="BC16" s="25"/>
      <c r="BD16" s="25"/>
      <c r="BE16" s="25"/>
      <c r="BF16" s="25"/>
      <c r="BG16" s="25"/>
      <c r="BH16" s="25"/>
      <c r="BI16" s="25"/>
    </row>
    <row r="17" spans="1:61" ht="27" customHeight="1" x14ac:dyDescent="0.15">
      <c r="A17" s="30" t="s">
        <v>445</v>
      </c>
      <c r="B17" s="21"/>
      <c r="C17" s="19"/>
      <c r="D17" s="40" t="str">
        <f t="shared" si="20"/>
        <v/>
      </c>
      <c r="E17" s="20"/>
      <c r="F17" s="32"/>
      <c r="G17" s="21"/>
      <c r="H17" s="22"/>
      <c r="I17" s="22"/>
      <c r="J17" s="22"/>
      <c r="K17" s="23"/>
      <c r="L17" s="23"/>
      <c r="M17" s="23"/>
      <c r="N17" s="146"/>
      <c r="O17" s="40">
        <f t="shared" si="21"/>
        <v>0</v>
      </c>
      <c r="P17" s="183" t="str">
        <f t="shared" si="22"/>
        <v/>
      </c>
      <c r="Q17" s="18">
        <f t="shared" si="1"/>
        <v>1</v>
      </c>
      <c r="R17" s="18">
        <f t="shared" si="2"/>
        <v>1</v>
      </c>
      <c r="S17" s="18">
        <f t="shared" si="16"/>
        <v>0</v>
      </c>
      <c r="T17" s="18">
        <f t="shared" si="17"/>
        <v>0</v>
      </c>
      <c r="U17" s="18">
        <f>IF($C17="人工面",0,IF($G17="",70,IF($D17="湿性環境",VLOOKUP($G17,環境タイプⅡによる点数DB!$A:$B,2,FALSE),IF($D17="樹林",VLOOKUP($G17,環境タイプⅡによる点数DB!$A:$C,3,FALSE),IF($D17="低木・草地",VLOOKUP($G17,環境タイプⅡによる点数DB!$A:$D,4,FALSE),0)))))</f>
        <v>70</v>
      </c>
      <c r="V17" s="24" t="str">
        <f>$H17&amp;"in"&amp;基本情報!$C$13</f>
        <v>in</v>
      </c>
      <c r="W17" s="24">
        <f t="shared" si="3"/>
        <v>0</v>
      </c>
      <c r="X17" s="24">
        <f>IF($H17="",0,IF($D17="樹林",IF(ISERROR(VLOOKUP($V17,市町村・植物種ごとの樹林点数DB!$A:$F,6,FALSE))=TRUE,20,VLOOKUP($V17,市町村・植物種ごとの樹林点数DB!$A:$F,6,FALSE)),IF($D17="低木・草地",IF(OR($H17="【ススキ】・【ネザサ】・【チガヤ】",$H17="不明"),45,10),0)))</f>
        <v>0</v>
      </c>
      <c r="Y17" s="24">
        <f t="shared" si="4"/>
        <v>0</v>
      </c>
      <c r="Z17" s="24">
        <f t="shared" si="5"/>
        <v>1</v>
      </c>
      <c r="AA17" s="24">
        <f t="shared" si="6"/>
        <v>0</v>
      </c>
      <c r="AB17" s="24">
        <f t="shared" si="7"/>
        <v>1</v>
      </c>
      <c r="AC17" s="25">
        <f t="shared" si="23"/>
        <v>0</v>
      </c>
      <c r="AD17" s="25">
        <f t="shared" si="24"/>
        <v>0</v>
      </c>
      <c r="AE17" s="25">
        <f t="shared" si="25"/>
        <v>0</v>
      </c>
      <c r="AF17" s="25" t="str">
        <f t="shared" si="26"/>
        <v/>
      </c>
      <c r="AG17" s="25" t="str">
        <f t="shared" si="27"/>
        <v/>
      </c>
      <c r="AH17" s="25" t="str">
        <f t="shared" si="28"/>
        <v/>
      </c>
      <c r="AI17" s="25">
        <f>IF(ISERROR(VLOOKUP($K17,割合DB!$A:$B,2,FALSE))=TRUE,0,VLOOKUP($K17,割合DB!$A:$B,2,FALSE))</f>
        <v>0</v>
      </c>
      <c r="AJ17" s="25">
        <f>IF(ISERROR(VLOOKUP($L17,割合DB!$A:$B,2,FALSE))=TRUE,0,VLOOKUP($L17,割合DB!$A:$B,2,FALSE))</f>
        <v>0</v>
      </c>
      <c r="AK17" s="25">
        <f>IF(ISERROR(VLOOKUP($M17,割合DB!$A:$B,2,FALSE))=TRUE,0,VLOOKUP($M17,割合DB!$A:$B,2,FALSE))</f>
        <v>0</v>
      </c>
      <c r="AL17" s="25">
        <f t="shared" si="29"/>
        <v>100</v>
      </c>
      <c r="AM17" s="18">
        <f t="shared" si="30"/>
        <v>100</v>
      </c>
      <c r="AN17" s="18">
        <f t="shared" si="19"/>
        <v>1</v>
      </c>
      <c r="AR17" s="24"/>
      <c r="AS17" s="24"/>
      <c r="AT17" s="24"/>
      <c r="AU17" s="24"/>
      <c r="AV17" s="24"/>
      <c r="AW17" s="24"/>
      <c r="AX17" s="24"/>
      <c r="AY17" s="24"/>
      <c r="AZ17" s="25"/>
      <c r="BA17" s="25"/>
      <c r="BB17" s="25"/>
      <c r="BC17" s="25"/>
      <c r="BD17" s="25"/>
      <c r="BE17" s="25"/>
      <c r="BF17" s="25"/>
      <c r="BG17" s="25"/>
      <c r="BH17" s="25"/>
      <c r="BI17" s="25"/>
    </row>
    <row r="18" spans="1:61" ht="27" customHeight="1" x14ac:dyDescent="0.15">
      <c r="A18" s="30" t="s">
        <v>446</v>
      </c>
      <c r="B18" s="21"/>
      <c r="C18" s="19"/>
      <c r="D18" s="40" t="str">
        <f t="shared" si="20"/>
        <v/>
      </c>
      <c r="E18" s="20"/>
      <c r="F18" s="32"/>
      <c r="G18" s="21"/>
      <c r="H18" s="22"/>
      <c r="I18" s="22"/>
      <c r="J18" s="22"/>
      <c r="K18" s="23"/>
      <c r="L18" s="23"/>
      <c r="M18" s="23"/>
      <c r="N18" s="146"/>
      <c r="O18" s="40">
        <f t="shared" si="21"/>
        <v>0</v>
      </c>
      <c r="P18" s="183" t="str">
        <f t="shared" si="22"/>
        <v/>
      </c>
      <c r="Q18" s="18">
        <f t="shared" si="1"/>
        <v>1</v>
      </c>
      <c r="R18" s="18">
        <f t="shared" si="2"/>
        <v>1</v>
      </c>
      <c r="S18" s="18">
        <f t="shared" si="16"/>
        <v>0</v>
      </c>
      <c r="T18" s="18">
        <f t="shared" si="17"/>
        <v>0</v>
      </c>
      <c r="U18" s="18">
        <f>IF($C18="人工面",0,IF($G18="",70,IF($D18="湿性環境",VLOOKUP($G18,環境タイプⅡによる点数DB!$A:$B,2,FALSE),IF($D18="樹林",VLOOKUP($G18,環境タイプⅡによる点数DB!$A:$C,3,FALSE),IF($D18="低木・草地",VLOOKUP($G18,環境タイプⅡによる点数DB!$A:$D,4,FALSE),0)))))</f>
        <v>70</v>
      </c>
      <c r="V18" s="24" t="str">
        <f>$H18&amp;"in"&amp;基本情報!$C$13</f>
        <v>in</v>
      </c>
      <c r="W18" s="24">
        <f t="shared" si="3"/>
        <v>0</v>
      </c>
      <c r="X18" s="24">
        <f>IF($H18="",0,IF($D18="樹林",IF(ISERROR(VLOOKUP($V18,市町村・植物種ごとの樹林点数DB!$A:$F,6,FALSE))=TRUE,20,VLOOKUP($V18,市町村・植物種ごとの樹林点数DB!$A:$F,6,FALSE)),IF($D18="低木・草地",IF(OR($H18="【ススキ】・【ネザサ】・【チガヤ】",$H18="不明"),45,10),0)))</f>
        <v>0</v>
      </c>
      <c r="Y18" s="24">
        <f t="shared" si="4"/>
        <v>0</v>
      </c>
      <c r="Z18" s="24">
        <f t="shared" si="5"/>
        <v>1</v>
      </c>
      <c r="AA18" s="24">
        <f t="shared" si="6"/>
        <v>0</v>
      </c>
      <c r="AB18" s="24">
        <f t="shared" si="7"/>
        <v>1</v>
      </c>
      <c r="AC18" s="25">
        <f t="shared" si="23"/>
        <v>0</v>
      </c>
      <c r="AD18" s="25">
        <f t="shared" si="24"/>
        <v>0</v>
      </c>
      <c r="AE18" s="25">
        <f t="shared" si="25"/>
        <v>0</v>
      </c>
      <c r="AF18" s="25" t="str">
        <f t="shared" si="26"/>
        <v/>
      </c>
      <c r="AG18" s="25" t="str">
        <f t="shared" si="27"/>
        <v/>
      </c>
      <c r="AH18" s="25" t="str">
        <f t="shared" si="28"/>
        <v/>
      </c>
      <c r="AI18" s="25">
        <f>IF(ISERROR(VLOOKUP($K18,割合DB!$A:$B,2,FALSE))=TRUE,0,VLOOKUP($K18,割合DB!$A:$B,2,FALSE))</f>
        <v>0</v>
      </c>
      <c r="AJ18" s="25">
        <f>IF(ISERROR(VLOOKUP($L18,割合DB!$A:$B,2,FALSE))=TRUE,0,VLOOKUP($L18,割合DB!$A:$B,2,FALSE))</f>
        <v>0</v>
      </c>
      <c r="AK18" s="25">
        <f>IF(ISERROR(VLOOKUP($M18,割合DB!$A:$B,2,FALSE))=TRUE,0,VLOOKUP($M18,割合DB!$A:$B,2,FALSE))</f>
        <v>0</v>
      </c>
      <c r="AL18" s="25">
        <f t="shared" si="29"/>
        <v>100</v>
      </c>
      <c r="AM18" s="18">
        <f t="shared" si="30"/>
        <v>100</v>
      </c>
      <c r="AN18" s="18">
        <f t="shared" si="19"/>
        <v>1</v>
      </c>
      <c r="AR18" s="24"/>
      <c r="AS18" s="24"/>
      <c r="AT18" s="24"/>
      <c r="AU18" s="24"/>
      <c r="AV18" s="24"/>
      <c r="AW18" s="24"/>
      <c r="AX18" s="24"/>
      <c r="AY18" s="24"/>
      <c r="AZ18" s="25"/>
      <c r="BA18" s="25"/>
      <c r="BB18" s="25"/>
      <c r="BC18" s="25"/>
      <c r="BD18" s="25"/>
      <c r="BE18" s="25"/>
      <c r="BF18" s="25"/>
      <c r="BG18" s="25"/>
      <c r="BH18" s="25"/>
      <c r="BI18" s="25"/>
    </row>
    <row r="19" spans="1:61" ht="27" customHeight="1" x14ac:dyDescent="0.15">
      <c r="A19" s="30" t="s">
        <v>447</v>
      </c>
      <c r="B19" s="21"/>
      <c r="C19" s="19"/>
      <c r="D19" s="40" t="str">
        <f t="shared" si="20"/>
        <v/>
      </c>
      <c r="E19" s="20"/>
      <c r="F19" s="32"/>
      <c r="G19" s="21"/>
      <c r="H19" s="22"/>
      <c r="I19" s="22"/>
      <c r="J19" s="22"/>
      <c r="K19" s="23"/>
      <c r="L19" s="23"/>
      <c r="M19" s="23"/>
      <c r="N19" s="146"/>
      <c r="O19" s="40">
        <f t="shared" si="21"/>
        <v>0</v>
      </c>
      <c r="P19" s="183" t="str">
        <f t="shared" si="22"/>
        <v/>
      </c>
      <c r="Q19" s="18">
        <f t="shared" si="1"/>
        <v>1</v>
      </c>
      <c r="R19" s="18">
        <f t="shared" si="2"/>
        <v>1</v>
      </c>
      <c r="S19" s="18">
        <f t="shared" si="16"/>
        <v>0</v>
      </c>
      <c r="T19" s="18">
        <f t="shared" si="17"/>
        <v>0</v>
      </c>
      <c r="U19" s="18">
        <f>IF($C19="人工面",0,IF($G19="",70,IF($D19="湿性環境",VLOOKUP($G19,環境タイプⅡによる点数DB!$A:$B,2,FALSE),IF($D19="樹林",VLOOKUP($G19,環境タイプⅡによる点数DB!$A:$C,3,FALSE),IF($D19="低木・草地",VLOOKUP($G19,環境タイプⅡによる点数DB!$A:$D,4,FALSE),0)))))</f>
        <v>70</v>
      </c>
      <c r="V19" s="24" t="str">
        <f>$H19&amp;"in"&amp;基本情報!$C$13</f>
        <v>in</v>
      </c>
      <c r="W19" s="24">
        <f t="shared" si="3"/>
        <v>0</v>
      </c>
      <c r="X19" s="24">
        <f>IF($H19="",0,IF($D19="樹林",IF(ISERROR(VLOOKUP($V19,市町村・植物種ごとの樹林点数DB!$A:$F,6,FALSE))=TRUE,20,VLOOKUP($V19,市町村・植物種ごとの樹林点数DB!$A:$F,6,FALSE)),IF($D19="低木・草地",IF(OR($H19="【ススキ】・【ネザサ】・【チガヤ】",$H19="不明"),45,10),0)))</f>
        <v>0</v>
      </c>
      <c r="Y19" s="24">
        <f t="shared" si="4"/>
        <v>0</v>
      </c>
      <c r="Z19" s="24">
        <f t="shared" si="5"/>
        <v>1</v>
      </c>
      <c r="AA19" s="24">
        <f t="shared" si="6"/>
        <v>0</v>
      </c>
      <c r="AB19" s="24">
        <f t="shared" si="7"/>
        <v>1</v>
      </c>
      <c r="AC19" s="25">
        <f t="shared" si="23"/>
        <v>0</v>
      </c>
      <c r="AD19" s="25">
        <f t="shared" si="24"/>
        <v>0</v>
      </c>
      <c r="AE19" s="25">
        <f t="shared" si="25"/>
        <v>0</v>
      </c>
      <c r="AF19" s="25" t="str">
        <f t="shared" si="26"/>
        <v/>
      </c>
      <c r="AG19" s="25" t="str">
        <f t="shared" si="27"/>
        <v/>
      </c>
      <c r="AH19" s="25" t="str">
        <f t="shared" si="28"/>
        <v/>
      </c>
      <c r="AI19" s="25">
        <f>IF(ISERROR(VLOOKUP($K19,割合DB!$A:$B,2,FALSE))=TRUE,0,VLOOKUP($K19,割合DB!$A:$B,2,FALSE))</f>
        <v>0</v>
      </c>
      <c r="AJ19" s="25">
        <f>IF(ISERROR(VLOOKUP($L19,割合DB!$A:$B,2,FALSE))=TRUE,0,VLOOKUP($L19,割合DB!$A:$B,2,FALSE))</f>
        <v>0</v>
      </c>
      <c r="AK19" s="25">
        <f>IF(ISERROR(VLOOKUP($M19,割合DB!$A:$B,2,FALSE))=TRUE,0,VLOOKUP($M19,割合DB!$A:$B,2,FALSE))</f>
        <v>0</v>
      </c>
      <c r="AL19" s="25">
        <f t="shared" si="29"/>
        <v>100</v>
      </c>
      <c r="AM19" s="18">
        <f t="shared" si="30"/>
        <v>100</v>
      </c>
      <c r="AN19" s="18">
        <f t="shared" si="19"/>
        <v>1</v>
      </c>
      <c r="AR19" s="24"/>
      <c r="AS19" s="24"/>
      <c r="AT19" s="24"/>
      <c r="AU19" s="24"/>
      <c r="AV19" s="24"/>
      <c r="AW19" s="24"/>
      <c r="AX19" s="24"/>
      <c r="AY19" s="24"/>
      <c r="AZ19" s="25"/>
      <c r="BA19" s="25"/>
      <c r="BB19" s="25"/>
      <c r="BC19" s="25"/>
      <c r="BD19" s="25"/>
      <c r="BE19" s="25"/>
      <c r="BF19" s="25"/>
      <c r="BG19" s="25"/>
      <c r="BH19" s="25"/>
      <c r="BI19" s="25"/>
    </row>
    <row r="20" spans="1:61" ht="27" customHeight="1" x14ac:dyDescent="0.15">
      <c r="A20" s="30" t="s">
        <v>448</v>
      </c>
      <c r="B20" s="21"/>
      <c r="C20" s="19"/>
      <c r="D20" s="40" t="str">
        <f t="shared" si="20"/>
        <v/>
      </c>
      <c r="E20" s="20"/>
      <c r="F20" s="32"/>
      <c r="G20" s="21"/>
      <c r="H20" s="22"/>
      <c r="I20" s="22"/>
      <c r="J20" s="22"/>
      <c r="K20" s="23"/>
      <c r="L20" s="23"/>
      <c r="M20" s="23"/>
      <c r="N20" s="146"/>
      <c r="O20" s="40">
        <f t="shared" si="21"/>
        <v>0</v>
      </c>
      <c r="P20" s="183" t="str">
        <f t="shared" si="22"/>
        <v/>
      </c>
      <c r="Q20" s="18">
        <f t="shared" si="1"/>
        <v>1</v>
      </c>
      <c r="R20" s="18">
        <f t="shared" si="2"/>
        <v>1</v>
      </c>
      <c r="S20" s="18">
        <f t="shared" si="16"/>
        <v>0</v>
      </c>
      <c r="T20" s="18">
        <f t="shared" si="17"/>
        <v>0</v>
      </c>
      <c r="U20" s="18">
        <f>IF($C20="人工面",0,IF($G20="",70,IF($D20="湿性環境",VLOOKUP($G20,環境タイプⅡによる点数DB!$A:$B,2,FALSE),IF($D20="樹林",VLOOKUP($G20,環境タイプⅡによる点数DB!$A:$C,3,FALSE),IF($D20="低木・草地",VLOOKUP($G20,環境タイプⅡによる点数DB!$A:$D,4,FALSE),0)))))</f>
        <v>70</v>
      </c>
      <c r="V20" s="24" t="str">
        <f>$H20&amp;"in"&amp;基本情報!$C$13</f>
        <v>in</v>
      </c>
      <c r="W20" s="24">
        <f t="shared" si="3"/>
        <v>0</v>
      </c>
      <c r="X20" s="24">
        <f>IF($H20="",0,IF($D20="樹林",IF(ISERROR(VLOOKUP($V20,市町村・植物種ごとの樹林点数DB!$A:$F,6,FALSE))=TRUE,20,VLOOKUP($V20,市町村・植物種ごとの樹林点数DB!$A:$F,6,FALSE)),IF($D20="低木・草地",IF(OR($H20="【ススキ】・【ネザサ】・【チガヤ】",$H20="不明"),45,10),0)))</f>
        <v>0</v>
      </c>
      <c r="Y20" s="24">
        <f t="shared" si="4"/>
        <v>0</v>
      </c>
      <c r="Z20" s="24">
        <f t="shared" si="5"/>
        <v>1</v>
      </c>
      <c r="AA20" s="24">
        <f t="shared" si="6"/>
        <v>0</v>
      </c>
      <c r="AB20" s="24">
        <f t="shared" si="7"/>
        <v>1</v>
      </c>
      <c r="AC20" s="25">
        <f t="shared" si="23"/>
        <v>0</v>
      </c>
      <c r="AD20" s="25">
        <f t="shared" si="24"/>
        <v>0</v>
      </c>
      <c r="AE20" s="25">
        <f t="shared" si="25"/>
        <v>0</v>
      </c>
      <c r="AF20" s="25" t="str">
        <f t="shared" si="26"/>
        <v/>
      </c>
      <c r="AG20" s="25" t="str">
        <f t="shared" si="27"/>
        <v/>
      </c>
      <c r="AH20" s="25" t="str">
        <f t="shared" si="28"/>
        <v/>
      </c>
      <c r="AI20" s="25">
        <f>IF(ISERROR(VLOOKUP($K20,割合DB!$A:$B,2,FALSE))=TRUE,0,VLOOKUP($K20,割合DB!$A:$B,2,FALSE))</f>
        <v>0</v>
      </c>
      <c r="AJ20" s="25">
        <f>IF(ISERROR(VLOOKUP($L20,割合DB!$A:$B,2,FALSE))=TRUE,0,VLOOKUP($L20,割合DB!$A:$B,2,FALSE))</f>
        <v>0</v>
      </c>
      <c r="AK20" s="25">
        <f>IF(ISERROR(VLOOKUP($M20,割合DB!$A:$B,2,FALSE))=TRUE,0,VLOOKUP($M20,割合DB!$A:$B,2,FALSE))</f>
        <v>0</v>
      </c>
      <c r="AL20" s="25">
        <f t="shared" si="29"/>
        <v>100</v>
      </c>
      <c r="AM20" s="18">
        <f t="shared" si="30"/>
        <v>100</v>
      </c>
      <c r="AN20" s="18">
        <f t="shared" si="19"/>
        <v>1</v>
      </c>
      <c r="AR20" s="24"/>
      <c r="AS20" s="24"/>
      <c r="AT20" s="24"/>
      <c r="AU20" s="24"/>
      <c r="AV20" s="24"/>
      <c r="AW20" s="24"/>
      <c r="AX20" s="24"/>
      <c r="AY20" s="24"/>
      <c r="AZ20" s="25"/>
      <c r="BA20" s="25"/>
      <c r="BB20" s="25"/>
      <c r="BC20" s="25"/>
      <c r="BD20" s="25"/>
      <c r="BE20" s="25"/>
      <c r="BF20" s="25"/>
      <c r="BG20" s="25"/>
      <c r="BH20" s="25"/>
      <c r="BI20" s="25"/>
    </row>
    <row r="21" spans="1:61" ht="27" customHeight="1" x14ac:dyDescent="0.15">
      <c r="A21" s="30" t="s">
        <v>449</v>
      </c>
      <c r="B21" s="21"/>
      <c r="C21" s="19"/>
      <c r="D21" s="40" t="str">
        <f t="shared" si="20"/>
        <v/>
      </c>
      <c r="E21" s="20"/>
      <c r="F21" s="32"/>
      <c r="G21" s="21"/>
      <c r="H21" s="22"/>
      <c r="I21" s="22"/>
      <c r="J21" s="22"/>
      <c r="K21" s="23"/>
      <c r="L21" s="23"/>
      <c r="M21" s="23"/>
      <c r="N21" s="146"/>
      <c r="O21" s="40">
        <f t="shared" si="21"/>
        <v>0</v>
      </c>
      <c r="P21" s="183" t="str">
        <f t="shared" si="22"/>
        <v/>
      </c>
      <c r="Q21" s="18">
        <f t="shared" si="1"/>
        <v>1</v>
      </c>
      <c r="R21" s="18">
        <f t="shared" si="2"/>
        <v>1</v>
      </c>
      <c r="S21" s="18">
        <f t="shared" si="16"/>
        <v>0</v>
      </c>
      <c r="T21" s="18">
        <f t="shared" si="17"/>
        <v>0</v>
      </c>
      <c r="U21" s="18">
        <f>IF($C21="人工面",0,IF($G21="",70,IF($D21="湿性環境",VLOOKUP($G21,環境タイプⅡによる点数DB!$A:$B,2,FALSE),IF($D21="樹林",VLOOKUP($G21,環境タイプⅡによる点数DB!$A:$C,3,FALSE),IF($D21="低木・草地",VLOOKUP($G21,環境タイプⅡによる点数DB!$A:$D,4,FALSE),0)))))</f>
        <v>70</v>
      </c>
      <c r="V21" s="24" t="str">
        <f>$H21&amp;"in"&amp;基本情報!$C$13</f>
        <v>in</v>
      </c>
      <c r="W21" s="24">
        <f t="shared" si="3"/>
        <v>0</v>
      </c>
      <c r="X21" s="24">
        <f>IF($H21="",0,IF($D21="樹林",IF(ISERROR(VLOOKUP($V21,市町村・植物種ごとの樹林点数DB!$A:$F,6,FALSE))=TRUE,20,VLOOKUP($V21,市町村・植物種ごとの樹林点数DB!$A:$F,6,FALSE)),IF($D21="低木・草地",IF(OR($H21="【ススキ】・【ネザサ】・【チガヤ】",$H21="不明"),45,10),0)))</f>
        <v>0</v>
      </c>
      <c r="Y21" s="24">
        <f t="shared" si="4"/>
        <v>0</v>
      </c>
      <c r="Z21" s="24">
        <f t="shared" si="5"/>
        <v>1</v>
      </c>
      <c r="AA21" s="24">
        <f t="shared" si="6"/>
        <v>0</v>
      </c>
      <c r="AB21" s="24">
        <f t="shared" si="7"/>
        <v>1</v>
      </c>
      <c r="AC21" s="25">
        <f t="shared" si="23"/>
        <v>0</v>
      </c>
      <c r="AD21" s="25">
        <f t="shared" si="24"/>
        <v>0</v>
      </c>
      <c r="AE21" s="25">
        <f t="shared" si="25"/>
        <v>0</v>
      </c>
      <c r="AF21" s="25" t="str">
        <f t="shared" si="26"/>
        <v/>
      </c>
      <c r="AG21" s="25" t="str">
        <f t="shared" si="27"/>
        <v/>
      </c>
      <c r="AH21" s="25" t="str">
        <f t="shared" si="28"/>
        <v/>
      </c>
      <c r="AI21" s="25">
        <f>IF(ISERROR(VLOOKUP($K21,割合DB!$A:$B,2,FALSE))=TRUE,0,VLOOKUP($K21,割合DB!$A:$B,2,FALSE))</f>
        <v>0</v>
      </c>
      <c r="AJ21" s="25">
        <f>IF(ISERROR(VLOOKUP($L21,割合DB!$A:$B,2,FALSE))=TRUE,0,VLOOKUP($L21,割合DB!$A:$B,2,FALSE))</f>
        <v>0</v>
      </c>
      <c r="AK21" s="25">
        <f>IF(ISERROR(VLOOKUP($M21,割合DB!$A:$B,2,FALSE))=TRUE,0,VLOOKUP($M21,割合DB!$A:$B,2,FALSE))</f>
        <v>0</v>
      </c>
      <c r="AL21" s="25">
        <f t="shared" si="29"/>
        <v>100</v>
      </c>
      <c r="AM21" s="18">
        <f t="shared" si="30"/>
        <v>100</v>
      </c>
      <c r="AN21" s="18">
        <f t="shared" si="19"/>
        <v>1</v>
      </c>
      <c r="AR21" s="24"/>
      <c r="AS21" s="24"/>
      <c r="AT21" s="24"/>
      <c r="AU21" s="24"/>
      <c r="AV21" s="24"/>
      <c r="AW21" s="24"/>
      <c r="AX21" s="24"/>
      <c r="AY21" s="24"/>
      <c r="AZ21" s="25"/>
      <c r="BA21" s="25"/>
      <c r="BB21" s="25"/>
      <c r="BC21" s="25"/>
      <c r="BD21" s="25"/>
      <c r="BE21" s="25"/>
      <c r="BF21" s="25"/>
      <c r="BG21" s="25"/>
      <c r="BH21" s="25"/>
      <c r="BI21" s="25"/>
    </row>
    <row r="22" spans="1:61" ht="27" customHeight="1" x14ac:dyDescent="0.15">
      <c r="A22" s="30" t="s">
        <v>450</v>
      </c>
      <c r="B22" s="21"/>
      <c r="C22" s="19"/>
      <c r="D22" s="40" t="str">
        <f t="shared" si="20"/>
        <v/>
      </c>
      <c r="E22" s="20"/>
      <c r="F22" s="32"/>
      <c r="G22" s="21"/>
      <c r="H22" s="22"/>
      <c r="I22" s="22"/>
      <c r="J22" s="22"/>
      <c r="K22" s="23"/>
      <c r="L22" s="23"/>
      <c r="M22" s="23"/>
      <c r="N22" s="146"/>
      <c r="O22" s="40">
        <f t="shared" si="21"/>
        <v>0</v>
      </c>
      <c r="P22" s="183" t="str">
        <f t="shared" si="22"/>
        <v/>
      </c>
      <c r="Q22" s="18">
        <f t="shared" si="1"/>
        <v>1</v>
      </c>
      <c r="R22" s="18">
        <f t="shared" si="2"/>
        <v>1</v>
      </c>
      <c r="S22" s="18">
        <f t="shared" si="16"/>
        <v>0</v>
      </c>
      <c r="T22" s="18">
        <f t="shared" si="17"/>
        <v>0</v>
      </c>
      <c r="U22" s="18">
        <f>IF($C22="人工面",0,IF($G22="",70,IF($D22="湿性環境",VLOOKUP($G22,環境タイプⅡによる点数DB!$A:$B,2,FALSE),IF($D22="樹林",VLOOKUP($G22,環境タイプⅡによる点数DB!$A:$C,3,FALSE),IF($D22="低木・草地",VLOOKUP($G22,環境タイプⅡによる点数DB!$A:$D,4,FALSE),0)))))</f>
        <v>70</v>
      </c>
      <c r="V22" s="24" t="str">
        <f>$H22&amp;"in"&amp;基本情報!$C$13</f>
        <v>in</v>
      </c>
      <c r="W22" s="24">
        <f t="shared" si="3"/>
        <v>0</v>
      </c>
      <c r="X22" s="24">
        <f>IF($H22="",0,IF($D22="樹林",IF(ISERROR(VLOOKUP($V22,市町村・植物種ごとの樹林点数DB!$A:$F,6,FALSE))=TRUE,20,VLOOKUP($V22,市町村・植物種ごとの樹林点数DB!$A:$F,6,FALSE)),IF($D22="低木・草地",IF(OR($H22="【ススキ】・【ネザサ】・【チガヤ】",$H22="不明"),45,10),0)))</f>
        <v>0</v>
      </c>
      <c r="Y22" s="24">
        <f t="shared" si="4"/>
        <v>0</v>
      </c>
      <c r="Z22" s="24">
        <f t="shared" si="5"/>
        <v>1</v>
      </c>
      <c r="AA22" s="24">
        <f t="shared" si="6"/>
        <v>0</v>
      </c>
      <c r="AB22" s="24">
        <f t="shared" si="7"/>
        <v>1</v>
      </c>
      <c r="AC22" s="25">
        <f t="shared" si="23"/>
        <v>0</v>
      </c>
      <c r="AD22" s="25">
        <f t="shared" si="24"/>
        <v>0</v>
      </c>
      <c r="AE22" s="25">
        <f t="shared" si="25"/>
        <v>0</v>
      </c>
      <c r="AF22" s="25" t="str">
        <f t="shared" si="26"/>
        <v/>
      </c>
      <c r="AG22" s="25" t="str">
        <f t="shared" si="27"/>
        <v/>
      </c>
      <c r="AH22" s="25" t="str">
        <f t="shared" si="28"/>
        <v/>
      </c>
      <c r="AI22" s="25">
        <f>IF(ISERROR(VLOOKUP($K22,割合DB!$A:$B,2,FALSE))=TRUE,0,VLOOKUP($K22,割合DB!$A:$B,2,FALSE))</f>
        <v>0</v>
      </c>
      <c r="AJ22" s="25">
        <f>IF(ISERROR(VLOOKUP($L22,割合DB!$A:$B,2,FALSE))=TRUE,0,VLOOKUP($L22,割合DB!$A:$B,2,FALSE))</f>
        <v>0</v>
      </c>
      <c r="AK22" s="25">
        <f>IF(ISERROR(VLOOKUP($M22,割合DB!$A:$B,2,FALSE))=TRUE,0,VLOOKUP($M22,割合DB!$A:$B,2,FALSE))</f>
        <v>0</v>
      </c>
      <c r="AL22" s="25">
        <f t="shared" si="29"/>
        <v>100</v>
      </c>
      <c r="AM22" s="18">
        <f t="shared" si="30"/>
        <v>100</v>
      </c>
      <c r="AN22" s="18">
        <f t="shared" si="19"/>
        <v>1</v>
      </c>
      <c r="AR22" s="24"/>
      <c r="AS22" s="24"/>
      <c r="AT22" s="24"/>
      <c r="AU22" s="24"/>
      <c r="AV22" s="24"/>
      <c r="AW22" s="24"/>
      <c r="AX22" s="24"/>
      <c r="AY22" s="24"/>
      <c r="AZ22" s="25"/>
      <c r="BA22" s="25"/>
      <c r="BB22" s="25"/>
      <c r="BC22" s="25"/>
      <c r="BD22" s="25"/>
      <c r="BE22" s="25"/>
      <c r="BF22" s="25"/>
      <c r="BG22" s="25"/>
      <c r="BH22" s="25"/>
      <c r="BI22" s="25"/>
    </row>
    <row r="23" spans="1:61" ht="27" customHeight="1" x14ac:dyDescent="0.15">
      <c r="A23" s="30" t="s">
        <v>451</v>
      </c>
      <c r="B23" s="21"/>
      <c r="C23" s="19"/>
      <c r="D23" s="40" t="str">
        <f t="shared" si="20"/>
        <v/>
      </c>
      <c r="E23" s="20"/>
      <c r="F23" s="32"/>
      <c r="G23" s="21"/>
      <c r="H23" s="22"/>
      <c r="I23" s="22"/>
      <c r="J23" s="22"/>
      <c r="K23" s="23"/>
      <c r="L23" s="23"/>
      <c r="M23" s="23"/>
      <c r="N23" s="146"/>
      <c r="O23" s="40">
        <f t="shared" si="21"/>
        <v>0</v>
      </c>
      <c r="P23" s="183" t="str">
        <f t="shared" si="22"/>
        <v/>
      </c>
      <c r="Q23" s="18">
        <f t="shared" si="1"/>
        <v>1</v>
      </c>
      <c r="R23" s="18">
        <f t="shared" si="2"/>
        <v>1</v>
      </c>
      <c r="S23" s="18">
        <f t="shared" si="16"/>
        <v>0</v>
      </c>
      <c r="T23" s="18">
        <f t="shared" si="17"/>
        <v>0</v>
      </c>
      <c r="U23" s="18">
        <f>IF($C23="人工面",0,IF($G23="",70,IF($D23="湿性環境",VLOOKUP($G23,環境タイプⅡによる点数DB!$A:$B,2,FALSE),IF($D23="樹林",VLOOKUP($G23,環境タイプⅡによる点数DB!$A:$C,3,FALSE),IF($D23="低木・草地",VLOOKUP($G23,環境タイプⅡによる点数DB!$A:$D,4,FALSE),0)))))</f>
        <v>70</v>
      </c>
      <c r="V23" s="24" t="str">
        <f>$H23&amp;"in"&amp;基本情報!$C$13</f>
        <v>in</v>
      </c>
      <c r="W23" s="24">
        <f t="shared" si="3"/>
        <v>0</v>
      </c>
      <c r="X23" s="24">
        <f>IF($H23="",0,IF($D23="樹林",IF(ISERROR(VLOOKUP($V23,市町村・植物種ごとの樹林点数DB!$A:$F,6,FALSE))=TRUE,20,VLOOKUP($V23,市町村・植物種ごとの樹林点数DB!$A:$F,6,FALSE)),IF($D23="低木・草地",IF(OR($H23="【ススキ】・【ネザサ】・【チガヤ】",$H23="不明"),45,10),0)))</f>
        <v>0</v>
      </c>
      <c r="Y23" s="24">
        <f t="shared" si="4"/>
        <v>0</v>
      </c>
      <c r="Z23" s="24">
        <f t="shared" si="5"/>
        <v>1</v>
      </c>
      <c r="AA23" s="24">
        <f t="shared" si="6"/>
        <v>0</v>
      </c>
      <c r="AB23" s="24">
        <f t="shared" si="7"/>
        <v>1</v>
      </c>
      <c r="AC23" s="25">
        <f t="shared" si="23"/>
        <v>0</v>
      </c>
      <c r="AD23" s="25">
        <f t="shared" si="24"/>
        <v>0</v>
      </c>
      <c r="AE23" s="25">
        <f t="shared" si="25"/>
        <v>0</v>
      </c>
      <c r="AF23" s="25" t="str">
        <f t="shared" si="26"/>
        <v/>
      </c>
      <c r="AG23" s="25" t="str">
        <f t="shared" si="27"/>
        <v/>
      </c>
      <c r="AH23" s="25" t="str">
        <f t="shared" si="28"/>
        <v/>
      </c>
      <c r="AI23" s="25">
        <f>IF(ISERROR(VLOOKUP($K23,割合DB!$A:$B,2,FALSE))=TRUE,0,VLOOKUP($K23,割合DB!$A:$B,2,FALSE))</f>
        <v>0</v>
      </c>
      <c r="AJ23" s="25">
        <f>IF(ISERROR(VLOOKUP($L23,割合DB!$A:$B,2,FALSE))=TRUE,0,VLOOKUP($L23,割合DB!$A:$B,2,FALSE))</f>
        <v>0</v>
      </c>
      <c r="AK23" s="25">
        <f>IF(ISERROR(VLOOKUP($M23,割合DB!$A:$B,2,FALSE))=TRUE,0,VLOOKUP($M23,割合DB!$A:$B,2,FALSE))</f>
        <v>0</v>
      </c>
      <c r="AL23" s="25">
        <f t="shared" si="29"/>
        <v>100</v>
      </c>
      <c r="AM23" s="18">
        <f t="shared" si="30"/>
        <v>100</v>
      </c>
      <c r="AN23" s="18">
        <f t="shared" si="19"/>
        <v>1</v>
      </c>
      <c r="AR23" s="24"/>
      <c r="AS23" s="24"/>
      <c r="AT23" s="24"/>
      <c r="AU23" s="24"/>
      <c r="AV23" s="24"/>
      <c r="AW23" s="24"/>
      <c r="AX23" s="24"/>
      <c r="AY23" s="24"/>
      <c r="AZ23" s="25"/>
      <c r="BA23" s="25"/>
      <c r="BB23" s="25"/>
      <c r="BC23" s="25"/>
      <c r="BD23" s="25"/>
      <c r="BE23" s="25"/>
      <c r="BF23" s="25"/>
      <c r="BG23" s="25"/>
      <c r="BH23" s="25"/>
      <c r="BI23" s="25"/>
    </row>
    <row r="24" spans="1:61" ht="27" customHeight="1" x14ac:dyDescent="0.15">
      <c r="A24" s="30" t="s">
        <v>452</v>
      </c>
      <c r="B24" s="21"/>
      <c r="C24" s="19"/>
      <c r="D24" s="40" t="str">
        <f t="shared" si="20"/>
        <v/>
      </c>
      <c r="E24" s="20"/>
      <c r="F24" s="32"/>
      <c r="G24" s="21"/>
      <c r="H24" s="22"/>
      <c r="I24" s="22"/>
      <c r="J24" s="22"/>
      <c r="K24" s="23"/>
      <c r="L24" s="23"/>
      <c r="M24" s="23"/>
      <c r="N24" s="146"/>
      <c r="O24" s="40">
        <f t="shared" si="21"/>
        <v>0</v>
      </c>
      <c r="P24" s="183" t="str">
        <f t="shared" si="22"/>
        <v/>
      </c>
      <c r="Q24" s="18">
        <f t="shared" si="1"/>
        <v>1</v>
      </c>
      <c r="R24" s="18">
        <f t="shared" si="2"/>
        <v>1</v>
      </c>
      <c r="S24" s="18">
        <f t="shared" si="16"/>
        <v>0</v>
      </c>
      <c r="T24" s="18">
        <f t="shared" si="17"/>
        <v>0</v>
      </c>
      <c r="U24" s="18">
        <f>IF($C24="人工面",0,IF($G24="",70,IF($D24="湿性環境",VLOOKUP($G24,環境タイプⅡによる点数DB!$A:$B,2,FALSE),IF($D24="樹林",VLOOKUP($G24,環境タイプⅡによる点数DB!$A:$C,3,FALSE),IF($D24="低木・草地",VLOOKUP($G24,環境タイプⅡによる点数DB!$A:$D,4,FALSE),0)))))</f>
        <v>70</v>
      </c>
      <c r="V24" s="24" t="str">
        <f>$H24&amp;"in"&amp;基本情報!$C$13</f>
        <v>in</v>
      </c>
      <c r="W24" s="24">
        <f t="shared" si="3"/>
        <v>0</v>
      </c>
      <c r="X24" s="24">
        <f>IF($H24="",0,IF($D24="樹林",IF(ISERROR(VLOOKUP($V24,市町村・植物種ごとの樹林点数DB!$A:$F,6,FALSE))=TRUE,20,VLOOKUP($V24,市町村・植物種ごとの樹林点数DB!$A:$F,6,FALSE)),IF($D24="低木・草地",IF(OR($H24="【ススキ】・【ネザサ】・【チガヤ】",$H24="不明"),45,10),0)))</f>
        <v>0</v>
      </c>
      <c r="Y24" s="24">
        <f t="shared" si="4"/>
        <v>0</v>
      </c>
      <c r="Z24" s="24">
        <f t="shared" si="5"/>
        <v>1</v>
      </c>
      <c r="AA24" s="24">
        <f t="shared" si="6"/>
        <v>0</v>
      </c>
      <c r="AB24" s="24">
        <f t="shared" si="7"/>
        <v>1</v>
      </c>
      <c r="AC24" s="25">
        <f t="shared" si="23"/>
        <v>0</v>
      </c>
      <c r="AD24" s="25">
        <f t="shared" si="24"/>
        <v>0</v>
      </c>
      <c r="AE24" s="25">
        <f t="shared" si="25"/>
        <v>0</v>
      </c>
      <c r="AF24" s="25" t="str">
        <f t="shared" si="26"/>
        <v/>
      </c>
      <c r="AG24" s="25" t="str">
        <f t="shared" si="27"/>
        <v/>
      </c>
      <c r="AH24" s="25" t="str">
        <f t="shared" si="28"/>
        <v/>
      </c>
      <c r="AI24" s="25">
        <f>IF(ISERROR(VLOOKUP($K24,割合DB!$A:$B,2,FALSE))=TRUE,0,VLOOKUP($K24,割合DB!$A:$B,2,FALSE))</f>
        <v>0</v>
      </c>
      <c r="AJ24" s="25">
        <f>IF(ISERROR(VLOOKUP($L24,割合DB!$A:$B,2,FALSE))=TRUE,0,VLOOKUP($L24,割合DB!$A:$B,2,FALSE))</f>
        <v>0</v>
      </c>
      <c r="AK24" s="25">
        <f>IF(ISERROR(VLOOKUP($M24,割合DB!$A:$B,2,FALSE))=TRUE,0,VLOOKUP($M24,割合DB!$A:$B,2,FALSE))</f>
        <v>0</v>
      </c>
      <c r="AL24" s="25">
        <f t="shared" si="29"/>
        <v>100</v>
      </c>
      <c r="AM24" s="18">
        <f t="shared" si="30"/>
        <v>100</v>
      </c>
      <c r="AN24" s="18">
        <f t="shared" si="19"/>
        <v>1</v>
      </c>
      <c r="AR24" s="24"/>
      <c r="AS24" s="24"/>
      <c r="AT24" s="24"/>
      <c r="AU24" s="24"/>
      <c r="AV24" s="24"/>
      <c r="AW24" s="24"/>
      <c r="AX24" s="24"/>
      <c r="AY24" s="24"/>
      <c r="AZ24" s="25"/>
      <c r="BA24" s="25"/>
      <c r="BB24" s="25"/>
      <c r="BC24" s="25"/>
      <c r="BD24" s="25"/>
      <c r="BE24" s="25"/>
      <c r="BF24" s="25"/>
      <c r="BG24" s="25"/>
      <c r="BH24" s="25"/>
      <c r="BI24" s="25"/>
    </row>
    <row r="25" spans="1:61" ht="27" customHeight="1" x14ac:dyDescent="0.15">
      <c r="A25" s="30" t="s">
        <v>453</v>
      </c>
      <c r="B25" s="21"/>
      <c r="C25" s="19"/>
      <c r="D25" s="40" t="str">
        <f t="shared" si="20"/>
        <v/>
      </c>
      <c r="E25" s="20"/>
      <c r="F25" s="32"/>
      <c r="G25" s="21"/>
      <c r="H25" s="22"/>
      <c r="I25" s="22"/>
      <c r="J25" s="22"/>
      <c r="K25" s="23"/>
      <c r="L25" s="23"/>
      <c r="M25" s="23"/>
      <c r="N25" s="146"/>
      <c r="O25" s="40">
        <f t="shared" si="21"/>
        <v>0</v>
      </c>
      <c r="P25" s="183" t="str">
        <f t="shared" si="22"/>
        <v/>
      </c>
      <c r="Q25" s="18">
        <f t="shared" si="1"/>
        <v>1</v>
      </c>
      <c r="R25" s="18">
        <f t="shared" si="2"/>
        <v>1</v>
      </c>
      <c r="S25" s="18">
        <f t="shared" si="16"/>
        <v>0</v>
      </c>
      <c r="T25" s="18">
        <f t="shared" si="17"/>
        <v>0</v>
      </c>
      <c r="U25" s="18">
        <f>IF($C25="人工面",0,IF($G25="",70,IF($D25="湿性環境",VLOOKUP($G25,環境タイプⅡによる点数DB!$A:$B,2,FALSE),IF($D25="樹林",VLOOKUP($G25,環境タイプⅡによる点数DB!$A:$C,3,FALSE),IF($D25="低木・草地",VLOOKUP($G25,環境タイプⅡによる点数DB!$A:$D,4,FALSE),0)))))</f>
        <v>70</v>
      </c>
      <c r="V25" s="24" t="str">
        <f>$H25&amp;"in"&amp;基本情報!$C$13</f>
        <v>in</v>
      </c>
      <c r="W25" s="24">
        <f t="shared" si="3"/>
        <v>0</v>
      </c>
      <c r="X25" s="24">
        <f>IF($H25="",0,IF($D25="樹林",IF(ISERROR(VLOOKUP($V25,市町村・植物種ごとの樹林点数DB!$A:$F,6,FALSE))=TRUE,20,VLOOKUP($V25,市町村・植物種ごとの樹林点数DB!$A:$F,6,FALSE)),IF($D25="低木・草地",IF(OR($H25="【ススキ】・【ネザサ】・【チガヤ】",$H25="不明"),45,10),0)))</f>
        <v>0</v>
      </c>
      <c r="Y25" s="24">
        <f t="shared" si="4"/>
        <v>0</v>
      </c>
      <c r="Z25" s="24">
        <f t="shared" si="5"/>
        <v>1</v>
      </c>
      <c r="AA25" s="24">
        <f t="shared" si="6"/>
        <v>0</v>
      </c>
      <c r="AB25" s="24">
        <f t="shared" si="7"/>
        <v>1</v>
      </c>
      <c r="AC25" s="25">
        <f t="shared" si="23"/>
        <v>0</v>
      </c>
      <c r="AD25" s="25">
        <f t="shared" si="24"/>
        <v>0</v>
      </c>
      <c r="AE25" s="25">
        <f t="shared" si="25"/>
        <v>0</v>
      </c>
      <c r="AF25" s="25" t="str">
        <f t="shared" si="26"/>
        <v/>
      </c>
      <c r="AG25" s="25" t="str">
        <f t="shared" si="27"/>
        <v/>
      </c>
      <c r="AH25" s="25" t="str">
        <f t="shared" si="28"/>
        <v/>
      </c>
      <c r="AI25" s="25">
        <f>IF(ISERROR(VLOOKUP($K25,割合DB!$A:$B,2,FALSE))=TRUE,0,VLOOKUP($K25,割合DB!$A:$B,2,FALSE))</f>
        <v>0</v>
      </c>
      <c r="AJ25" s="25">
        <f>IF(ISERROR(VLOOKUP($L25,割合DB!$A:$B,2,FALSE))=TRUE,0,VLOOKUP($L25,割合DB!$A:$B,2,FALSE))</f>
        <v>0</v>
      </c>
      <c r="AK25" s="25">
        <f>IF(ISERROR(VLOOKUP($M25,割合DB!$A:$B,2,FALSE))=TRUE,0,VLOOKUP($M25,割合DB!$A:$B,2,FALSE))</f>
        <v>0</v>
      </c>
      <c r="AL25" s="25">
        <f t="shared" si="29"/>
        <v>100</v>
      </c>
      <c r="AM25" s="18">
        <f t="shared" si="30"/>
        <v>100</v>
      </c>
      <c r="AN25" s="18">
        <f t="shared" si="19"/>
        <v>1</v>
      </c>
      <c r="AR25" s="24"/>
      <c r="AS25" s="24"/>
      <c r="AT25" s="24"/>
      <c r="AU25" s="24"/>
      <c r="AV25" s="24"/>
      <c r="AW25" s="24"/>
      <c r="AX25" s="24"/>
      <c r="AY25" s="24"/>
      <c r="AZ25" s="25"/>
      <c r="BA25" s="25"/>
      <c r="BB25" s="25"/>
      <c r="BC25" s="25"/>
      <c r="BD25" s="25"/>
      <c r="BE25" s="25"/>
      <c r="BF25" s="25"/>
      <c r="BG25" s="25"/>
      <c r="BH25" s="25"/>
      <c r="BI25" s="25"/>
    </row>
    <row r="26" spans="1:61" ht="27" customHeight="1" x14ac:dyDescent="0.15">
      <c r="A26" s="30" t="s">
        <v>454</v>
      </c>
      <c r="B26" s="21"/>
      <c r="C26" s="19"/>
      <c r="D26" s="40" t="str">
        <f t="shared" si="20"/>
        <v/>
      </c>
      <c r="E26" s="20"/>
      <c r="F26" s="32"/>
      <c r="G26" s="21"/>
      <c r="H26" s="22"/>
      <c r="I26" s="22"/>
      <c r="J26" s="22"/>
      <c r="K26" s="23"/>
      <c r="L26" s="23"/>
      <c r="M26" s="23"/>
      <c r="N26" s="146"/>
      <c r="O26" s="40">
        <f t="shared" si="21"/>
        <v>0</v>
      </c>
      <c r="P26" s="183" t="str">
        <f t="shared" si="22"/>
        <v/>
      </c>
      <c r="Q26" s="18">
        <f t="shared" si="1"/>
        <v>1</v>
      </c>
      <c r="R26" s="18">
        <f t="shared" si="2"/>
        <v>1</v>
      </c>
      <c r="S26" s="18">
        <f t="shared" si="16"/>
        <v>0</v>
      </c>
      <c r="T26" s="18">
        <f t="shared" si="17"/>
        <v>0</v>
      </c>
      <c r="U26" s="18">
        <f>IF($C26="人工面",0,IF($G26="",70,IF($D26="湿性環境",VLOOKUP($G26,環境タイプⅡによる点数DB!$A:$B,2,FALSE),IF($D26="樹林",VLOOKUP($G26,環境タイプⅡによる点数DB!$A:$C,3,FALSE),IF($D26="低木・草地",VLOOKUP($G26,環境タイプⅡによる点数DB!$A:$D,4,FALSE),0)))))</f>
        <v>70</v>
      </c>
      <c r="V26" s="24" t="str">
        <f>$H26&amp;"in"&amp;基本情報!$C$13</f>
        <v>in</v>
      </c>
      <c r="W26" s="24">
        <f t="shared" si="3"/>
        <v>0</v>
      </c>
      <c r="X26" s="24">
        <f>IF($H26="",0,IF($D26="樹林",IF(ISERROR(VLOOKUP($V26,市町村・植物種ごとの樹林点数DB!$A:$F,6,FALSE))=TRUE,20,VLOOKUP($V26,市町村・植物種ごとの樹林点数DB!$A:$F,6,FALSE)),IF($D26="低木・草地",IF(OR($H26="【ススキ】・【ネザサ】・【チガヤ】",$H26="不明"),45,10),0)))</f>
        <v>0</v>
      </c>
      <c r="Y26" s="24">
        <f t="shared" si="4"/>
        <v>0</v>
      </c>
      <c r="Z26" s="24">
        <f t="shared" si="5"/>
        <v>1</v>
      </c>
      <c r="AA26" s="24">
        <f t="shared" si="6"/>
        <v>0</v>
      </c>
      <c r="AB26" s="24">
        <f t="shared" si="7"/>
        <v>1</v>
      </c>
      <c r="AC26" s="25">
        <f t="shared" si="23"/>
        <v>0</v>
      </c>
      <c r="AD26" s="25">
        <f t="shared" si="24"/>
        <v>0</v>
      </c>
      <c r="AE26" s="25">
        <f t="shared" si="25"/>
        <v>0</v>
      </c>
      <c r="AF26" s="25" t="str">
        <f t="shared" si="26"/>
        <v/>
      </c>
      <c r="AG26" s="25" t="str">
        <f t="shared" si="27"/>
        <v/>
      </c>
      <c r="AH26" s="25" t="str">
        <f t="shared" si="28"/>
        <v/>
      </c>
      <c r="AI26" s="25">
        <f>IF(ISERROR(VLOOKUP($K26,割合DB!$A:$B,2,FALSE))=TRUE,0,VLOOKUP($K26,割合DB!$A:$B,2,FALSE))</f>
        <v>0</v>
      </c>
      <c r="AJ26" s="25">
        <f>IF(ISERROR(VLOOKUP($L26,割合DB!$A:$B,2,FALSE))=TRUE,0,VLOOKUP($L26,割合DB!$A:$B,2,FALSE))</f>
        <v>0</v>
      </c>
      <c r="AK26" s="25">
        <f>IF(ISERROR(VLOOKUP($M26,割合DB!$A:$B,2,FALSE))=TRUE,0,VLOOKUP($M26,割合DB!$A:$B,2,FALSE))</f>
        <v>0</v>
      </c>
      <c r="AL26" s="25">
        <f t="shared" si="29"/>
        <v>100</v>
      </c>
      <c r="AM26" s="18">
        <f t="shared" si="30"/>
        <v>100</v>
      </c>
      <c r="AN26" s="18">
        <f t="shared" si="19"/>
        <v>1</v>
      </c>
      <c r="AR26" s="24"/>
      <c r="AS26" s="24"/>
      <c r="AT26" s="24"/>
      <c r="AU26" s="24"/>
      <c r="AV26" s="24"/>
      <c r="AW26" s="24"/>
      <c r="AX26" s="24"/>
      <c r="AY26" s="24"/>
      <c r="AZ26" s="25"/>
      <c r="BA26" s="25"/>
      <c r="BB26" s="25"/>
      <c r="BC26" s="25"/>
      <c r="BD26" s="25"/>
      <c r="BE26" s="25"/>
      <c r="BF26" s="25"/>
      <c r="BG26" s="25"/>
      <c r="BH26" s="25"/>
      <c r="BI26" s="25"/>
    </row>
    <row r="27" spans="1:61" ht="27" customHeight="1" x14ac:dyDescent="0.15">
      <c r="A27" s="30" t="s">
        <v>455</v>
      </c>
      <c r="B27" s="21"/>
      <c r="C27" s="19"/>
      <c r="D27" s="40" t="str">
        <f t="shared" si="20"/>
        <v/>
      </c>
      <c r="E27" s="20"/>
      <c r="F27" s="32"/>
      <c r="G27" s="21"/>
      <c r="H27" s="22"/>
      <c r="I27" s="22"/>
      <c r="J27" s="22"/>
      <c r="K27" s="23"/>
      <c r="L27" s="23"/>
      <c r="M27" s="23"/>
      <c r="N27" s="146"/>
      <c r="O27" s="40">
        <f t="shared" si="21"/>
        <v>0</v>
      </c>
      <c r="P27" s="183" t="str">
        <f t="shared" si="22"/>
        <v/>
      </c>
      <c r="Q27" s="18">
        <f t="shared" si="1"/>
        <v>1</v>
      </c>
      <c r="R27" s="18">
        <f t="shared" si="2"/>
        <v>1</v>
      </c>
      <c r="S27" s="18">
        <f t="shared" si="16"/>
        <v>0</v>
      </c>
      <c r="T27" s="18">
        <f t="shared" si="17"/>
        <v>0</v>
      </c>
      <c r="U27" s="18">
        <f>IF($C27="人工面",0,IF($G27="",70,IF($D27="湿性環境",VLOOKUP($G27,環境タイプⅡによる点数DB!$A:$B,2,FALSE),IF($D27="樹林",VLOOKUP($G27,環境タイプⅡによる点数DB!$A:$C,3,FALSE),IF($D27="低木・草地",VLOOKUP($G27,環境タイプⅡによる点数DB!$A:$D,4,FALSE),0)))))</f>
        <v>70</v>
      </c>
      <c r="V27" s="24" t="str">
        <f>$H27&amp;"in"&amp;基本情報!$C$13</f>
        <v>in</v>
      </c>
      <c r="W27" s="24">
        <f t="shared" si="3"/>
        <v>0</v>
      </c>
      <c r="X27" s="24">
        <f>IF($H27="",0,IF($D27="樹林",IF(ISERROR(VLOOKUP($V27,市町村・植物種ごとの樹林点数DB!$A:$F,6,FALSE))=TRUE,20,VLOOKUP($V27,市町村・植物種ごとの樹林点数DB!$A:$F,6,FALSE)),IF($D27="低木・草地",IF(OR($H27="【ススキ】・【ネザサ】・【チガヤ】",$H27="不明"),45,10),0)))</f>
        <v>0</v>
      </c>
      <c r="Y27" s="24">
        <f t="shared" si="4"/>
        <v>0</v>
      </c>
      <c r="Z27" s="24">
        <f t="shared" si="5"/>
        <v>1</v>
      </c>
      <c r="AA27" s="24">
        <f t="shared" si="6"/>
        <v>0</v>
      </c>
      <c r="AB27" s="24">
        <f t="shared" si="7"/>
        <v>1</v>
      </c>
      <c r="AC27" s="25">
        <f t="shared" si="23"/>
        <v>0</v>
      </c>
      <c r="AD27" s="25">
        <f t="shared" si="24"/>
        <v>0</v>
      </c>
      <c r="AE27" s="25">
        <f t="shared" si="25"/>
        <v>0</v>
      </c>
      <c r="AF27" s="25" t="str">
        <f t="shared" si="26"/>
        <v/>
      </c>
      <c r="AG27" s="25" t="str">
        <f t="shared" si="27"/>
        <v/>
      </c>
      <c r="AH27" s="25" t="str">
        <f t="shared" si="28"/>
        <v/>
      </c>
      <c r="AI27" s="25">
        <f>IF(ISERROR(VLOOKUP($K27,割合DB!$A:$B,2,FALSE))=TRUE,0,VLOOKUP($K27,割合DB!$A:$B,2,FALSE))</f>
        <v>0</v>
      </c>
      <c r="AJ27" s="25">
        <f>IF(ISERROR(VLOOKUP($L27,割合DB!$A:$B,2,FALSE))=TRUE,0,VLOOKUP($L27,割合DB!$A:$B,2,FALSE))</f>
        <v>0</v>
      </c>
      <c r="AK27" s="25">
        <f>IF(ISERROR(VLOOKUP($M27,割合DB!$A:$B,2,FALSE))=TRUE,0,VLOOKUP($M27,割合DB!$A:$B,2,FALSE))</f>
        <v>0</v>
      </c>
      <c r="AL27" s="25">
        <f t="shared" si="29"/>
        <v>100</v>
      </c>
      <c r="AM27" s="18">
        <f t="shared" si="30"/>
        <v>100</v>
      </c>
      <c r="AN27" s="18">
        <f t="shared" si="19"/>
        <v>1</v>
      </c>
      <c r="AR27" s="24"/>
      <c r="AS27" s="24"/>
      <c r="AT27" s="24"/>
      <c r="AU27" s="24"/>
      <c r="AV27" s="24"/>
      <c r="AW27" s="24"/>
      <c r="AX27" s="24"/>
      <c r="AY27" s="24"/>
      <c r="AZ27" s="25"/>
      <c r="BA27" s="25"/>
      <c r="BB27" s="25"/>
      <c r="BC27" s="25"/>
      <c r="BD27" s="25"/>
      <c r="BE27" s="25"/>
      <c r="BF27" s="25"/>
      <c r="BG27" s="25"/>
      <c r="BH27" s="25"/>
      <c r="BI27" s="25"/>
    </row>
    <row r="28" spans="1:61" ht="27" customHeight="1" x14ac:dyDescent="0.15">
      <c r="A28" s="30" t="s">
        <v>456</v>
      </c>
      <c r="B28" s="21"/>
      <c r="C28" s="19"/>
      <c r="D28" s="40" t="str">
        <f t="shared" si="20"/>
        <v/>
      </c>
      <c r="E28" s="20"/>
      <c r="F28" s="32"/>
      <c r="G28" s="21"/>
      <c r="H28" s="22"/>
      <c r="I28" s="22"/>
      <c r="J28" s="22"/>
      <c r="K28" s="23"/>
      <c r="L28" s="23"/>
      <c r="M28" s="23"/>
      <c r="N28" s="146"/>
      <c r="O28" s="40">
        <f t="shared" si="21"/>
        <v>0</v>
      </c>
      <c r="P28" s="183" t="str">
        <f t="shared" si="22"/>
        <v/>
      </c>
      <c r="Q28" s="18">
        <f t="shared" si="1"/>
        <v>1</v>
      </c>
      <c r="R28" s="18">
        <f t="shared" si="2"/>
        <v>1</v>
      </c>
      <c r="S28" s="18">
        <f t="shared" si="16"/>
        <v>0</v>
      </c>
      <c r="T28" s="18">
        <f t="shared" si="17"/>
        <v>0</v>
      </c>
      <c r="U28" s="18">
        <f>IF($C28="人工面",0,IF($G28="",70,IF($D28="湿性環境",VLOOKUP($G28,環境タイプⅡによる点数DB!$A:$B,2,FALSE),IF($D28="樹林",VLOOKUP($G28,環境タイプⅡによる点数DB!$A:$C,3,FALSE),IF($D28="低木・草地",VLOOKUP($G28,環境タイプⅡによる点数DB!$A:$D,4,FALSE),0)))))</f>
        <v>70</v>
      </c>
      <c r="V28" s="24" t="str">
        <f>$H28&amp;"in"&amp;基本情報!$C$13</f>
        <v>in</v>
      </c>
      <c r="W28" s="24">
        <f t="shared" si="3"/>
        <v>0</v>
      </c>
      <c r="X28" s="24">
        <f>IF($H28="",0,IF($D28="樹林",IF(ISERROR(VLOOKUP($V28,市町村・植物種ごとの樹林点数DB!$A:$F,6,FALSE))=TRUE,20,VLOOKUP($V28,市町村・植物種ごとの樹林点数DB!$A:$F,6,FALSE)),IF($D28="低木・草地",IF(OR($H28="【ススキ】・【ネザサ】・【チガヤ】",$H28="不明"),45,10),0)))</f>
        <v>0</v>
      </c>
      <c r="Y28" s="24">
        <f t="shared" si="4"/>
        <v>0</v>
      </c>
      <c r="Z28" s="24">
        <f t="shared" si="5"/>
        <v>1</v>
      </c>
      <c r="AA28" s="24">
        <f t="shared" si="6"/>
        <v>0</v>
      </c>
      <c r="AB28" s="24">
        <f t="shared" si="7"/>
        <v>1</v>
      </c>
      <c r="AC28" s="25">
        <f t="shared" si="23"/>
        <v>0</v>
      </c>
      <c r="AD28" s="25">
        <f t="shared" si="24"/>
        <v>0</v>
      </c>
      <c r="AE28" s="25">
        <f t="shared" si="25"/>
        <v>0</v>
      </c>
      <c r="AF28" s="25" t="str">
        <f t="shared" si="26"/>
        <v/>
      </c>
      <c r="AG28" s="25" t="str">
        <f t="shared" si="27"/>
        <v/>
      </c>
      <c r="AH28" s="25" t="str">
        <f t="shared" si="28"/>
        <v/>
      </c>
      <c r="AI28" s="25">
        <f>IF(ISERROR(VLOOKUP($K28,割合DB!$A:$B,2,FALSE))=TRUE,0,VLOOKUP($K28,割合DB!$A:$B,2,FALSE))</f>
        <v>0</v>
      </c>
      <c r="AJ28" s="25">
        <f>IF(ISERROR(VLOOKUP($L28,割合DB!$A:$B,2,FALSE))=TRUE,0,VLOOKUP($L28,割合DB!$A:$B,2,FALSE))</f>
        <v>0</v>
      </c>
      <c r="AK28" s="25">
        <f>IF(ISERROR(VLOOKUP($M28,割合DB!$A:$B,2,FALSE))=TRUE,0,VLOOKUP($M28,割合DB!$A:$B,2,FALSE))</f>
        <v>0</v>
      </c>
      <c r="AL28" s="25">
        <f t="shared" si="29"/>
        <v>100</v>
      </c>
      <c r="AM28" s="18">
        <f t="shared" si="30"/>
        <v>100</v>
      </c>
      <c r="AN28" s="18">
        <f t="shared" si="19"/>
        <v>1</v>
      </c>
      <c r="AR28" s="24"/>
      <c r="AS28" s="24"/>
      <c r="AT28" s="24"/>
      <c r="AU28" s="24"/>
      <c r="AV28" s="24"/>
      <c r="AW28" s="24"/>
      <c r="AX28" s="24"/>
      <c r="AY28" s="24"/>
      <c r="AZ28" s="25"/>
      <c r="BA28" s="25"/>
      <c r="BB28" s="25"/>
      <c r="BC28" s="25"/>
      <c r="BD28" s="25"/>
      <c r="BE28" s="25"/>
      <c r="BF28" s="25"/>
      <c r="BG28" s="25"/>
      <c r="BH28" s="25"/>
      <c r="BI28" s="25"/>
    </row>
    <row r="29" spans="1:61" ht="27" customHeight="1" x14ac:dyDescent="0.15">
      <c r="A29" s="30" t="s">
        <v>457</v>
      </c>
      <c r="B29" s="21"/>
      <c r="C29" s="19"/>
      <c r="D29" s="40" t="str">
        <f t="shared" si="20"/>
        <v/>
      </c>
      <c r="E29" s="20"/>
      <c r="F29" s="32"/>
      <c r="G29" s="21"/>
      <c r="H29" s="22"/>
      <c r="I29" s="22"/>
      <c r="J29" s="22"/>
      <c r="K29" s="23"/>
      <c r="L29" s="23"/>
      <c r="M29" s="23"/>
      <c r="N29" s="146"/>
      <c r="O29" s="40">
        <f t="shared" si="21"/>
        <v>0</v>
      </c>
      <c r="P29" s="183" t="str">
        <f t="shared" si="22"/>
        <v/>
      </c>
      <c r="Q29" s="18">
        <f t="shared" si="1"/>
        <v>1</v>
      </c>
      <c r="R29" s="18">
        <f t="shared" si="2"/>
        <v>1</v>
      </c>
      <c r="S29" s="18">
        <f t="shared" si="16"/>
        <v>0</v>
      </c>
      <c r="T29" s="18">
        <f t="shared" si="17"/>
        <v>0</v>
      </c>
      <c r="U29" s="18">
        <f>IF($C29="人工面",0,IF($G29="",70,IF($D29="湿性環境",VLOOKUP($G29,環境タイプⅡによる点数DB!$A:$B,2,FALSE),IF($D29="樹林",VLOOKUP($G29,環境タイプⅡによる点数DB!$A:$C,3,FALSE),IF($D29="低木・草地",VLOOKUP($G29,環境タイプⅡによる点数DB!$A:$D,4,FALSE),0)))))</f>
        <v>70</v>
      </c>
      <c r="V29" s="24" t="str">
        <f>$H29&amp;"in"&amp;基本情報!$C$13</f>
        <v>in</v>
      </c>
      <c r="W29" s="24">
        <f t="shared" si="3"/>
        <v>0</v>
      </c>
      <c r="X29" s="24">
        <f>IF($H29="",0,IF($D29="樹林",IF(ISERROR(VLOOKUP($V29,市町村・植物種ごとの樹林点数DB!$A:$F,6,FALSE))=TRUE,20,VLOOKUP($V29,市町村・植物種ごとの樹林点数DB!$A:$F,6,FALSE)),IF($D29="低木・草地",IF(OR($H29="【ススキ】・【ネザサ】・【チガヤ】",$H29="不明"),45,10),0)))</f>
        <v>0</v>
      </c>
      <c r="Y29" s="24">
        <f t="shared" si="4"/>
        <v>0</v>
      </c>
      <c r="Z29" s="24">
        <f t="shared" si="5"/>
        <v>1</v>
      </c>
      <c r="AA29" s="24">
        <f t="shared" si="6"/>
        <v>0</v>
      </c>
      <c r="AB29" s="24">
        <f t="shared" si="7"/>
        <v>1</v>
      </c>
      <c r="AC29" s="25">
        <f t="shared" si="23"/>
        <v>0</v>
      </c>
      <c r="AD29" s="25">
        <f t="shared" si="24"/>
        <v>0</v>
      </c>
      <c r="AE29" s="25">
        <f t="shared" si="25"/>
        <v>0</v>
      </c>
      <c r="AF29" s="25" t="str">
        <f t="shared" si="26"/>
        <v/>
      </c>
      <c r="AG29" s="25" t="str">
        <f t="shared" si="27"/>
        <v/>
      </c>
      <c r="AH29" s="25" t="str">
        <f t="shared" si="28"/>
        <v/>
      </c>
      <c r="AI29" s="25">
        <f>IF(ISERROR(VLOOKUP($K29,割合DB!$A:$B,2,FALSE))=TRUE,0,VLOOKUP($K29,割合DB!$A:$B,2,FALSE))</f>
        <v>0</v>
      </c>
      <c r="AJ29" s="25">
        <f>IF(ISERROR(VLOOKUP($L29,割合DB!$A:$B,2,FALSE))=TRUE,0,VLOOKUP($L29,割合DB!$A:$B,2,FALSE))</f>
        <v>0</v>
      </c>
      <c r="AK29" s="25">
        <f>IF(ISERROR(VLOOKUP($M29,割合DB!$A:$B,2,FALSE))=TRUE,0,VLOOKUP($M29,割合DB!$A:$B,2,FALSE))</f>
        <v>0</v>
      </c>
      <c r="AL29" s="25">
        <f t="shared" si="29"/>
        <v>100</v>
      </c>
      <c r="AM29" s="18">
        <f t="shared" si="30"/>
        <v>100</v>
      </c>
      <c r="AN29" s="18">
        <f t="shared" si="19"/>
        <v>1</v>
      </c>
      <c r="AR29" s="24"/>
      <c r="AS29" s="24"/>
      <c r="AT29" s="24"/>
      <c r="AU29" s="24"/>
      <c r="AV29" s="24"/>
      <c r="AW29" s="24"/>
      <c r="AX29" s="24"/>
      <c r="AY29" s="24"/>
      <c r="AZ29" s="25"/>
      <c r="BA29" s="25"/>
      <c r="BB29" s="25"/>
      <c r="BC29" s="25"/>
      <c r="BD29" s="25"/>
      <c r="BE29" s="25"/>
      <c r="BF29" s="25"/>
      <c r="BG29" s="25"/>
      <c r="BH29" s="25"/>
      <c r="BI29" s="25"/>
    </row>
    <row r="30" spans="1:61" ht="27" customHeight="1" x14ac:dyDescent="0.15">
      <c r="A30" s="30" t="s">
        <v>458</v>
      </c>
      <c r="B30" s="21"/>
      <c r="C30" s="19"/>
      <c r="D30" s="40" t="str">
        <f t="shared" si="20"/>
        <v/>
      </c>
      <c r="E30" s="20"/>
      <c r="F30" s="32"/>
      <c r="G30" s="21"/>
      <c r="H30" s="22"/>
      <c r="I30" s="22"/>
      <c r="J30" s="22"/>
      <c r="K30" s="23"/>
      <c r="L30" s="23"/>
      <c r="M30" s="23"/>
      <c r="N30" s="146"/>
      <c r="O30" s="40">
        <f t="shared" si="21"/>
        <v>0</v>
      </c>
      <c r="P30" s="183" t="str">
        <f t="shared" si="22"/>
        <v/>
      </c>
      <c r="Q30" s="18">
        <f t="shared" si="1"/>
        <v>1</v>
      </c>
      <c r="R30" s="18">
        <f t="shared" si="2"/>
        <v>1</v>
      </c>
      <c r="S30" s="18">
        <f t="shared" si="16"/>
        <v>0</v>
      </c>
      <c r="T30" s="18">
        <f t="shared" si="17"/>
        <v>0</v>
      </c>
      <c r="U30" s="18">
        <f>IF($C30="人工面",0,IF($G30="",70,IF($D30="湿性環境",VLOOKUP($G30,環境タイプⅡによる点数DB!$A:$B,2,FALSE),IF($D30="樹林",VLOOKUP($G30,環境タイプⅡによる点数DB!$A:$C,3,FALSE),IF($D30="低木・草地",VLOOKUP($G30,環境タイプⅡによる点数DB!$A:$D,4,FALSE),0)))))</f>
        <v>70</v>
      </c>
      <c r="V30" s="24" t="str">
        <f>$H30&amp;"in"&amp;基本情報!$C$13</f>
        <v>in</v>
      </c>
      <c r="W30" s="24">
        <f t="shared" si="3"/>
        <v>0</v>
      </c>
      <c r="X30" s="24">
        <f>IF($H30="",0,IF($D30="樹林",IF(ISERROR(VLOOKUP($V30,市町村・植物種ごとの樹林点数DB!$A:$F,6,FALSE))=TRUE,20,VLOOKUP($V30,市町村・植物種ごとの樹林点数DB!$A:$F,6,FALSE)),IF($D30="低木・草地",IF(OR($H30="【ススキ】・【ネザサ】・【チガヤ】",$H30="不明"),45,10),0)))</f>
        <v>0</v>
      </c>
      <c r="Y30" s="24">
        <f t="shared" si="4"/>
        <v>0</v>
      </c>
      <c r="Z30" s="24">
        <f t="shared" si="5"/>
        <v>1</v>
      </c>
      <c r="AA30" s="24">
        <f t="shared" si="6"/>
        <v>0</v>
      </c>
      <c r="AB30" s="24">
        <f t="shared" si="7"/>
        <v>1</v>
      </c>
      <c r="AC30" s="25">
        <f t="shared" si="23"/>
        <v>0</v>
      </c>
      <c r="AD30" s="25">
        <f t="shared" si="24"/>
        <v>0</v>
      </c>
      <c r="AE30" s="25">
        <f t="shared" si="25"/>
        <v>0</v>
      </c>
      <c r="AF30" s="25" t="str">
        <f t="shared" si="26"/>
        <v/>
      </c>
      <c r="AG30" s="25" t="str">
        <f t="shared" si="27"/>
        <v/>
      </c>
      <c r="AH30" s="25" t="str">
        <f t="shared" si="28"/>
        <v/>
      </c>
      <c r="AI30" s="25">
        <f>IF(ISERROR(VLOOKUP($K30,割合DB!$A:$B,2,FALSE))=TRUE,0,VLOOKUP($K30,割合DB!$A:$B,2,FALSE))</f>
        <v>0</v>
      </c>
      <c r="AJ30" s="25">
        <f>IF(ISERROR(VLOOKUP($L30,割合DB!$A:$B,2,FALSE))=TRUE,0,VLOOKUP($L30,割合DB!$A:$B,2,FALSE))</f>
        <v>0</v>
      </c>
      <c r="AK30" s="25">
        <f>IF(ISERROR(VLOOKUP($M30,割合DB!$A:$B,2,FALSE))=TRUE,0,VLOOKUP($M30,割合DB!$A:$B,2,FALSE))</f>
        <v>0</v>
      </c>
      <c r="AL30" s="25">
        <f t="shared" si="29"/>
        <v>100</v>
      </c>
      <c r="AM30" s="18">
        <f t="shared" si="30"/>
        <v>100</v>
      </c>
      <c r="AN30" s="18">
        <f t="shared" si="19"/>
        <v>1</v>
      </c>
      <c r="AR30" s="24"/>
      <c r="AS30" s="24"/>
      <c r="AT30" s="24"/>
      <c r="AU30" s="24"/>
      <c r="AV30" s="24"/>
      <c r="AW30" s="24"/>
      <c r="AX30" s="24"/>
      <c r="AY30" s="24"/>
      <c r="AZ30" s="25"/>
      <c r="BA30" s="25"/>
      <c r="BB30" s="25"/>
      <c r="BC30" s="25"/>
      <c r="BD30" s="25"/>
      <c r="BE30" s="25"/>
      <c r="BF30" s="25"/>
      <c r="BG30" s="25"/>
      <c r="BH30" s="25"/>
      <c r="BI30" s="25"/>
    </row>
    <row r="31" spans="1:61" ht="27" customHeight="1" x14ac:dyDescent="0.15">
      <c r="A31" s="30" t="s">
        <v>459</v>
      </c>
      <c r="B31" s="21"/>
      <c r="C31" s="19"/>
      <c r="D31" s="40" t="str">
        <f t="shared" si="20"/>
        <v/>
      </c>
      <c r="E31" s="20"/>
      <c r="F31" s="32"/>
      <c r="G31" s="21"/>
      <c r="H31" s="22"/>
      <c r="I31" s="22"/>
      <c r="J31" s="22"/>
      <c r="K31" s="23"/>
      <c r="L31" s="23"/>
      <c r="M31" s="23"/>
      <c r="N31" s="146"/>
      <c r="O31" s="40">
        <f t="shared" si="21"/>
        <v>0</v>
      </c>
      <c r="P31" s="183" t="str">
        <f t="shared" si="22"/>
        <v/>
      </c>
      <c r="Q31" s="18">
        <f t="shared" si="1"/>
        <v>1</v>
      </c>
      <c r="R31" s="18">
        <f t="shared" si="2"/>
        <v>1</v>
      </c>
      <c r="S31" s="18">
        <f t="shared" si="16"/>
        <v>0</v>
      </c>
      <c r="T31" s="18">
        <f t="shared" si="17"/>
        <v>0</v>
      </c>
      <c r="U31" s="18">
        <f>IF($C31="人工面",0,IF($G31="",70,IF($D31="湿性環境",VLOOKUP($G31,環境タイプⅡによる点数DB!$A:$B,2,FALSE),IF($D31="樹林",VLOOKUP($G31,環境タイプⅡによる点数DB!$A:$C,3,FALSE),IF($D31="低木・草地",VLOOKUP($G31,環境タイプⅡによる点数DB!$A:$D,4,FALSE),0)))))</f>
        <v>70</v>
      </c>
      <c r="V31" s="24" t="str">
        <f>$H31&amp;"in"&amp;基本情報!$C$13</f>
        <v>in</v>
      </c>
      <c r="W31" s="24">
        <f t="shared" si="3"/>
        <v>0</v>
      </c>
      <c r="X31" s="24">
        <f>IF($H31="",0,IF($D31="樹林",IF(ISERROR(VLOOKUP($V31,市町村・植物種ごとの樹林点数DB!$A:$F,6,FALSE))=TRUE,20,VLOOKUP($V31,市町村・植物種ごとの樹林点数DB!$A:$F,6,FALSE)),IF($D31="低木・草地",IF(OR($H31="【ススキ】・【ネザサ】・【チガヤ】",$H31="不明"),45,10),0)))</f>
        <v>0</v>
      </c>
      <c r="Y31" s="24">
        <f t="shared" si="4"/>
        <v>0</v>
      </c>
      <c r="Z31" s="24">
        <f t="shared" si="5"/>
        <v>1</v>
      </c>
      <c r="AA31" s="24">
        <f t="shared" si="6"/>
        <v>0</v>
      </c>
      <c r="AB31" s="24">
        <f t="shared" si="7"/>
        <v>1</v>
      </c>
      <c r="AC31" s="25">
        <f t="shared" si="23"/>
        <v>0</v>
      </c>
      <c r="AD31" s="25">
        <f t="shared" si="24"/>
        <v>0</v>
      </c>
      <c r="AE31" s="25">
        <f t="shared" si="25"/>
        <v>0</v>
      </c>
      <c r="AF31" s="25" t="str">
        <f t="shared" si="26"/>
        <v/>
      </c>
      <c r="AG31" s="25" t="str">
        <f t="shared" si="27"/>
        <v/>
      </c>
      <c r="AH31" s="25" t="str">
        <f t="shared" si="28"/>
        <v/>
      </c>
      <c r="AI31" s="25">
        <f>IF(ISERROR(VLOOKUP($K31,割合DB!$A:$B,2,FALSE))=TRUE,0,VLOOKUP($K31,割合DB!$A:$B,2,FALSE))</f>
        <v>0</v>
      </c>
      <c r="AJ31" s="25">
        <f>IF(ISERROR(VLOOKUP($L31,割合DB!$A:$B,2,FALSE))=TRUE,0,VLOOKUP($L31,割合DB!$A:$B,2,FALSE))</f>
        <v>0</v>
      </c>
      <c r="AK31" s="25">
        <f>IF(ISERROR(VLOOKUP($M31,割合DB!$A:$B,2,FALSE))=TRUE,0,VLOOKUP($M31,割合DB!$A:$B,2,FALSE))</f>
        <v>0</v>
      </c>
      <c r="AL31" s="25">
        <f t="shared" si="29"/>
        <v>100</v>
      </c>
      <c r="AM31" s="18">
        <f t="shared" si="30"/>
        <v>100</v>
      </c>
      <c r="AN31" s="18">
        <f t="shared" si="19"/>
        <v>1</v>
      </c>
      <c r="AR31" s="24"/>
      <c r="AS31" s="24"/>
      <c r="AT31" s="24"/>
      <c r="AU31" s="24"/>
      <c r="AV31" s="24"/>
      <c r="AW31" s="24"/>
      <c r="AX31" s="24"/>
      <c r="AY31" s="24"/>
      <c r="AZ31" s="25"/>
      <c r="BA31" s="25"/>
      <c r="BB31" s="25"/>
      <c r="BC31" s="25"/>
      <c r="BD31" s="25"/>
      <c r="BE31" s="25"/>
      <c r="BF31" s="25"/>
      <c r="BG31" s="25"/>
      <c r="BH31" s="25"/>
      <c r="BI31" s="25"/>
    </row>
    <row r="32" spans="1:61" ht="27" customHeight="1" x14ac:dyDescent="0.15">
      <c r="A32" s="30" t="s">
        <v>460</v>
      </c>
      <c r="B32" s="21"/>
      <c r="C32" s="19"/>
      <c r="D32" s="40" t="str">
        <f t="shared" si="20"/>
        <v/>
      </c>
      <c r="E32" s="20"/>
      <c r="F32" s="32"/>
      <c r="G32" s="21"/>
      <c r="H32" s="22"/>
      <c r="I32" s="22"/>
      <c r="J32" s="22"/>
      <c r="K32" s="23"/>
      <c r="L32" s="23"/>
      <c r="M32" s="23"/>
      <c r="N32" s="146"/>
      <c r="O32" s="40">
        <f t="shared" si="21"/>
        <v>0</v>
      </c>
      <c r="P32" s="183" t="str">
        <f t="shared" si="22"/>
        <v/>
      </c>
      <c r="Q32" s="18">
        <f t="shared" si="1"/>
        <v>1</v>
      </c>
      <c r="R32" s="18">
        <f t="shared" si="2"/>
        <v>1</v>
      </c>
      <c r="S32" s="18">
        <f t="shared" si="16"/>
        <v>0</v>
      </c>
      <c r="T32" s="18">
        <f t="shared" si="17"/>
        <v>0</v>
      </c>
      <c r="U32" s="18">
        <f>IF($C32="人工面",0,IF($G32="",70,IF($D32="湿性環境",VLOOKUP($G32,環境タイプⅡによる点数DB!$A:$B,2,FALSE),IF($D32="樹林",VLOOKUP($G32,環境タイプⅡによる点数DB!$A:$C,3,FALSE),IF($D32="低木・草地",VLOOKUP($G32,環境タイプⅡによる点数DB!$A:$D,4,FALSE),0)))))</f>
        <v>70</v>
      </c>
      <c r="V32" s="24" t="str">
        <f>$H32&amp;"in"&amp;基本情報!$C$13</f>
        <v>in</v>
      </c>
      <c r="W32" s="24">
        <f t="shared" si="3"/>
        <v>0</v>
      </c>
      <c r="X32" s="24">
        <f>IF($H32="",0,IF($D32="樹林",IF(ISERROR(VLOOKUP($V32,市町村・植物種ごとの樹林点数DB!$A:$F,6,FALSE))=TRUE,20,VLOOKUP($V32,市町村・植物種ごとの樹林点数DB!$A:$F,6,FALSE)),IF($D32="低木・草地",IF(OR($H32="【ススキ】・【ネザサ】・【チガヤ】",$H32="不明"),45,10),0)))</f>
        <v>0</v>
      </c>
      <c r="Y32" s="24">
        <f t="shared" si="4"/>
        <v>0</v>
      </c>
      <c r="Z32" s="24">
        <f t="shared" si="5"/>
        <v>1</v>
      </c>
      <c r="AA32" s="24">
        <f t="shared" si="6"/>
        <v>0</v>
      </c>
      <c r="AB32" s="24">
        <f t="shared" si="7"/>
        <v>1</v>
      </c>
      <c r="AC32" s="25">
        <f t="shared" si="23"/>
        <v>0</v>
      </c>
      <c r="AD32" s="25">
        <f t="shared" si="24"/>
        <v>0</v>
      </c>
      <c r="AE32" s="25">
        <f t="shared" si="25"/>
        <v>0</v>
      </c>
      <c r="AF32" s="25" t="str">
        <f t="shared" si="26"/>
        <v/>
      </c>
      <c r="AG32" s="25" t="str">
        <f t="shared" si="27"/>
        <v/>
      </c>
      <c r="AH32" s="25" t="str">
        <f t="shared" si="28"/>
        <v/>
      </c>
      <c r="AI32" s="25">
        <f>IF(ISERROR(VLOOKUP($K32,割合DB!$A:$B,2,FALSE))=TRUE,0,VLOOKUP($K32,割合DB!$A:$B,2,FALSE))</f>
        <v>0</v>
      </c>
      <c r="AJ32" s="25">
        <f>IF(ISERROR(VLOOKUP($L32,割合DB!$A:$B,2,FALSE))=TRUE,0,VLOOKUP($L32,割合DB!$A:$B,2,FALSE))</f>
        <v>0</v>
      </c>
      <c r="AK32" s="25">
        <f>IF(ISERROR(VLOOKUP($M32,割合DB!$A:$B,2,FALSE))=TRUE,0,VLOOKUP($M32,割合DB!$A:$B,2,FALSE))</f>
        <v>0</v>
      </c>
      <c r="AL32" s="25">
        <f t="shared" si="29"/>
        <v>100</v>
      </c>
      <c r="AM32" s="18">
        <f t="shared" si="30"/>
        <v>100</v>
      </c>
      <c r="AN32" s="18">
        <f t="shared" si="19"/>
        <v>1</v>
      </c>
      <c r="AR32" s="24"/>
      <c r="AS32" s="24"/>
      <c r="AT32" s="24"/>
      <c r="AU32" s="24"/>
      <c r="AV32" s="24"/>
      <c r="AW32" s="24"/>
      <c r="AX32" s="24"/>
      <c r="AY32" s="24"/>
      <c r="AZ32" s="25"/>
      <c r="BA32" s="25"/>
      <c r="BB32" s="25"/>
      <c r="BC32" s="25"/>
      <c r="BD32" s="25"/>
      <c r="BE32" s="25"/>
      <c r="BF32" s="25"/>
      <c r="BG32" s="25"/>
      <c r="BH32" s="25"/>
      <c r="BI32" s="25"/>
    </row>
    <row r="33" spans="1:61" ht="27" customHeight="1" x14ac:dyDescent="0.15">
      <c r="A33" s="30" t="s">
        <v>461</v>
      </c>
      <c r="B33" s="21"/>
      <c r="C33" s="19"/>
      <c r="D33" s="40" t="str">
        <f t="shared" si="20"/>
        <v/>
      </c>
      <c r="E33" s="20"/>
      <c r="F33" s="32"/>
      <c r="G33" s="21"/>
      <c r="H33" s="22"/>
      <c r="I33" s="22"/>
      <c r="J33" s="22"/>
      <c r="K33" s="23"/>
      <c r="L33" s="23"/>
      <c r="M33" s="23"/>
      <c r="N33" s="146"/>
      <c r="O33" s="40">
        <f t="shared" si="21"/>
        <v>0</v>
      </c>
      <c r="P33" s="183" t="str">
        <f t="shared" si="22"/>
        <v/>
      </c>
      <c r="Q33" s="18">
        <f t="shared" si="1"/>
        <v>1</v>
      </c>
      <c r="R33" s="18">
        <f t="shared" si="2"/>
        <v>1</v>
      </c>
      <c r="S33" s="18">
        <f t="shared" si="16"/>
        <v>0</v>
      </c>
      <c r="T33" s="18">
        <f t="shared" si="17"/>
        <v>0</v>
      </c>
      <c r="U33" s="18">
        <f>IF($C33="人工面",0,IF($G33="",70,IF($D33="湿性環境",VLOOKUP($G33,環境タイプⅡによる点数DB!$A:$B,2,FALSE),IF($D33="樹林",VLOOKUP($G33,環境タイプⅡによる点数DB!$A:$C,3,FALSE),IF($D33="低木・草地",VLOOKUP($G33,環境タイプⅡによる点数DB!$A:$D,4,FALSE),0)))))</f>
        <v>70</v>
      </c>
      <c r="V33" s="24" t="str">
        <f>$H33&amp;"in"&amp;基本情報!$C$13</f>
        <v>in</v>
      </c>
      <c r="W33" s="24">
        <f t="shared" si="3"/>
        <v>0</v>
      </c>
      <c r="X33" s="24">
        <f>IF($H33="",0,IF($D33="樹林",IF(ISERROR(VLOOKUP($V33,市町村・植物種ごとの樹林点数DB!$A:$F,6,FALSE))=TRUE,20,VLOOKUP($V33,市町村・植物種ごとの樹林点数DB!$A:$F,6,FALSE)),IF($D33="低木・草地",IF(OR($H33="【ススキ】・【ネザサ】・【チガヤ】",$H33="不明"),45,10),0)))</f>
        <v>0</v>
      </c>
      <c r="Y33" s="24">
        <f t="shared" si="4"/>
        <v>0</v>
      </c>
      <c r="Z33" s="24">
        <f t="shared" si="5"/>
        <v>1</v>
      </c>
      <c r="AA33" s="24">
        <f t="shared" si="6"/>
        <v>0</v>
      </c>
      <c r="AB33" s="24">
        <f t="shared" si="7"/>
        <v>1</v>
      </c>
      <c r="AC33" s="25">
        <f t="shared" si="23"/>
        <v>0</v>
      </c>
      <c r="AD33" s="25">
        <f t="shared" si="24"/>
        <v>0</v>
      </c>
      <c r="AE33" s="25">
        <f t="shared" si="25"/>
        <v>0</v>
      </c>
      <c r="AF33" s="25" t="str">
        <f t="shared" si="26"/>
        <v/>
      </c>
      <c r="AG33" s="25" t="str">
        <f t="shared" si="27"/>
        <v/>
      </c>
      <c r="AH33" s="25" t="str">
        <f t="shared" si="28"/>
        <v/>
      </c>
      <c r="AI33" s="25">
        <f>IF(ISERROR(VLOOKUP($K33,割合DB!$A:$B,2,FALSE))=TRUE,0,VLOOKUP($K33,割合DB!$A:$B,2,FALSE))</f>
        <v>0</v>
      </c>
      <c r="AJ33" s="25">
        <f>IF(ISERROR(VLOOKUP($L33,割合DB!$A:$B,2,FALSE))=TRUE,0,VLOOKUP($L33,割合DB!$A:$B,2,FALSE))</f>
        <v>0</v>
      </c>
      <c r="AK33" s="25">
        <f>IF(ISERROR(VLOOKUP($M33,割合DB!$A:$B,2,FALSE))=TRUE,0,VLOOKUP($M33,割合DB!$A:$B,2,FALSE))</f>
        <v>0</v>
      </c>
      <c r="AL33" s="25">
        <f t="shared" si="29"/>
        <v>100</v>
      </c>
      <c r="AM33" s="18">
        <f t="shared" si="30"/>
        <v>100</v>
      </c>
      <c r="AN33" s="18">
        <f t="shared" si="19"/>
        <v>1</v>
      </c>
      <c r="AR33" s="24"/>
      <c r="AS33" s="24"/>
      <c r="AT33" s="24"/>
      <c r="AU33" s="24"/>
      <c r="AV33" s="24"/>
      <c r="AW33" s="24"/>
      <c r="AX33" s="24"/>
      <c r="AY33" s="24"/>
      <c r="AZ33" s="25"/>
      <c r="BA33" s="25"/>
      <c r="BB33" s="25"/>
      <c r="BC33" s="25"/>
      <c r="BD33" s="25"/>
      <c r="BE33" s="25"/>
      <c r="BF33" s="25"/>
      <c r="BG33" s="25"/>
      <c r="BH33" s="25"/>
      <c r="BI33" s="25"/>
    </row>
    <row r="34" spans="1:61" ht="27" customHeight="1" x14ac:dyDescent="0.15">
      <c r="A34" s="30" t="s">
        <v>462</v>
      </c>
      <c r="B34" s="21"/>
      <c r="C34" s="19"/>
      <c r="D34" s="40" t="str">
        <f t="shared" si="20"/>
        <v/>
      </c>
      <c r="E34" s="20"/>
      <c r="F34" s="32"/>
      <c r="G34" s="21"/>
      <c r="H34" s="22"/>
      <c r="I34" s="22"/>
      <c r="J34" s="22"/>
      <c r="K34" s="23"/>
      <c r="L34" s="23"/>
      <c r="M34" s="23"/>
      <c r="N34" s="146"/>
      <c r="O34" s="40">
        <f t="shared" si="21"/>
        <v>0</v>
      </c>
      <c r="P34" s="183" t="str">
        <f t="shared" si="22"/>
        <v/>
      </c>
      <c r="Q34" s="18">
        <f t="shared" si="1"/>
        <v>1</v>
      </c>
      <c r="R34" s="18">
        <f t="shared" si="2"/>
        <v>1</v>
      </c>
      <c r="S34" s="18">
        <f t="shared" si="16"/>
        <v>0</v>
      </c>
      <c r="T34" s="18">
        <f t="shared" si="17"/>
        <v>0</v>
      </c>
      <c r="U34" s="18">
        <f>IF($C34="人工面",0,IF($G34="",70,IF($D34="湿性環境",VLOOKUP($G34,環境タイプⅡによる点数DB!$A:$B,2,FALSE),IF($D34="樹林",VLOOKUP($G34,環境タイプⅡによる点数DB!$A:$C,3,FALSE),IF($D34="低木・草地",VLOOKUP($G34,環境タイプⅡによる点数DB!$A:$D,4,FALSE),0)))))</f>
        <v>70</v>
      </c>
      <c r="V34" s="24" t="str">
        <f>$H34&amp;"in"&amp;基本情報!$C$13</f>
        <v>in</v>
      </c>
      <c r="W34" s="24">
        <f t="shared" si="3"/>
        <v>0</v>
      </c>
      <c r="X34" s="24">
        <f>IF($H34="",0,IF($D34="樹林",IF(ISERROR(VLOOKUP($V34,市町村・植物種ごとの樹林点数DB!$A:$F,6,FALSE))=TRUE,20,VLOOKUP($V34,市町村・植物種ごとの樹林点数DB!$A:$F,6,FALSE)),IF($D34="低木・草地",IF(OR($H34="【ススキ】・【ネザサ】・【チガヤ】",$H34="不明"),45,10),0)))</f>
        <v>0</v>
      </c>
      <c r="Y34" s="24">
        <f t="shared" si="4"/>
        <v>0</v>
      </c>
      <c r="Z34" s="24">
        <f t="shared" si="5"/>
        <v>1</v>
      </c>
      <c r="AA34" s="24">
        <f t="shared" si="6"/>
        <v>0</v>
      </c>
      <c r="AB34" s="24">
        <f t="shared" si="7"/>
        <v>1</v>
      </c>
      <c r="AC34" s="25">
        <f t="shared" si="23"/>
        <v>0</v>
      </c>
      <c r="AD34" s="25">
        <f t="shared" si="24"/>
        <v>0</v>
      </c>
      <c r="AE34" s="25">
        <f t="shared" si="25"/>
        <v>0</v>
      </c>
      <c r="AF34" s="25" t="str">
        <f t="shared" si="26"/>
        <v/>
      </c>
      <c r="AG34" s="25" t="str">
        <f t="shared" si="27"/>
        <v/>
      </c>
      <c r="AH34" s="25" t="str">
        <f t="shared" si="28"/>
        <v/>
      </c>
      <c r="AI34" s="25">
        <f>IF(ISERROR(VLOOKUP($K34,割合DB!$A:$B,2,FALSE))=TRUE,0,VLOOKUP($K34,割合DB!$A:$B,2,FALSE))</f>
        <v>0</v>
      </c>
      <c r="AJ34" s="25">
        <f>IF(ISERROR(VLOOKUP($L34,割合DB!$A:$B,2,FALSE))=TRUE,0,VLOOKUP($L34,割合DB!$A:$B,2,FALSE))</f>
        <v>0</v>
      </c>
      <c r="AK34" s="25">
        <f>IF(ISERROR(VLOOKUP($M34,割合DB!$A:$B,2,FALSE))=TRUE,0,VLOOKUP($M34,割合DB!$A:$B,2,FALSE))</f>
        <v>0</v>
      </c>
      <c r="AL34" s="25">
        <f t="shared" si="29"/>
        <v>100</v>
      </c>
      <c r="AM34" s="18">
        <f t="shared" si="30"/>
        <v>100</v>
      </c>
      <c r="AN34" s="18">
        <f t="shared" si="19"/>
        <v>1</v>
      </c>
      <c r="AR34" s="24"/>
      <c r="AS34" s="24"/>
      <c r="AT34" s="24"/>
      <c r="AU34" s="24"/>
      <c r="AV34" s="24"/>
      <c r="AW34" s="24"/>
      <c r="AX34" s="24"/>
      <c r="AY34" s="24"/>
      <c r="AZ34" s="25"/>
      <c r="BA34" s="25"/>
      <c r="BB34" s="25"/>
      <c r="BC34" s="25"/>
      <c r="BD34" s="25"/>
      <c r="BE34" s="25"/>
      <c r="BF34" s="25"/>
      <c r="BG34" s="25"/>
      <c r="BH34" s="25"/>
      <c r="BI34" s="25"/>
    </row>
    <row r="35" spans="1:61" ht="27" customHeight="1" x14ac:dyDescent="0.15">
      <c r="A35" s="30" t="s">
        <v>463</v>
      </c>
      <c r="B35" s="21"/>
      <c r="C35" s="19"/>
      <c r="D35" s="40" t="str">
        <f t="shared" si="20"/>
        <v/>
      </c>
      <c r="E35" s="20"/>
      <c r="F35" s="32"/>
      <c r="G35" s="21"/>
      <c r="H35" s="22"/>
      <c r="I35" s="22"/>
      <c r="J35" s="22"/>
      <c r="K35" s="23"/>
      <c r="L35" s="23"/>
      <c r="M35" s="23"/>
      <c r="N35" s="146"/>
      <c r="O35" s="40">
        <f t="shared" si="21"/>
        <v>0</v>
      </c>
      <c r="P35" s="183" t="str">
        <f t="shared" si="22"/>
        <v/>
      </c>
      <c r="Q35" s="18">
        <f t="shared" si="1"/>
        <v>1</v>
      </c>
      <c r="R35" s="18">
        <f t="shared" si="2"/>
        <v>1</v>
      </c>
      <c r="S35" s="18">
        <f t="shared" si="16"/>
        <v>0</v>
      </c>
      <c r="T35" s="18">
        <f t="shared" si="17"/>
        <v>0</v>
      </c>
      <c r="U35" s="18">
        <f>IF($C35="人工面",0,IF($G35="",70,IF($D35="湿性環境",VLOOKUP($G35,環境タイプⅡによる点数DB!$A:$B,2,FALSE),IF($D35="樹林",VLOOKUP($G35,環境タイプⅡによる点数DB!$A:$C,3,FALSE),IF($D35="低木・草地",VLOOKUP($G35,環境タイプⅡによる点数DB!$A:$D,4,FALSE),0)))))</f>
        <v>70</v>
      </c>
      <c r="V35" s="24" t="str">
        <f>$H35&amp;"in"&amp;基本情報!$C$13</f>
        <v>in</v>
      </c>
      <c r="W35" s="24">
        <f t="shared" si="3"/>
        <v>0</v>
      </c>
      <c r="X35" s="24">
        <f>IF($H35="",0,IF($D35="樹林",IF(ISERROR(VLOOKUP($V35,市町村・植物種ごとの樹林点数DB!$A:$F,6,FALSE))=TRUE,20,VLOOKUP($V35,市町村・植物種ごとの樹林点数DB!$A:$F,6,FALSE)),IF($D35="低木・草地",IF(OR($H35="【ススキ】・【ネザサ】・【チガヤ】",$H35="不明"),45,10),0)))</f>
        <v>0</v>
      </c>
      <c r="Y35" s="24">
        <f t="shared" si="4"/>
        <v>0</v>
      </c>
      <c r="Z35" s="24">
        <f t="shared" si="5"/>
        <v>1</v>
      </c>
      <c r="AA35" s="24">
        <f t="shared" si="6"/>
        <v>0</v>
      </c>
      <c r="AB35" s="24">
        <f t="shared" si="7"/>
        <v>1</v>
      </c>
      <c r="AC35" s="25">
        <f t="shared" si="23"/>
        <v>0</v>
      </c>
      <c r="AD35" s="25">
        <f t="shared" si="24"/>
        <v>0</v>
      </c>
      <c r="AE35" s="25">
        <f t="shared" si="25"/>
        <v>0</v>
      </c>
      <c r="AF35" s="25" t="str">
        <f t="shared" si="26"/>
        <v/>
      </c>
      <c r="AG35" s="25" t="str">
        <f t="shared" si="27"/>
        <v/>
      </c>
      <c r="AH35" s="25" t="str">
        <f t="shared" si="28"/>
        <v/>
      </c>
      <c r="AI35" s="25">
        <f>IF(ISERROR(VLOOKUP($K35,割合DB!$A:$B,2,FALSE))=TRUE,0,VLOOKUP($K35,割合DB!$A:$B,2,FALSE))</f>
        <v>0</v>
      </c>
      <c r="AJ35" s="25">
        <f>IF(ISERROR(VLOOKUP($L35,割合DB!$A:$B,2,FALSE))=TRUE,0,VLOOKUP($L35,割合DB!$A:$B,2,FALSE))</f>
        <v>0</v>
      </c>
      <c r="AK35" s="25">
        <f>IF(ISERROR(VLOOKUP($M35,割合DB!$A:$B,2,FALSE))=TRUE,0,VLOOKUP($M35,割合DB!$A:$B,2,FALSE))</f>
        <v>0</v>
      </c>
      <c r="AL35" s="25">
        <f t="shared" si="29"/>
        <v>100</v>
      </c>
      <c r="AM35" s="18">
        <f t="shared" si="30"/>
        <v>100</v>
      </c>
      <c r="AN35" s="18">
        <f t="shared" si="19"/>
        <v>1</v>
      </c>
      <c r="AR35" s="24"/>
      <c r="AS35" s="24"/>
      <c r="AT35" s="24"/>
      <c r="AU35" s="24"/>
      <c r="AV35" s="24"/>
      <c r="AW35" s="24"/>
      <c r="AX35" s="24"/>
      <c r="AY35" s="24"/>
      <c r="AZ35" s="25"/>
      <c r="BA35" s="25"/>
      <c r="BB35" s="25"/>
      <c r="BC35" s="25"/>
      <c r="BD35" s="25"/>
      <c r="BE35" s="25"/>
      <c r="BF35" s="25"/>
      <c r="BG35" s="25"/>
      <c r="BH35" s="25"/>
      <c r="BI35" s="25"/>
    </row>
    <row r="36" spans="1:61" ht="27" customHeight="1" x14ac:dyDescent="0.15">
      <c r="A36" s="30" t="s">
        <v>464</v>
      </c>
      <c r="B36" s="21"/>
      <c r="C36" s="19"/>
      <c r="D36" s="40" t="str">
        <f t="shared" si="20"/>
        <v/>
      </c>
      <c r="E36" s="20"/>
      <c r="F36" s="32"/>
      <c r="G36" s="21"/>
      <c r="H36" s="22"/>
      <c r="I36" s="22"/>
      <c r="J36" s="22"/>
      <c r="K36" s="23"/>
      <c r="L36" s="23"/>
      <c r="M36" s="23"/>
      <c r="N36" s="146"/>
      <c r="O36" s="40">
        <f t="shared" si="21"/>
        <v>0</v>
      </c>
      <c r="P36" s="183" t="str">
        <f t="shared" si="22"/>
        <v/>
      </c>
      <c r="Q36" s="18">
        <f t="shared" si="1"/>
        <v>1</v>
      </c>
      <c r="R36" s="18">
        <f t="shared" si="2"/>
        <v>1</v>
      </c>
      <c r="S36" s="18">
        <f t="shared" si="16"/>
        <v>0</v>
      </c>
      <c r="T36" s="18">
        <f t="shared" si="17"/>
        <v>0</v>
      </c>
      <c r="U36" s="18">
        <f>IF($C36="人工面",0,IF($G36="",70,IF($D36="湿性環境",VLOOKUP($G36,環境タイプⅡによる点数DB!$A:$B,2,FALSE),IF($D36="樹林",VLOOKUP($G36,環境タイプⅡによる点数DB!$A:$C,3,FALSE),IF($D36="低木・草地",VLOOKUP($G36,環境タイプⅡによる点数DB!$A:$D,4,FALSE),0)))))</f>
        <v>70</v>
      </c>
      <c r="V36" s="24" t="str">
        <f>$H36&amp;"in"&amp;基本情報!$C$13</f>
        <v>in</v>
      </c>
      <c r="W36" s="24">
        <f t="shared" si="3"/>
        <v>0</v>
      </c>
      <c r="X36" s="24">
        <f>IF($H36="",0,IF($D36="樹林",IF(ISERROR(VLOOKUP($V36,市町村・植物種ごとの樹林点数DB!$A:$F,6,FALSE))=TRUE,20,VLOOKUP($V36,市町村・植物種ごとの樹林点数DB!$A:$F,6,FALSE)),IF($D36="低木・草地",IF(OR($H36="【ススキ】・【ネザサ】・【チガヤ】",$H36="不明"),45,10),0)))</f>
        <v>0</v>
      </c>
      <c r="Y36" s="24">
        <f t="shared" si="4"/>
        <v>0</v>
      </c>
      <c r="Z36" s="24">
        <f t="shared" si="5"/>
        <v>1</v>
      </c>
      <c r="AA36" s="24">
        <f t="shared" si="6"/>
        <v>0</v>
      </c>
      <c r="AB36" s="24">
        <f t="shared" si="7"/>
        <v>1</v>
      </c>
      <c r="AC36" s="25">
        <f t="shared" si="23"/>
        <v>0</v>
      </c>
      <c r="AD36" s="25">
        <f t="shared" si="24"/>
        <v>0</v>
      </c>
      <c r="AE36" s="25">
        <f t="shared" si="25"/>
        <v>0</v>
      </c>
      <c r="AF36" s="25" t="str">
        <f t="shared" si="26"/>
        <v/>
      </c>
      <c r="AG36" s="25" t="str">
        <f t="shared" si="27"/>
        <v/>
      </c>
      <c r="AH36" s="25" t="str">
        <f t="shared" si="28"/>
        <v/>
      </c>
      <c r="AI36" s="25">
        <f>IF(ISERROR(VLOOKUP($K36,割合DB!$A:$B,2,FALSE))=TRUE,0,VLOOKUP($K36,割合DB!$A:$B,2,FALSE))</f>
        <v>0</v>
      </c>
      <c r="AJ36" s="25">
        <f>IF(ISERROR(VLOOKUP($L36,割合DB!$A:$B,2,FALSE))=TRUE,0,VLOOKUP($L36,割合DB!$A:$B,2,FALSE))</f>
        <v>0</v>
      </c>
      <c r="AK36" s="25">
        <f>IF(ISERROR(VLOOKUP($M36,割合DB!$A:$B,2,FALSE))=TRUE,0,VLOOKUP($M36,割合DB!$A:$B,2,FALSE))</f>
        <v>0</v>
      </c>
      <c r="AL36" s="25">
        <f t="shared" si="29"/>
        <v>100</v>
      </c>
      <c r="AM36" s="18">
        <f t="shared" si="30"/>
        <v>100</v>
      </c>
      <c r="AN36" s="18">
        <f t="shared" si="19"/>
        <v>1</v>
      </c>
      <c r="AR36" s="24"/>
      <c r="AS36" s="24"/>
      <c r="AT36" s="24"/>
      <c r="AU36" s="24"/>
      <c r="AV36" s="24"/>
      <c r="AW36" s="24"/>
      <c r="AX36" s="24"/>
      <c r="AY36" s="24"/>
      <c r="AZ36" s="25"/>
      <c r="BA36" s="25"/>
      <c r="BB36" s="25"/>
      <c r="BC36" s="25"/>
      <c r="BD36" s="25"/>
      <c r="BE36" s="25"/>
      <c r="BF36" s="25"/>
      <c r="BG36" s="25"/>
      <c r="BH36" s="25"/>
      <c r="BI36" s="25"/>
    </row>
    <row r="37" spans="1:61" ht="27" customHeight="1" x14ac:dyDescent="0.15">
      <c r="A37" s="30" t="s">
        <v>465</v>
      </c>
      <c r="B37" s="21"/>
      <c r="C37" s="19"/>
      <c r="D37" s="40" t="str">
        <f t="shared" si="20"/>
        <v/>
      </c>
      <c r="E37" s="20"/>
      <c r="F37" s="32"/>
      <c r="G37" s="21"/>
      <c r="H37" s="22"/>
      <c r="I37" s="22"/>
      <c r="J37" s="22"/>
      <c r="K37" s="23"/>
      <c r="L37" s="23"/>
      <c r="M37" s="23"/>
      <c r="N37" s="146"/>
      <c r="O37" s="40">
        <f t="shared" si="21"/>
        <v>0</v>
      </c>
      <c r="P37" s="183" t="str">
        <f t="shared" si="22"/>
        <v/>
      </c>
      <c r="Q37" s="18">
        <f t="shared" si="1"/>
        <v>1</v>
      </c>
      <c r="R37" s="18">
        <f t="shared" si="2"/>
        <v>1</v>
      </c>
      <c r="S37" s="18">
        <f t="shared" si="16"/>
        <v>0</v>
      </c>
      <c r="T37" s="18">
        <f t="shared" si="17"/>
        <v>0</v>
      </c>
      <c r="U37" s="18">
        <f>IF($C37="人工面",0,IF($G37="",70,IF($D37="湿性環境",VLOOKUP($G37,環境タイプⅡによる点数DB!$A:$B,2,FALSE),IF($D37="樹林",VLOOKUP($G37,環境タイプⅡによる点数DB!$A:$C,3,FALSE),IF($D37="低木・草地",VLOOKUP($G37,環境タイプⅡによる点数DB!$A:$D,4,FALSE),0)))))</f>
        <v>70</v>
      </c>
      <c r="V37" s="24" t="str">
        <f>$H37&amp;"in"&amp;基本情報!$C$13</f>
        <v>in</v>
      </c>
      <c r="W37" s="24">
        <f t="shared" si="3"/>
        <v>0</v>
      </c>
      <c r="X37" s="24">
        <f>IF($H37="",0,IF($D37="樹林",IF(ISERROR(VLOOKUP($V37,市町村・植物種ごとの樹林点数DB!$A:$F,6,FALSE))=TRUE,20,VLOOKUP($V37,市町村・植物種ごとの樹林点数DB!$A:$F,6,FALSE)),IF($D37="低木・草地",IF(OR($H37="【ススキ】・【ネザサ】・【チガヤ】",$H37="不明"),45,10),0)))</f>
        <v>0</v>
      </c>
      <c r="Y37" s="24">
        <f t="shared" si="4"/>
        <v>0</v>
      </c>
      <c r="Z37" s="24">
        <f t="shared" si="5"/>
        <v>1</v>
      </c>
      <c r="AA37" s="24">
        <f t="shared" si="6"/>
        <v>0</v>
      </c>
      <c r="AB37" s="24">
        <f t="shared" si="7"/>
        <v>1</v>
      </c>
      <c r="AC37" s="25">
        <f t="shared" si="23"/>
        <v>0</v>
      </c>
      <c r="AD37" s="25">
        <f t="shared" si="24"/>
        <v>0</v>
      </c>
      <c r="AE37" s="25">
        <f t="shared" si="25"/>
        <v>0</v>
      </c>
      <c r="AF37" s="25" t="str">
        <f t="shared" si="26"/>
        <v/>
      </c>
      <c r="AG37" s="25" t="str">
        <f t="shared" si="27"/>
        <v/>
      </c>
      <c r="AH37" s="25" t="str">
        <f t="shared" si="28"/>
        <v/>
      </c>
      <c r="AI37" s="25">
        <f>IF(ISERROR(VLOOKUP($K37,割合DB!$A:$B,2,FALSE))=TRUE,0,VLOOKUP($K37,割合DB!$A:$B,2,FALSE))</f>
        <v>0</v>
      </c>
      <c r="AJ37" s="25">
        <f>IF(ISERROR(VLOOKUP($L37,割合DB!$A:$B,2,FALSE))=TRUE,0,VLOOKUP($L37,割合DB!$A:$B,2,FALSE))</f>
        <v>0</v>
      </c>
      <c r="AK37" s="25">
        <f>IF(ISERROR(VLOOKUP($M37,割合DB!$A:$B,2,FALSE))=TRUE,0,VLOOKUP($M37,割合DB!$A:$B,2,FALSE))</f>
        <v>0</v>
      </c>
      <c r="AL37" s="25">
        <f t="shared" si="29"/>
        <v>100</v>
      </c>
      <c r="AM37" s="18">
        <f t="shared" si="30"/>
        <v>100</v>
      </c>
      <c r="AN37" s="18">
        <f t="shared" si="19"/>
        <v>1</v>
      </c>
      <c r="AR37" s="24"/>
      <c r="AS37" s="24"/>
      <c r="AT37" s="24"/>
      <c r="AU37" s="24"/>
      <c r="AV37" s="24"/>
      <c r="AW37" s="24"/>
      <c r="AX37" s="24"/>
      <c r="AY37" s="24"/>
      <c r="AZ37" s="25"/>
      <c r="BA37" s="25"/>
      <c r="BB37" s="25"/>
      <c r="BC37" s="25"/>
      <c r="BD37" s="25"/>
      <c r="BE37" s="25"/>
      <c r="BF37" s="25"/>
      <c r="BG37" s="25"/>
      <c r="BH37" s="25"/>
      <c r="BI37" s="25"/>
    </row>
    <row r="38" spans="1:61" ht="27" customHeight="1" x14ac:dyDescent="0.15">
      <c r="A38" s="30" t="s">
        <v>466</v>
      </c>
      <c r="B38" s="21"/>
      <c r="C38" s="19"/>
      <c r="D38" s="40" t="str">
        <f t="shared" si="20"/>
        <v/>
      </c>
      <c r="E38" s="20"/>
      <c r="F38" s="32"/>
      <c r="G38" s="21"/>
      <c r="H38" s="22"/>
      <c r="I38" s="22"/>
      <c r="J38" s="22"/>
      <c r="K38" s="23"/>
      <c r="L38" s="23"/>
      <c r="M38" s="23"/>
      <c r="N38" s="146"/>
      <c r="O38" s="40">
        <f t="shared" si="21"/>
        <v>0</v>
      </c>
      <c r="P38" s="183" t="str">
        <f t="shared" si="22"/>
        <v/>
      </c>
      <c r="Q38" s="18">
        <f t="shared" si="1"/>
        <v>1</v>
      </c>
      <c r="R38" s="18">
        <f t="shared" si="2"/>
        <v>1</v>
      </c>
      <c r="S38" s="18">
        <f t="shared" si="16"/>
        <v>0</v>
      </c>
      <c r="T38" s="18">
        <f t="shared" si="17"/>
        <v>0</v>
      </c>
      <c r="U38" s="18">
        <f>IF($C38="人工面",0,IF($G38="",70,IF($D38="湿性環境",VLOOKUP($G38,環境タイプⅡによる点数DB!$A:$B,2,FALSE),IF($D38="樹林",VLOOKUP($G38,環境タイプⅡによる点数DB!$A:$C,3,FALSE),IF($D38="低木・草地",VLOOKUP($G38,環境タイプⅡによる点数DB!$A:$D,4,FALSE),0)))))</f>
        <v>70</v>
      </c>
      <c r="V38" s="24" t="str">
        <f>$H38&amp;"in"&amp;基本情報!$C$13</f>
        <v>in</v>
      </c>
      <c r="W38" s="24">
        <f t="shared" si="3"/>
        <v>0</v>
      </c>
      <c r="X38" s="24">
        <f>IF($H38="",0,IF($D38="樹林",IF(ISERROR(VLOOKUP($V38,市町村・植物種ごとの樹林点数DB!$A:$F,6,FALSE))=TRUE,20,VLOOKUP($V38,市町村・植物種ごとの樹林点数DB!$A:$F,6,FALSE)),IF($D38="低木・草地",IF(OR($H38="【ススキ】・【ネザサ】・【チガヤ】",$H38="不明"),45,10),0)))</f>
        <v>0</v>
      </c>
      <c r="Y38" s="24">
        <f t="shared" si="4"/>
        <v>0</v>
      </c>
      <c r="Z38" s="24">
        <f t="shared" si="5"/>
        <v>1</v>
      </c>
      <c r="AA38" s="24">
        <f t="shared" si="6"/>
        <v>0</v>
      </c>
      <c r="AB38" s="24">
        <f t="shared" si="7"/>
        <v>1</v>
      </c>
      <c r="AC38" s="25">
        <f t="shared" si="23"/>
        <v>0</v>
      </c>
      <c r="AD38" s="25">
        <f t="shared" si="24"/>
        <v>0</v>
      </c>
      <c r="AE38" s="25">
        <f t="shared" si="25"/>
        <v>0</v>
      </c>
      <c r="AF38" s="25" t="str">
        <f t="shared" si="26"/>
        <v/>
      </c>
      <c r="AG38" s="25" t="str">
        <f t="shared" si="27"/>
        <v/>
      </c>
      <c r="AH38" s="25" t="str">
        <f t="shared" si="28"/>
        <v/>
      </c>
      <c r="AI38" s="25">
        <f>IF(ISERROR(VLOOKUP($K38,割合DB!$A:$B,2,FALSE))=TRUE,0,VLOOKUP($K38,割合DB!$A:$B,2,FALSE))</f>
        <v>0</v>
      </c>
      <c r="AJ38" s="25">
        <f>IF(ISERROR(VLOOKUP($L38,割合DB!$A:$B,2,FALSE))=TRUE,0,VLOOKUP($L38,割合DB!$A:$B,2,FALSE))</f>
        <v>0</v>
      </c>
      <c r="AK38" s="25">
        <f>IF(ISERROR(VLOOKUP($M38,割合DB!$A:$B,2,FALSE))=TRUE,0,VLOOKUP($M38,割合DB!$A:$B,2,FALSE))</f>
        <v>0</v>
      </c>
      <c r="AL38" s="25">
        <f t="shared" si="29"/>
        <v>100</v>
      </c>
      <c r="AM38" s="18">
        <f t="shared" si="30"/>
        <v>100</v>
      </c>
      <c r="AN38" s="18">
        <f t="shared" si="19"/>
        <v>1</v>
      </c>
      <c r="AR38" s="24"/>
      <c r="AS38" s="24"/>
      <c r="AT38" s="24"/>
      <c r="AU38" s="24"/>
      <c r="AV38" s="24"/>
      <c r="AW38" s="24"/>
      <c r="AX38" s="24"/>
      <c r="AY38" s="24"/>
      <c r="AZ38" s="25"/>
      <c r="BA38" s="25"/>
      <c r="BB38" s="25"/>
      <c r="BC38" s="25"/>
      <c r="BD38" s="25"/>
      <c r="BE38" s="25"/>
      <c r="BF38" s="25"/>
      <c r="BG38" s="25"/>
      <c r="BH38" s="25"/>
      <c r="BI38" s="25"/>
    </row>
    <row r="39" spans="1:61" ht="27" customHeight="1" x14ac:dyDescent="0.15">
      <c r="A39" s="30" t="s">
        <v>467</v>
      </c>
      <c r="B39" s="21"/>
      <c r="C39" s="19"/>
      <c r="D39" s="40" t="str">
        <f t="shared" si="20"/>
        <v/>
      </c>
      <c r="E39" s="20"/>
      <c r="F39" s="32"/>
      <c r="G39" s="21"/>
      <c r="H39" s="22"/>
      <c r="I39" s="22"/>
      <c r="J39" s="22"/>
      <c r="K39" s="23"/>
      <c r="L39" s="23"/>
      <c r="M39" s="23"/>
      <c r="N39" s="146"/>
      <c r="O39" s="40">
        <f t="shared" si="21"/>
        <v>0</v>
      </c>
      <c r="P39" s="183" t="str">
        <f t="shared" si="22"/>
        <v/>
      </c>
      <c r="Q39" s="18">
        <f t="shared" si="1"/>
        <v>1</v>
      </c>
      <c r="R39" s="18">
        <f t="shared" si="2"/>
        <v>1</v>
      </c>
      <c r="S39" s="18">
        <f t="shared" si="16"/>
        <v>0</v>
      </c>
      <c r="T39" s="18">
        <f t="shared" si="17"/>
        <v>0</v>
      </c>
      <c r="U39" s="18">
        <f>IF($C39="人工面",0,IF($G39="",70,IF($D39="湿性環境",VLOOKUP($G39,環境タイプⅡによる点数DB!$A:$B,2,FALSE),IF($D39="樹林",VLOOKUP($G39,環境タイプⅡによる点数DB!$A:$C,3,FALSE),IF($D39="低木・草地",VLOOKUP($G39,環境タイプⅡによる点数DB!$A:$D,4,FALSE),0)))))</f>
        <v>70</v>
      </c>
      <c r="V39" s="24" t="str">
        <f>$H39&amp;"in"&amp;基本情報!$C$13</f>
        <v>in</v>
      </c>
      <c r="W39" s="24">
        <f t="shared" si="3"/>
        <v>0</v>
      </c>
      <c r="X39" s="24">
        <f>IF($H39="",0,IF($D39="樹林",IF(ISERROR(VLOOKUP($V39,市町村・植物種ごとの樹林点数DB!$A:$F,6,FALSE))=TRUE,20,VLOOKUP($V39,市町村・植物種ごとの樹林点数DB!$A:$F,6,FALSE)),IF($D39="低木・草地",IF(OR($H39="【ススキ】・【ネザサ】・【チガヤ】",$H39="不明"),45,10),0)))</f>
        <v>0</v>
      </c>
      <c r="Y39" s="24">
        <f t="shared" si="4"/>
        <v>0</v>
      </c>
      <c r="Z39" s="24">
        <f t="shared" si="5"/>
        <v>1</v>
      </c>
      <c r="AA39" s="24">
        <f t="shared" si="6"/>
        <v>0</v>
      </c>
      <c r="AB39" s="24">
        <f t="shared" si="7"/>
        <v>1</v>
      </c>
      <c r="AC39" s="25">
        <f t="shared" si="23"/>
        <v>0</v>
      </c>
      <c r="AD39" s="25">
        <f t="shared" si="24"/>
        <v>0</v>
      </c>
      <c r="AE39" s="25">
        <f t="shared" si="25"/>
        <v>0</v>
      </c>
      <c r="AF39" s="25" t="str">
        <f t="shared" si="26"/>
        <v/>
      </c>
      <c r="AG39" s="25" t="str">
        <f t="shared" si="27"/>
        <v/>
      </c>
      <c r="AH39" s="25" t="str">
        <f t="shared" si="28"/>
        <v/>
      </c>
      <c r="AI39" s="25">
        <f>IF(ISERROR(VLOOKUP($K39,割合DB!$A:$B,2,FALSE))=TRUE,0,VLOOKUP($K39,割合DB!$A:$B,2,FALSE))</f>
        <v>0</v>
      </c>
      <c r="AJ39" s="25">
        <f>IF(ISERROR(VLOOKUP($L39,割合DB!$A:$B,2,FALSE))=TRUE,0,VLOOKUP($L39,割合DB!$A:$B,2,FALSE))</f>
        <v>0</v>
      </c>
      <c r="AK39" s="25">
        <f>IF(ISERROR(VLOOKUP($M39,割合DB!$A:$B,2,FALSE))=TRUE,0,VLOOKUP($M39,割合DB!$A:$B,2,FALSE))</f>
        <v>0</v>
      </c>
      <c r="AL39" s="25">
        <f t="shared" si="29"/>
        <v>100</v>
      </c>
      <c r="AM39" s="18">
        <f t="shared" si="30"/>
        <v>100</v>
      </c>
      <c r="AN39" s="18">
        <f t="shared" si="19"/>
        <v>1</v>
      </c>
      <c r="AR39" s="24"/>
      <c r="AS39" s="24"/>
      <c r="AT39" s="24"/>
      <c r="AU39" s="24"/>
      <c r="AV39" s="24"/>
      <c r="AW39" s="24"/>
      <c r="AX39" s="24"/>
      <c r="AY39" s="24"/>
      <c r="AZ39" s="25"/>
      <c r="BA39" s="25"/>
      <c r="BB39" s="25"/>
      <c r="BC39" s="25"/>
      <c r="BD39" s="25"/>
      <c r="BE39" s="25"/>
      <c r="BF39" s="25"/>
      <c r="BG39" s="25"/>
      <c r="BH39" s="25"/>
      <c r="BI39" s="25"/>
    </row>
    <row r="40" spans="1:61" ht="27" customHeight="1" x14ac:dyDescent="0.15">
      <c r="A40" s="30" t="s">
        <v>468</v>
      </c>
      <c r="B40" s="21"/>
      <c r="C40" s="19"/>
      <c r="D40" s="40" t="str">
        <f t="shared" si="20"/>
        <v/>
      </c>
      <c r="E40" s="20"/>
      <c r="F40" s="32"/>
      <c r="G40" s="21"/>
      <c r="H40" s="22"/>
      <c r="I40" s="22"/>
      <c r="J40" s="22"/>
      <c r="K40" s="23"/>
      <c r="L40" s="23"/>
      <c r="M40" s="23"/>
      <c r="N40" s="146"/>
      <c r="O40" s="40">
        <f t="shared" si="21"/>
        <v>0</v>
      </c>
      <c r="P40" s="183" t="str">
        <f t="shared" si="22"/>
        <v/>
      </c>
      <c r="Q40" s="18">
        <f t="shared" si="1"/>
        <v>1</v>
      </c>
      <c r="R40" s="18">
        <f t="shared" si="2"/>
        <v>1</v>
      </c>
      <c r="S40" s="18">
        <f t="shared" si="16"/>
        <v>0</v>
      </c>
      <c r="T40" s="18">
        <f t="shared" si="17"/>
        <v>0</v>
      </c>
      <c r="U40" s="18">
        <f>IF($C40="人工面",0,IF($G40="",70,IF($D40="湿性環境",VLOOKUP($G40,環境タイプⅡによる点数DB!$A:$B,2,FALSE),IF($D40="樹林",VLOOKUP($G40,環境タイプⅡによる点数DB!$A:$C,3,FALSE),IF($D40="低木・草地",VLOOKUP($G40,環境タイプⅡによる点数DB!$A:$D,4,FALSE),0)))))</f>
        <v>70</v>
      </c>
      <c r="V40" s="24" t="str">
        <f>$H40&amp;"in"&amp;基本情報!$C$13</f>
        <v>in</v>
      </c>
      <c r="W40" s="24">
        <f t="shared" si="3"/>
        <v>0</v>
      </c>
      <c r="X40" s="24">
        <f>IF($H40="",0,IF($D40="樹林",IF(ISERROR(VLOOKUP($V40,市町村・植物種ごとの樹林点数DB!$A:$F,6,FALSE))=TRUE,20,VLOOKUP($V40,市町村・植物種ごとの樹林点数DB!$A:$F,6,FALSE)),IF($D40="低木・草地",IF(OR($H40="【ススキ】・【ネザサ】・【チガヤ】",$H40="不明"),45,10),0)))</f>
        <v>0</v>
      </c>
      <c r="Y40" s="24">
        <f t="shared" si="4"/>
        <v>0</v>
      </c>
      <c r="Z40" s="24">
        <f t="shared" si="5"/>
        <v>1</v>
      </c>
      <c r="AA40" s="24">
        <f t="shared" si="6"/>
        <v>0</v>
      </c>
      <c r="AB40" s="24">
        <f t="shared" si="7"/>
        <v>1</v>
      </c>
      <c r="AC40" s="25">
        <f t="shared" si="23"/>
        <v>0</v>
      </c>
      <c r="AD40" s="25">
        <f t="shared" si="24"/>
        <v>0</v>
      </c>
      <c r="AE40" s="25">
        <f t="shared" si="25"/>
        <v>0</v>
      </c>
      <c r="AF40" s="25" t="str">
        <f t="shared" si="26"/>
        <v/>
      </c>
      <c r="AG40" s="25" t="str">
        <f t="shared" si="27"/>
        <v/>
      </c>
      <c r="AH40" s="25" t="str">
        <f t="shared" si="28"/>
        <v/>
      </c>
      <c r="AI40" s="25">
        <f>IF(ISERROR(VLOOKUP($K40,割合DB!$A:$B,2,FALSE))=TRUE,0,VLOOKUP($K40,割合DB!$A:$B,2,FALSE))</f>
        <v>0</v>
      </c>
      <c r="AJ40" s="25">
        <f>IF(ISERROR(VLOOKUP($L40,割合DB!$A:$B,2,FALSE))=TRUE,0,VLOOKUP($L40,割合DB!$A:$B,2,FALSE))</f>
        <v>0</v>
      </c>
      <c r="AK40" s="25">
        <f>IF(ISERROR(VLOOKUP($M40,割合DB!$A:$B,2,FALSE))=TRUE,0,VLOOKUP($M40,割合DB!$A:$B,2,FALSE))</f>
        <v>0</v>
      </c>
      <c r="AL40" s="25">
        <f t="shared" si="29"/>
        <v>100</v>
      </c>
      <c r="AM40" s="18">
        <f t="shared" si="30"/>
        <v>100</v>
      </c>
      <c r="AN40" s="18">
        <f t="shared" si="19"/>
        <v>1</v>
      </c>
      <c r="AR40" s="24"/>
      <c r="AS40" s="24"/>
      <c r="AT40" s="24"/>
      <c r="AU40" s="24"/>
      <c r="AV40" s="24"/>
      <c r="AW40" s="24"/>
      <c r="AX40" s="24"/>
      <c r="AY40" s="24"/>
      <c r="AZ40" s="25"/>
      <c r="BA40" s="25"/>
      <c r="BB40" s="25"/>
      <c r="BC40" s="25"/>
      <c r="BD40" s="25"/>
      <c r="BE40" s="25"/>
      <c r="BF40" s="25"/>
      <c r="BG40" s="25"/>
      <c r="BH40" s="25"/>
      <c r="BI40" s="25"/>
    </row>
    <row r="41" spans="1:61" ht="27" customHeight="1" x14ac:dyDescent="0.15">
      <c r="A41" s="30" t="s">
        <v>469</v>
      </c>
      <c r="B41" s="21"/>
      <c r="C41" s="19"/>
      <c r="D41" s="40" t="str">
        <f t="shared" si="20"/>
        <v/>
      </c>
      <c r="E41" s="20"/>
      <c r="F41" s="32"/>
      <c r="G41" s="21"/>
      <c r="H41" s="22"/>
      <c r="I41" s="22"/>
      <c r="J41" s="22"/>
      <c r="K41" s="23"/>
      <c r="L41" s="23"/>
      <c r="M41" s="23"/>
      <c r="N41" s="146"/>
      <c r="O41" s="40">
        <f t="shared" si="21"/>
        <v>0</v>
      </c>
      <c r="P41" s="183" t="str">
        <f t="shared" si="22"/>
        <v/>
      </c>
      <c r="Q41" s="18">
        <f t="shared" si="1"/>
        <v>1</v>
      </c>
      <c r="R41" s="18">
        <f t="shared" si="2"/>
        <v>1</v>
      </c>
      <c r="S41" s="18">
        <f t="shared" si="16"/>
        <v>0</v>
      </c>
      <c r="T41" s="18">
        <f t="shared" si="17"/>
        <v>0</v>
      </c>
      <c r="U41" s="18">
        <f>IF($C41="人工面",0,IF($G41="",70,IF($D41="湿性環境",VLOOKUP($G41,環境タイプⅡによる点数DB!$A:$B,2,FALSE),IF($D41="樹林",VLOOKUP($G41,環境タイプⅡによる点数DB!$A:$C,3,FALSE),IF($D41="低木・草地",VLOOKUP($G41,環境タイプⅡによる点数DB!$A:$D,4,FALSE),0)))))</f>
        <v>70</v>
      </c>
      <c r="V41" s="24" t="str">
        <f>$H41&amp;"in"&amp;基本情報!$C$13</f>
        <v>in</v>
      </c>
      <c r="W41" s="24">
        <f t="shared" si="3"/>
        <v>0</v>
      </c>
      <c r="X41" s="24">
        <f>IF($H41="",0,IF($D41="樹林",IF(ISERROR(VLOOKUP($V41,市町村・植物種ごとの樹林点数DB!$A:$F,6,FALSE))=TRUE,20,VLOOKUP($V41,市町村・植物種ごとの樹林点数DB!$A:$F,6,FALSE)),IF($D41="低木・草地",IF(OR($H41="【ススキ】・【ネザサ】・【チガヤ】",$H41="不明"),45,10),0)))</f>
        <v>0</v>
      </c>
      <c r="Y41" s="24">
        <f t="shared" si="4"/>
        <v>0</v>
      </c>
      <c r="Z41" s="24">
        <f t="shared" si="5"/>
        <v>1</v>
      </c>
      <c r="AA41" s="24">
        <f t="shared" si="6"/>
        <v>0</v>
      </c>
      <c r="AB41" s="24">
        <f t="shared" si="7"/>
        <v>1</v>
      </c>
      <c r="AC41" s="25">
        <f t="shared" si="23"/>
        <v>0</v>
      </c>
      <c r="AD41" s="25">
        <f t="shared" si="24"/>
        <v>0</v>
      </c>
      <c r="AE41" s="25">
        <f t="shared" si="25"/>
        <v>0</v>
      </c>
      <c r="AF41" s="25" t="str">
        <f t="shared" si="26"/>
        <v/>
      </c>
      <c r="AG41" s="25" t="str">
        <f t="shared" si="27"/>
        <v/>
      </c>
      <c r="AH41" s="25" t="str">
        <f t="shared" si="28"/>
        <v/>
      </c>
      <c r="AI41" s="25">
        <f>IF(ISERROR(VLOOKUP($K41,割合DB!$A:$B,2,FALSE))=TRUE,0,VLOOKUP($K41,割合DB!$A:$B,2,FALSE))</f>
        <v>0</v>
      </c>
      <c r="AJ41" s="25">
        <f>IF(ISERROR(VLOOKUP($L41,割合DB!$A:$B,2,FALSE))=TRUE,0,VLOOKUP($L41,割合DB!$A:$B,2,FALSE))</f>
        <v>0</v>
      </c>
      <c r="AK41" s="25">
        <f>IF(ISERROR(VLOOKUP($M41,割合DB!$A:$B,2,FALSE))=TRUE,0,VLOOKUP($M41,割合DB!$A:$B,2,FALSE))</f>
        <v>0</v>
      </c>
      <c r="AL41" s="25">
        <f t="shared" si="29"/>
        <v>100</v>
      </c>
      <c r="AM41" s="18">
        <f t="shared" si="30"/>
        <v>100</v>
      </c>
      <c r="AN41" s="18">
        <f t="shared" si="19"/>
        <v>1</v>
      </c>
      <c r="AR41" s="24"/>
      <c r="AS41" s="24"/>
      <c r="AT41" s="24"/>
      <c r="AU41" s="24"/>
      <c r="AV41" s="24"/>
      <c r="AW41" s="24"/>
      <c r="AX41" s="24"/>
      <c r="AY41" s="24"/>
      <c r="AZ41" s="25"/>
      <c r="BA41" s="25"/>
      <c r="BB41" s="25"/>
      <c r="BC41" s="25"/>
      <c r="BD41" s="25"/>
      <c r="BE41" s="25"/>
      <c r="BF41" s="25"/>
      <c r="BG41" s="25"/>
      <c r="BH41" s="25"/>
      <c r="BI41" s="25"/>
    </row>
    <row r="42" spans="1:61" ht="27" customHeight="1" x14ac:dyDescent="0.15">
      <c r="A42" s="30" t="s">
        <v>470</v>
      </c>
      <c r="B42" s="21"/>
      <c r="C42" s="19"/>
      <c r="D42" s="40" t="str">
        <f t="shared" si="20"/>
        <v/>
      </c>
      <c r="E42" s="20"/>
      <c r="F42" s="32"/>
      <c r="G42" s="21"/>
      <c r="H42" s="22"/>
      <c r="I42" s="22"/>
      <c r="J42" s="22"/>
      <c r="K42" s="23"/>
      <c r="L42" s="23"/>
      <c r="M42" s="23"/>
      <c r="N42" s="146"/>
      <c r="O42" s="40">
        <f t="shared" si="21"/>
        <v>0</v>
      </c>
      <c r="P42" s="183" t="str">
        <f t="shared" si="22"/>
        <v/>
      </c>
      <c r="Q42" s="18">
        <f t="shared" si="1"/>
        <v>1</v>
      </c>
      <c r="R42" s="18">
        <f t="shared" si="2"/>
        <v>1</v>
      </c>
      <c r="S42" s="18">
        <f t="shared" si="16"/>
        <v>0</v>
      </c>
      <c r="T42" s="18">
        <f t="shared" si="17"/>
        <v>0</v>
      </c>
      <c r="U42" s="18">
        <f>IF($C42="人工面",0,IF($G42="",70,IF($D42="湿性環境",VLOOKUP($G42,環境タイプⅡによる点数DB!$A:$B,2,FALSE),IF($D42="樹林",VLOOKUP($G42,環境タイプⅡによる点数DB!$A:$C,3,FALSE),IF($D42="低木・草地",VLOOKUP($G42,環境タイプⅡによる点数DB!$A:$D,4,FALSE),0)))))</f>
        <v>70</v>
      </c>
      <c r="V42" s="24" t="str">
        <f>$H42&amp;"in"&amp;基本情報!$C$13</f>
        <v>in</v>
      </c>
      <c r="W42" s="24">
        <f t="shared" si="3"/>
        <v>0</v>
      </c>
      <c r="X42" s="24">
        <f>IF($H42="",0,IF($D42="樹林",IF(ISERROR(VLOOKUP($V42,市町村・植物種ごとの樹林点数DB!$A:$F,6,FALSE))=TRUE,20,VLOOKUP($V42,市町村・植物種ごとの樹林点数DB!$A:$F,6,FALSE)),IF($D42="低木・草地",IF(OR($H42="【ススキ】・【ネザサ】・【チガヤ】",$H42="不明"),45,10),0)))</f>
        <v>0</v>
      </c>
      <c r="Y42" s="24">
        <f t="shared" si="4"/>
        <v>0</v>
      </c>
      <c r="Z42" s="24">
        <f t="shared" si="5"/>
        <v>1</v>
      </c>
      <c r="AA42" s="24">
        <f t="shared" si="6"/>
        <v>0</v>
      </c>
      <c r="AB42" s="24">
        <f t="shared" si="7"/>
        <v>1</v>
      </c>
      <c r="AC42" s="25">
        <f t="shared" si="23"/>
        <v>0</v>
      </c>
      <c r="AD42" s="25">
        <f t="shared" si="24"/>
        <v>0</v>
      </c>
      <c r="AE42" s="25">
        <f t="shared" si="25"/>
        <v>0</v>
      </c>
      <c r="AF42" s="25" t="str">
        <f t="shared" si="26"/>
        <v/>
      </c>
      <c r="AG42" s="25" t="str">
        <f t="shared" si="27"/>
        <v/>
      </c>
      <c r="AH42" s="25" t="str">
        <f t="shared" si="28"/>
        <v/>
      </c>
      <c r="AI42" s="25">
        <f>IF(ISERROR(VLOOKUP($K42,割合DB!$A:$B,2,FALSE))=TRUE,0,VLOOKUP($K42,割合DB!$A:$B,2,FALSE))</f>
        <v>0</v>
      </c>
      <c r="AJ42" s="25">
        <f>IF(ISERROR(VLOOKUP($L42,割合DB!$A:$B,2,FALSE))=TRUE,0,VLOOKUP($L42,割合DB!$A:$B,2,FALSE))</f>
        <v>0</v>
      </c>
      <c r="AK42" s="25">
        <f>IF(ISERROR(VLOOKUP($M42,割合DB!$A:$B,2,FALSE))=TRUE,0,VLOOKUP($M42,割合DB!$A:$B,2,FALSE))</f>
        <v>0</v>
      </c>
      <c r="AL42" s="25">
        <f t="shared" si="29"/>
        <v>100</v>
      </c>
      <c r="AM42" s="18">
        <f t="shared" si="30"/>
        <v>100</v>
      </c>
      <c r="AN42" s="18">
        <f t="shared" si="19"/>
        <v>1</v>
      </c>
      <c r="AR42" s="24"/>
      <c r="AS42" s="24"/>
      <c r="AT42" s="24"/>
      <c r="AU42" s="24"/>
      <c r="AV42" s="24"/>
      <c r="AW42" s="24"/>
      <c r="AX42" s="24"/>
      <c r="AY42" s="24"/>
      <c r="AZ42" s="25"/>
      <c r="BA42" s="25"/>
      <c r="BB42" s="25"/>
      <c r="BC42" s="25"/>
      <c r="BD42" s="25"/>
      <c r="BE42" s="25"/>
      <c r="BF42" s="25"/>
      <c r="BG42" s="25"/>
      <c r="BH42" s="25"/>
      <c r="BI42" s="25"/>
    </row>
    <row r="43" spans="1:61" ht="27" customHeight="1" x14ac:dyDescent="0.15">
      <c r="A43" s="30" t="s">
        <v>471</v>
      </c>
      <c r="B43" s="21"/>
      <c r="C43" s="19"/>
      <c r="D43" s="40" t="str">
        <f t="shared" si="20"/>
        <v/>
      </c>
      <c r="E43" s="20"/>
      <c r="F43" s="32"/>
      <c r="G43" s="21"/>
      <c r="H43" s="22"/>
      <c r="I43" s="22"/>
      <c r="J43" s="22"/>
      <c r="K43" s="23"/>
      <c r="L43" s="23"/>
      <c r="M43" s="23"/>
      <c r="N43" s="146"/>
      <c r="O43" s="40">
        <f t="shared" si="21"/>
        <v>0</v>
      </c>
      <c r="P43" s="183" t="str">
        <f t="shared" si="22"/>
        <v/>
      </c>
      <c r="Q43" s="18">
        <f t="shared" si="1"/>
        <v>1</v>
      </c>
      <c r="R43" s="18">
        <f t="shared" si="2"/>
        <v>1</v>
      </c>
      <c r="S43" s="18">
        <f t="shared" si="16"/>
        <v>0</v>
      </c>
      <c r="T43" s="18">
        <f t="shared" si="17"/>
        <v>0</v>
      </c>
      <c r="U43" s="18">
        <f>IF($C43="人工面",0,IF($G43="",70,IF($D43="湿性環境",VLOOKUP($G43,環境タイプⅡによる点数DB!$A:$B,2,FALSE),IF($D43="樹林",VLOOKUP($G43,環境タイプⅡによる点数DB!$A:$C,3,FALSE),IF($D43="低木・草地",VLOOKUP($G43,環境タイプⅡによる点数DB!$A:$D,4,FALSE),0)))))</f>
        <v>70</v>
      </c>
      <c r="V43" s="24" t="str">
        <f>$H43&amp;"in"&amp;基本情報!$C$13</f>
        <v>in</v>
      </c>
      <c r="W43" s="24">
        <f t="shared" si="3"/>
        <v>0</v>
      </c>
      <c r="X43" s="24">
        <f>IF($H43="",0,IF($D43="樹林",IF(ISERROR(VLOOKUP($V43,市町村・植物種ごとの樹林点数DB!$A:$F,6,FALSE))=TRUE,20,VLOOKUP($V43,市町村・植物種ごとの樹林点数DB!$A:$F,6,FALSE)),IF($D43="低木・草地",IF(OR($H43="【ススキ】・【ネザサ】・【チガヤ】",$H43="不明"),45,10),0)))</f>
        <v>0</v>
      </c>
      <c r="Y43" s="24">
        <f t="shared" si="4"/>
        <v>0</v>
      </c>
      <c r="Z43" s="24">
        <f t="shared" si="5"/>
        <v>1</v>
      </c>
      <c r="AA43" s="24">
        <f t="shared" si="6"/>
        <v>0</v>
      </c>
      <c r="AB43" s="24">
        <f t="shared" si="7"/>
        <v>1</v>
      </c>
      <c r="AC43" s="25">
        <f t="shared" si="23"/>
        <v>0</v>
      </c>
      <c r="AD43" s="25">
        <f t="shared" si="24"/>
        <v>0</v>
      </c>
      <c r="AE43" s="25">
        <f t="shared" si="25"/>
        <v>0</v>
      </c>
      <c r="AF43" s="25" t="str">
        <f t="shared" si="26"/>
        <v/>
      </c>
      <c r="AG43" s="25" t="str">
        <f t="shared" si="27"/>
        <v/>
      </c>
      <c r="AH43" s="25" t="str">
        <f t="shared" si="28"/>
        <v/>
      </c>
      <c r="AI43" s="25">
        <f>IF(ISERROR(VLOOKUP($K43,割合DB!$A:$B,2,FALSE))=TRUE,0,VLOOKUP($K43,割合DB!$A:$B,2,FALSE))</f>
        <v>0</v>
      </c>
      <c r="AJ43" s="25">
        <f>IF(ISERROR(VLOOKUP($L43,割合DB!$A:$B,2,FALSE))=TRUE,0,VLOOKUP($L43,割合DB!$A:$B,2,FALSE))</f>
        <v>0</v>
      </c>
      <c r="AK43" s="25">
        <f>IF(ISERROR(VLOOKUP($M43,割合DB!$A:$B,2,FALSE))=TRUE,0,VLOOKUP($M43,割合DB!$A:$B,2,FALSE))</f>
        <v>0</v>
      </c>
      <c r="AL43" s="25">
        <f t="shared" si="29"/>
        <v>100</v>
      </c>
      <c r="AM43" s="18">
        <f t="shared" si="30"/>
        <v>100</v>
      </c>
      <c r="AN43" s="18">
        <f t="shared" si="19"/>
        <v>1</v>
      </c>
      <c r="AR43" s="24"/>
      <c r="AS43" s="24"/>
      <c r="AT43" s="24"/>
      <c r="AU43" s="24"/>
      <c r="AV43" s="24"/>
      <c r="AW43" s="24"/>
      <c r="AX43" s="24"/>
      <c r="AY43" s="24"/>
      <c r="AZ43" s="25"/>
      <c r="BA43" s="25"/>
      <c r="BB43" s="25"/>
      <c r="BC43" s="25"/>
      <c r="BD43" s="25"/>
      <c r="BE43" s="25"/>
      <c r="BF43" s="25"/>
      <c r="BG43" s="25"/>
      <c r="BH43" s="25"/>
      <c r="BI43" s="25"/>
    </row>
    <row r="44" spans="1:61" ht="27" customHeight="1" x14ac:dyDescent="0.15">
      <c r="A44" s="30" t="s">
        <v>472</v>
      </c>
      <c r="B44" s="21"/>
      <c r="C44" s="19"/>
      <c r="D44" s="40" t="str">
        <f t="shared" si="20"/>
        <v/>
      </c>
      <c r="E44" s="20"/>
      <c r="F44" s="32"/>
      <c r="G44" s="21"/>
      <c r="H44" s="22"/>
      <c r="I44" s="22"/>
      <c r="J44" s="22"/>
      <c r="K44" s="23"/>
      <c r="L44" s="23"/>
      <c r="M44" s="23"/>
      <c r="N44" s="146"/>
      <c r="O44" s="40">
        <f t="shared" si="21"/>
        <v>0</v>
      </c>
      <c r="P44" s="183" t="str">
        <f t="shared" si="22"/>
        <v/>
      </c>
      <c r="Q44" s="18">
        <f t="shared" si="1"/>
        <v>1</v>
      </c>
      <c r="R44" s="18">
        <f t="shared" si="2"/>
        <v>1</v>
      </c>
      <c r="S44" s="18">
        <f t="shared" si="16"/>
        <v>0</v>
      </c>
      <c r="T44" s="18">
        <f t="shared" si="17"/>
        <v>0</v>
      </c>
      <c r="U44" s="18">
        <f>IF($C44="人工面",0,IF($G44="",70,IF($D44="湿性環境",VLOOKUP($G44,環境タイプⅡによる点数DB!$A:$B,2,FALSE),IF($D44="樹林",VLOOKUP($G44,環境タイプⅡによる点数DB!$A:$C,3,FALSE),IF($D44="低木・草地",VLOOKUP($G44,環境タイプⅡによる点数DB!$A:$D,4,FALSE),0)))))</f>
        <v>70</v>
      </c>
      <c r="V44" s="24" t="str">
        <f>$H44&amp;"in"&amp;基本情報!$C$13</f>
        <v>in</v>
      </c>
      <c r="W44" s="24">
        <f t="shared" si="3"/>
        <v>0</v>
      </c>
      <c r="X44" s="24">
        <f>IF($H44="",0,IF($D44="樹林",IF(ISERROR(VLOOKUP($V44,市町村・植物種ごとの樹林点数DB!$A:$F,6,FALSE))=TRUE,20,VLOOKUP($V44,市町村・植物種ごとの樹林点数DB!$A:$F,6,FALSE)),IF($D44="低木・草地",IF(OR($H44="【ススキ】・【ネザサ】・【チガヤ】",$H44="不明"),45,10),0)))</f>
        <v>0</v>
      </c>
      <c r="Y44" s="24">
        <f t="shared" si="4"/>
        <v>0</v>
      </c>
      <c r="Z44" s="24">
        <f t="shared" si="5"/>
        <v>1</v>
      </c>
      <c r="AA44" s="24">
        <f t="shared" si="6"/>
        <v>0</v>
      </c>
      <c r="AB44" s="24">
        <f t="shared" si="7"/>
        <v>1</v>
      </c>
      <c r="AC44" s="25">
        <f t="shared" si="23"/>
        <v>0</v>
      </c>
      <c r="AD44" s="25">
        <f t="shared" si="24"/>
        <v>0</v>
      </c>
      <c r="AE44" s="25">
        <f t="shared" si="25"/>
        <v>0</v>
      </c>
      <c r="AF44" s="25" t="str">
        <f t="shared" si="26"/>
        <v/>
      </c>
      <c r="AG44" s="25" t="str">
        <f t="shared" si="27"/>
        <v/>
      </c>
      <c r="AH44" s="25" t="str">
        <f t="shared" si="28"/>
        <v/>
      </c>
      <c r="AI44" s="25">
        <f>IF(ISERROR(VLOOKUP($K44,割合DB!$A:$B,2,FALSE))=TRUE,0,VLOOKUP($K44,割合DB!$A:$B,2,FALSE))</f>
        <v>0</v>
      </c>
      <c r="AJ44" s="25">
        <f>IF(ISERROR(VLOOKUP($L44,割合DB!$A:$B,2,FALSE))=TRUE,0,VLOOKUP($L44,割合DB!$A:$B,2,FALSE))</f>
        <v>0</v>
      </c>
      <c r="AK44" s="25">
        <f>IF(ISERROR(VLOOKUP($M44,割合DB!$A:$B,2,FALSE))=TRUE,0,VLOOKUP($M44,割合DB!$A:$B,2,FALSE))</f>
        <v>0</v>
      </c>
      <c r="AL44" s="25">
        <f t="shared" si="29"/>
        <v>100</v>
      </c>
      <c r="AM44" s="18">
        <f t="shared" si="30"/>
        <v>100</v>
      </c>
      <c r="AN44" s="18">
        <f t="shared" si="19"/>
        <v>1</v>
      </c>
      <c r="AR44" s="24"/>
      <c r="AS44" s="24"/>
      <c r="AT44" s="24"/>
      <c r="AU44" s="24"/>
      <c r="AV44" s="24"/>
      <c r="AW44" s="24"/>
      <c r="AX44" s="24"/>
      <c r="AY44" s="24"/>
      <c r="AZ44" s="25"/>
      <c r="BA44" s="25"/>
      <c r="BB44" s="25"/>
      <c r="BC44" s="25"/>
      <c r="BD44" s="25"/>
      <c r="BE44" s="25"/>
      <c r="BF44" s="25"/>
      <c r="BG44" s="25"/>
      <c r="BH44" s="25"/>
      <c r="BI44" s="25"/>
    </row>
    <row r="45" spans="1:61" ht="27" customHeight="1" x14ac:dyDescent="0.15">
      <c r="A45" s="30" t="s">
        <v>473</v>
      </c>
      <c r="B45" s="21"/>
      <c r="C45" s="19"/>
      <c r="D45" s="40" t="str">
        <f t="shared" si="20"/>
        <v/>
      </c>
      <c r="E45" s="20"/>
      <c r="F45" s="32"/>
      <c r="G45" s="21"/>
      <c r="H45" s="22"/>
      <c r="I45" s="22"/>
      <c r="J45" s="22"/>
      <c r="K45" s="23"/>
      <c r="L45" s="23"/>
      <c r="M45" s="23"/>
      <c r="N45" s="146"/>
      <c r="O45" s="40">
        <f t="shared" si="21"/>
        <v>0</v>
      </c>
      <c r="P45" s="183" t="str">
        <f t="shared" si="22"/>
        <v/>
      </c>
      <c r="Q45" s="18">
        <f t="shared" si="1"/>
        <v>1</v>
      </c>
      <c r="R45" s="18">
        <f t="shared" si="2"/>
        <v>1</v>
      </c>
      <c r="S45" s="18">
        <f t="shared" si="16"/>
        <v>0</v>
      </c>
      <c r="T45" s="18">
        <f t="shared" si="17"/>
        <v>0</v>
      </c>
      <c r="U45" s="18">
        <f>IF($C45="人工面",0,IF($G45="",70,IF($D45="湿性環境",VLOOKUP($G45,環境タイプⅡによる点数DB!$A:$B,2,FALSE),IF($D45="樹林",VLOOKUP($G45,環境タイプⅡによる点数DB!$A:$C,3,FALSE),IF($D45="低木・草地",VLOOKUP($G45,環境タイプⅡによる点数DB!$A:$D,4,FALSE),0)))))</f>
        <v>70</v>
      </c>
      <c r="V45" s="24" t="str">
        <f>$H45&amp;"in"&amp;基本情報!$C$13</f>
        <v>in</v>
      </c>
      <c r="W45" s="24">
        <f t="shared" si="3"/>
        <v>0</v>
      </c>
      <c r="X45" s="24">
        <f>IF($H45="",0,IF($D45="樹林",IF(ISERROR(VLOOKUP($V45,市町村・植物種ごとの樹林点数DB!$A:$F,6,FALSE))=TRUE,20,VLOOKUP($V45,市町村・植物種ごとの樹林点数DB!$A:$F,6,FALSE)),IF($D45="低木・草地",IF(OR($H45="【ススキ】・【ネザサ】・【チガヤ】",$H45="不明"),45,10),0)))</f>
        <v>0</v>
      </c>
      <c r="Y45" s="24">
        <f t="shared" si="4"/>
        <v>0</v>
      </c>
      <c r="Z45" s="24">
        <f t="shared" si="5"/>
        <v>1</v>
      </c>
      <c r="AA45" s="24">
        <f t="shared" si="6"/>
        <v>0</v>
      </c>
      <c r="AB45" s="24">
        <f t="shared" si="7"/>
        <v>1</v>
      </c>
      <c r="AC45" s="25">
        <f t="shared" si="23"/>
        <v>0</v>
      </c>
      <c r="AD45" s="25">
        <f t="shared" si="24"/>
        <v>0</v>
      </c>
      <c r="AE45" s="25">
        <f t="shared" si="25"/>
        <v>0</v>
      </c>
      <c r="AF45" s="25" t="str">
        <f t="shared" si="26"/>
        <v/>
      </c>
      <c r="AG45" s="25" t="str">
        <f t="shared" si="27"/>
        <v/>
      </c>
      <c r="AH45" s="25" t="str">
        <f t="shared" si="28"/>
        <v/>
      </c>
      <c r="AI45" s="25">
        <f>IF(ISERROR(VLOOKUP($K45,割合DB!$A:$B,2,FALSE))=TRUE,0,VLOOKUP($K45,割合DB!$A:$B,2,FALSE))</f>
        <v>0</v>
      </c>
      <c r="AJ45" s="25">
        <f>IF(ISERROR(VLOOKUP($L45,割合DB!$A:$B,2,FALSE))=TRUE,0,VLOOKUP($L45,割合DB!$A:$B,2,FALSE))</f>
        <v>0</v>
      </c>
      <c r="AK45" s="25">
        <f>IF(ISERROR(VLOOKUP($M45,割合DB!$A:$B,2,FALSE))=TRUE,0,VLOOKUP($M45,割合DB!$A:$B,2,FALSE))</f>
        <v>0</v>
      </c>
      <c r="AL45" s="25">
        <f t="shared" si="29"/>
        <v>100</v>
      </c>
      <c r="AM45" s="18">
        <f t="shared" si="30"/>
        <v>100</v>
      </c>
      <c r="AN45" s="18">
        <f t="shared" si="19"/>
        <v>1</v>
      </c>
      <c r="AR45" s="24"/>
      <c r="AS45" s="24"/>
      <c r="AT45" s="24"/>
      <c r="AU45" s="24"/>
      <c r="AV45" s="24"/>
      <c r="AW45" s="24"/>
      <c r="AX45" s="24"/>
      <c r="AY45" s="24"/>
      <c r="AZ45" s="25"/>
      <c r="BA45" s="25"/>
      <c r="BB45" s="25"/>
      <c r="BC45" s="25"/>
      <c r="BD45" s="25"/>
      <c r="BE45" s="25"/>
      <c r="BF45" s="25"/>
      <c r="BG45" s="25"/>
      <c r="BH45" s="25"/>
      <c r="BI45" s="25"/>
    </row>
    <row r="46" spans="1:61" ht="27" customHeight="1" x14ac:dyDescent="0.15">
      <c r="A46" s="30" t="s">
        <v>474</v>
      </c>
      <c r="B46" s="21"/>
      <c r="C46" s="19"/>
      <c r="D46" s="40" t="str">
        <f t="shared" si="20"/>
        <v/>
      </c>
      <c r="E46" s="20"/>
      <c r="F46" s="32"/>
      <c r="G46" s="21"/>
      <c r="H46" s="22"/>
      <c r="I46" s="22"/>
      <c r="J46" s="22"/>
      <c r="K46" s="23"/>
      <c r="L46" s="23"/>
      <c r="M46" s="23"/>
      <c r="N46" s="146"/>
      <c r="O46" s="40">
        <f t="shared" si="21"/>
        <v>0</v>
      </c>
      <c r="P46" s="183" t="str">
        <f t="shared" si="22"/>
        <v/>
      </c>
      <c r="Q46" s="18">
        <f t="shared" si="1"/>
        <v>1</v>
      </c>
      <c r="R46" s="18">
        <f t="shared" si="2"/>
        <v>1</v>
      </c>
      <c r="S46" s="18">
        <f t="shared" si="16"/>
        <v>0</v>
      </c>
      <c r="T46" s="18">
        <f t="shared" si="17"/>
        <v>0</v>
      </c>
      <c r="U46" s="18">
        <f>IF($C46="人工面",0,IF($G46="",70,IF($D46="湿性環境",VLOOKUP($G46,環境タイプⅡによる点数DB!$A:$B,2,FALSE),IF($D46="樹林",VLOOKUP($G46,環境タイプⅡによる点数DB!$A:$C,3,FALSE),IF($D46="低木・草地",VLOOKUP($G46,環境タイプⅡによる点数DB!$A:$D,4,FALSE),0)))))</f>
        <v>70</v>
      </c>
      <c r="V46" s="24" t="str">
        <f>$H46&amp;"in"&amp;基本情報!$C$13</f>
        <v>in</v>
      </c>
      <c r="W46" s="24">
        <f t="shared" si="3"/>
        <v>0</v>
      </c>
      <c r="X46" s="24">
        <f>IF($H46="",0,IF($D46="樹林",IF(ISERROR(VLOOKUP($V46,市町村・植物種ごとの樹林点数DB!$A:$F,6,FALSE))=TRUE,20,VLOOKUP($V46,市町村・植物種ごとの樹林点数DB!$A:$F,6,FALSE)),IF($D46="低木・草地",IF(OR($H46="【ススキ】・【ネザサ】・【チガヤ】",$H46="不明"),45,10),0)))</f>
        <v>0</v>
      </c>
      <c r="Y46" s="24">
        <f t="shared" si="4"/>
        <v>0</v>
      </c>
      <c r="Z46" s="24">
        <f t="shared" si="5"/>
        <v>1</v>
      </c>
      <c r="AA46" s="24">
        <f t="shared" si="6"/>
        <v>0</v>
      </c>
      <c r="AB46" s="24">
        <f t="shared" si="7"/>
        <v>1</v>
      </c>
      <c r="AC46" s="25">
        <f t="shared" si="23"/>
        <v>0</v>
      </c>
      <c r="AD46" s="25">
        <f t="shared" si="24"/>
        <v>0</v>
      </c>
      <c r="AE46" s="25">
        <f t="shared" si="25"/>
        <v>0</v>
      </c>
      <c r="AF46" s="25" t="str">
        <f t="shared" si="26"/>
        <v/>
      </c>
      <c r="AG46" s="25" t="str">
        <f t="shared" si="27"/>
        <v/>
      </c>
      <c r="AH46" s="25" t="str">
        <f t="shared" si="28"/>
        <v/>
      </c>
      <c r="AI46" s="25">
        <f>IF(ISERROR(VLOOKUP($K46,割合DB!$A:$B,2,FALSE))=TRUE,0,VLOOKUP($K46,割合DB!$A:$B,2,FALSE))</f>
        <v>0</v>
      </c>
      <c r="AJ46" s="25">
        <f>IF(ISERROR(VLOOKUP($L46,割合DB!$A:$B,2,FALSE))=TRUE,0,VLOOKUP($L46,割合DB!$A:$B,2,FALSE))</f>
        <v>0</v>
      </c>
      <c r="AK46" s="25">
        <f>IF(ISERROR(VLOOKUP($M46,割合DB!$A:$B,2,FALSE))=TRUE,0,VLOOKUP($M46,割合DB!$A:$B,2,FALSE))</f>
        <v>0</v>
      </c>
      <c r="AL46" s="25">
        <f t="shared" si="29"/>
        <v>100</v>
      </c>
      <c r="AM46" s="18">
        <f t="shared" si="30"/>
        <v>100</v>
      </c>
      <c r="AN46" s="18">
        <f t="shared" si="19"/>
        <v>1</v>
      </c>
      <c r="AR46" s="24"/>
      <c r="AS46" s="24"/>
      <c r="AT46" s="24"/>
      <c r="AU46" s="24"/>
      <c r="AV46" s="24"/>
      <c r="AW46" s="24"/>
      <c r="AX46" s="24"/>
      <c r="AY46" s="24"/>
      <c r="AZ46" s="25"/>
      <c r="BA46" s="25"/>
      <c r="BB46" s="25"/>
      <c r="BC46" s="25"/>
      <c r="BD46" s="25"/>
      <c r="BE46" s="25"/>
      <c r="BF46" s="25"/>
      <c r="BG46" s="25"/>
      <c r="BH46" s="25"/>
      <c r="BI46" s="25"/>
    </row>
    <row r="47" spans="1:61" ht="27" customHeight="1" x14ac:dyDescent="0.15">
      <c r="A47" s="30" t="s">
        <v>475</v>
      </c>
      <c r="B47" s="21"/>
      <c r="C47" s="19"/>
      <c r="D47" s="40" t="str">
        <f t="shared" si="20"/>
        <v/>
      </c>
      <c r="E47" s="20"/>
      <c r="F47" s="32"/>
      <c r="G47" s="21"/>
      <c r="H47" s="22"/>
      <c r="I47" s="22"/>
      <c r="J47" s="22"/>
      <c r="K47" s="23"/>
      <c r="L47" s="23"/>
      <c r="M47" s="23"/>
      <c r="N47" s="146"/>
      <c r="O47" s="40">
        <f t="shared" si="21"/>
        <v>0</v>
      </c>
      <c r="P47" s="183" t="str">
        <f t="shared" si="22"/>
        <v/>
      </c>
      <c r="Q47" s="18">
        <f t="shared" si="1"/>
        <v>1</v>
      </c>
      <c r="R47" s="18">
        <f t="shared" si="2"/>
        <v>1</v>
      </c>
      <c r="S47" s="18">
        <f t="shared" si="16"/>
        <v>0</v>
      </c>
      <c r="T47" s="18">
        <f t="shared" si="17"/>
        <v>0</v>
      </c>
      <c r="U47" s="18">
        <f>IF($C47="人工面",0,IF($G47="",70,IF($D47="湿性環境",VLOOKUP($G47,環境タイプⅡによる点数DB!$A:$B,2,FALSE),IF($D47="樹林",VLOOKUP($G47,環境タイプⅡによる点数DB!$A:$C,3,FALSE),IF($D47="低木・草地",VLOOKUP($G47,環境タイプⅡによる点数DB!$A:$D,4,FALSE),0)))))</f>
        <v>70</v>
      </c>
      <c r="V47" s="24" t="str">
        <f>$H47&amp;"in"&amp;基本情報!$C$13</f>
        <v>in</v>
      </c>
      <c r="W47" s="24">
        <f t="shared" si="3"/>
        <v>0</v>
      </c>
      <c r="X47" s="24">
        <f>IF($H47="",0,IF($D47="樹林",IF(ISERROR(VLOOKUP($V47,市町村・植物種ごとの樹林点数DB!$A:$F,6,FALSE))=TRUE,20,VLOOKUP($V47,市町村・植物種ごとの樹林点数DB!$A:$F,6,FALSE)),IF($D47="低木・草地",IF(OR($H47="【ススキ】・【ネザサ】・【チガヤ】",$H47="不明"),45,10),0)))</f>
        <v>0</v>
      </c>
      <c r="Y47" s="24">
        <f t="shared" si="4"/>
        <v>0</v>
      </c>
      <c r="Z47" s="24">
        <f t="shared" si="5"/>
        <v>1</v>
      </c>
      <c r="AA47" s="24">
        <f t="shared" si="6"/>
        <v>0</v>
      </c>
      <c r="AB47" s="24">
        <f t="shared" si="7"/>
        <v>1</v>
      </c>
      <c r="AC47" s="25">
        <f t="shared" si="23"/>
        <v>0</v>
      </c>
      <c r="AD47" s="25">
        <f t="shared" si="24"/>
        <v>0</v>
      </c>
      <c r="AE47" s="25">
        <f t="shared" si="25"/>
        <v>0</v>
      </c>
      <c r="AF47" s="25" t="str">
        <f t="shared" si="26"/>
        <v/>
      </c>
      <c r="AG47" s="25" t="str">
        <f t="shared" si="27"/>
        <v/>
      </c>
      <c r="AH47" s="25" t="str">
        <f t="shared" si="28"/>
        <v/>
      </c>
      <c r="AI47" s="25">
        <f>IF(ISERROR(VLOOKUP($K47,割合DB!$A:$B,2,FALSE))=TRUE,0,VLOOKUP($K47,割合DB!$A:$B,2,FALSE))</f>
        <v>0</v>
      </c>
      <c r="AJ47" s="25">
        <f>IF(ISERROR(VLOOKUP($L47,割合DB!$A:$B,2,FALSE))=TRUE,0,VLOOKUP($L47,割合DB!$A:$B,2,FALSE))</f>
        <v>0</v>
      </c>
      <c r="AK47" s="25">
        <f>IF(ISERROR(VLOOKUP($M47,割合DB!$A:$B,2,FALSE))=TRUE,0,VLOOKUP($M47,割合DB!$A:$B,2,FALSE))</f>
        <v>0</v>
      </c>
      <c r="AL47" s="25">
        <f t="shared" si="29"/>
        <v>100</v>
      </c>
      <c r="AM47" s="18">
        <f t="shared" si="30"/>
        <v>100</v>
      </c>
      <c r="AN47" s="18">
        <f t="shared" si="19"/>
        <v>1</v>
      </c>
      <c r="AR47" s="24"/>
      <c r="AS47" s="24"/>
      <c r="AT47" s="24"/>
      <c r="AU47" s="24"/>
      <c r="AV47" s="24"/>
      <c r="AW47" s="24"/>
      <c r="AX47" s="24"/>
      <c r="AY47" s="24"/>
      <c r="AZ47" s="25"/>
      <c r="BA47" s="25"/>
      <c r="BB47" s="25"/>
      <c r="BC47" s="25"/>
      <c r="BD47" s="25"/>
      <c r="BE47" s="25"/>
      <c r="BF47" s="25"/>
      <c r="BG47" s="25"/>
      <c r="BH47" s="25"/>
      <c r="BI47" s="25"/>
    </row>
    <row r="48" spans="1:61" ht="27" customHeight="1" x14ac:dyDescent="0.15">
      <c r="A48" s="30" t="s">
        <v>476</v>
      </c>
      <c r="B48" s="21"/>
      <c r="C48" s="19"/>
      <c r="D48" s="40" t="str">
        <f t="shared" si="20"/>
        <v/>
      </c>
      <c r="E48" s="20"/>
      <c r="F48" s="32"/>
      <c r="G48" s="21"/>
      <c r="H48" s="22"/>
      <c r="I48" s="22"/>
      <c r="J48" s="22"/>
      <c r="K48" s="23"/>
      <c r="L48" s="23"/>
      <c r="M48" s="23"/>
      <c r="N48" s="146"/>
      <c r="O48" s="40">
        <f t="shared" si="21"/>
        <v>0</v>
      </c>
      <c r="P48" s="183" t="str">
        <f t="shared" si="22"/>
        <v/>
      </c>
      <c r="Q48" s="18">
        <f t="shared" si="1"/>
        <v>1</v>
      </c>
      <c r="R48" s="18">
        <f t="shared" si="2"/>
        <v>1</v>
      </c>
      <c r="S48" s="18">
        <f t="shared" si="16"/>
        <v>0</v>
      </c>
      <c r="T48" s="18">
        <f t="shared" si="17"/>
        <v>0</v>
      </c>
      <c r="U48" s="18">
        <f>IF($C48="人工面",0,IF($G48="",70,IF($D48="湿性環境",VLOOKUP($G48,環境タイプⅡによる点数DB!$A:$B,2,FALSE),IF($D48="樹林",VLOOKUP($G48,環境タイプⅡによる点数DB!$A:$C,3,FALSE),IF($D48="低木・草地",VLOOKUP($G48,環境タイプⅡによる点数DB!$A:$D,4,FALSE),0)))))</f>
        <v>70</v>
      </c>
      <c r="V48" s="24" t="str">
        <f>$H48&amp;"in"&amp;基本情報!$C$13</f>
        <v>in</v>
      </c>
      <c r="W48" s="24">
        <f t="shared" si="3"/>
        <v>0</v>
      </c>
      <c r="X48" s="24">
        <f>IF($H48="",0,IF($D48="樹林",IF(ISERROR(VLOOKUP($V48,市町村・植物種ごとの樹林点数DB!$A:$F,6,FALSE))=TRUE,20,VLOOKUP($V48,市町村・植物種ごとの樹林点数DB!$A:$F,6,FALSE)),IF($D48="低木・草地",IF(OR($H48="【ススキ】・【ネザサ】・【チガヤ】",$H48="不明"),45,10),0)))</f>
        <v>0</v>
      </c>
      <c r="Y48" s="24">
        <f t="shared" si="4"/>
        <v>0</v>
      </c>
      <c r="Z48" s="24">
        <f t="shared" si="5"/>
        <v>1</v>
      </c>
      <c r="AA48" s="24">
        <f t="shared" si="6"/>
        <v>0</v>
      </c>
      <c r="AB48" s="24">
        <f t="shared" si="7"/>
        <v>1</v>
      </c>
      <c r="AC48" s="25">
        <f t="shared" si="23"/>
        <v>0</v>
      </c>
      <c r="AD48" s="25">
        <f t="shared" si="24"/>
        <v>0</v>
      </c>
      <c r="AE48" s="25">
        <f t="shared" si="25"/>
        <v>0</v>
      </c>
      <c r="AF48" s="25" t="str">
        <f t="shared" si="26"/>
        <v/>
      </c>
      <c r="AG48" s="25" t="str">
        <f t="shared" si="27"/>
        <v/>
      </c>
      <c r="AH48" s="25" t="str">
        <f t="shared" si="28"/>
        <v/>
      </c>
      <c r="AI48" s="25">
        <f>IF(ISERROR(VLOOKUP($K48,割合DB!$A:$B,2,FALSE))=TRUE,0,VLOOKUP($K48,割合DB!$A:$B,2,FALSE))</f>
        <v>0</v>
      </c>
      <c r="AJ48" s="25">
        <f>IF(ISERROR(VLOOKUP($L48,割合DB!$A:$B,2,FALSE))=TRUE,0,VLOOKUP($L48,割合DB!$A:$B,2,FALSE))</f>
        <v>0</v>
      </c>
      <c r="AK48" s="25">
        <f>IF(ISERROR(VLOOKUP($M48,割合DB!$A:$B,2,FALSE))=TRUE,0,VLOOKUP($M48,割合DB!$A:$B,2,FALSE))</f>
        <v>0</v>
      </c>
      <c r="AL48" s="25">
        <f t="shared" si="29"/>
        <v>100</v>
      </c>
      <c r="AM48" s="18">
        <f t="shared" si="30"/>
        <v>100</v>
      </c>
      <c r="AN48" s="18">
        <f t="shared" si="19"/>
        <v>1</v>
      </c>
      <c r="AR48" s="24"/>
      <c r="AS48" s="24"/>
      <c r="AT48" s="24"/>
      <c r="AU48" s="24"/>
      <c r="AV48" s="24"/>
      <c r="AW48" s="24"/>
      <c r="AX48" s="24"/>
      <c r="AY48" s="24"/>
      <c r="AZ48" s="25"/>
      <c r="BA48" s="25"/>
      <c r="BB48" s="25"/>
      <c r="BC48" s="25"/>
      <c r="BD48" s="25"/>
      <c r="BE48" s="25"/>
      <c r="BF48" s="25"/>
      <c r="BG48" s="25"/>
      <c r="BH48" s="25"/>
      <c r="BI48" s="25"/>
    </row>
    <row r="49" spans="1:61" ht="27" customHeight="1" x14ac:dyDescent="0.15">
      <c r="A49" s="30" t="s">
        <v>477</v>
      </c>
      <c r="B49" s="21"/>
      <c r="C49" s="19"/>
      <c r="D49" s="40" t="str">
        <f t="shared" si="20"/>
        <v/>
      </c>
      <c r="E49" s="20"/>
      <c r="F49" s="32"/>
      <c r="G49" s="21"/>
      <c r="H49" s="22"/>
      <c r="I49" s="22"/>
      <c r="J49" s="22"/>
      <c r="K49" s="23"/>
      <c r="L49" s="23"/>
      <c r="M49" s="23"/>
      <c r="N49" s="146"/>
      <c r="O49" s="40">
        <f t="shared" si="21"/>
        <v>0</v>
      </c>
      <c r="P49" s="183" t="str">
        <f t="shared" si="22"/>
        <v/>
      </c>
      <c r="Q49" s="18">
        <f t="shared" si="1"/>
        <v>1</v>
      </c>
      <c r="R49" s="18">
        <f t="shared" si="2"/>
        <v>1</v>
      </c>
      <c r="S49" s="18">
        <f t="shared" si="16"/>
        <v>0</v>
      </c>
      <c r="T49" s="18">
        <f t="shared" si="17"/>
        <v>0</v>
      </c>
      <c r="U49" s="18">
        <f>IF($C49="人工面",0,IF($G49="",70,IF($D49="湿性環境",VLOOKUP($G49,環境タイプⅡによる点数DB!$A:$B,2,FALSE),IF($D49="樹林",VLOOKUP($G49,環境タイプⅡによる点数DB!$A:$C,3,FALSE),IF($D49="低木・草地",VLOOKUP($G49,環境タイプⅡによる点数DB!$A:$D,4,FALSE),0)))))</f>
        <v>70</v>
      </c>
      <c r="V49" s="24" t="str">
        <f>$H49&amp;"in"&amp;基本情報!$C$13</f>
        <v>in</v>
      </c>
      <c r="W49" s="24">
        <f t="shared" si="3"/>
        <v>0</v>
      </c>
      <c r="X49" s="24">
        <f>IF($H49="",0,IF($D49="樹林",IF(ISERROR(VLOOKUP($V49,市町村・植物種ごとの樹林点数DB!$A:$F,6,FALSE))=TRUE,20,VLOOKUP($V49,市町村・植物種ごとの樹林点数DB!$A:$F,6,FALSE)),IF($D49="低木・草地",IF(OR($H49="【ススキ】・【ネザサ】・【チガヤ】",$H49="不明"),45,10),0)))</f>
        <v>0</v>
      </c>
      <c r="Y49" s="24">
        <f t="shared" si="4"/>
        <v>0</v>
      </c>
      <c r="Z49" s="24">
        <f t="shared" si="5"/>
        <v>1</v>
      </c>
      <c r="AA49" s="24">
        <f t="shared" si="6"/>
        <v>0</v>
      </c>
      <c r="AB49" s="24">
        <f t="shared" si="7"/>
        <v>1</v>
      </c>
      <c r="AC49" s="25">
        <f t="shared" si="23"/>
        <v>0</v>
      </c>
      <c r="AD49" s="25">
        <f t="shared" si="24"/>
        <v>0</v>
      </c>
      <c r="AE49" s="25">
        <f t="shared" si="25"/>
        <v>0</v>
      </c>
      <c r="AF49" s="25" t="str">
        <f t="shared" si="26"/>
        <v/>
      </c>
      <c r="AG49" s="25" t="str">
        <f t="shared" si="27"/>
        <v/>
      </c>
      <c r="AH49" s="25" t="str">
        <f t="shared" si="28"/>
        <v/>
      </c>
      <c r="AI49" s="25">
        <f>IF(ISERROR(VLOOKUP($K49,割合DB!$A:$B,2,FALSE))=TRUE,0,VLOOKUP($K49,割合DB!$A:$B,2,FALSE))</f>
        <v>0</v>
      </c>
      <c r="AJ49" s="25">
        <f>IF(ISERROR(VLOOKUP($L49,割合DB!$A:$B,2,FALSE))=TRUE,0,VLOOKUP($L49,割合DB!$A:$B,2,FALSE))</f>
        <v>0</v>
      </c>
      <c r="AK49" s="25">
        <f>IF(ISERROR(VLOOKUP($M49,割合DB!$A:$B,2,FALSE))=TRUE,0,VLOOKUP($M49,割合DB!$A:$B,2,FALSE))</f>
        <v>0</v>
      </c>
      <c r="AL49" s="25">
        <f t="shared" si="29"/>
        <v>100</v>
      </c>
      <c r="AM49" s="18">
        <f t="shared" si="30"/>
        <v>100</v>
      </c>
      <c r="AN49" s="18">
        <f t="shared" si="19"/>
        <v>1</v>
      </c>
      <c r="AR49" s="24"/>
      <c r="AS49" s="24"/>
      <c r="AT49" s="24"/>
      <c r="AU49" s="24"/>
      <c r="AV49" s="24"/>
      <c r="AW49" s="24"/>
      <c r="AX49" s="24"/>
      <c r="AY49" s="24"/>
      <c r="AZ49" s="25"/>
      <c r="BA49" s="25"/>
      <c r="BB49" s="25"/>
      <c r="BC49" s="25"/>
      <c r="BD49" s="25"/>
      <c r="BE49" s="25"/>
      <c r="BF49" s="25"/>
      <c r="BG49" s="25"/>
      <c r="BH49" s="25"/>
      <c r="BI49" s="25"/>
    </row>
    <row r="50" spans="1:61" ht="27" customHeight="1" x14ac:dyDescent="0.15">
      <c r="A50" s="30" t="s">
        <v>478</v>
      </c>
      <c r="B50" s="21"/>
      <c r="C50" s="19"/>
      <c r="D50" s="40" t="str">
        <f t="shared" si="20"/>
        <v/>
      </c>
      <c r="E50" s="20"/>
      <c r="F50" s="32"/>
      <c r="G50" s="21"/>
      <c r="H50" s="22"/>
      <c r="I50" s="22"/>
      <c r="J50" s="22"/>
      <c r="K50" s="23"/>
      <c r="L50" s="23"/>
      <c r="M50" s="23"/>
      <c r="N50" s="146"/>
      <c r="O50" s="40">
        <f t="shared" si="21"/>
        <v>0</v>
      </c>
      <c r="P50" s="183" t="str">
        <f t="shared" si="22"/>
        <v/>
      </c>
      <c r="Q50" s="18">
        <f t="shared" si="1"/>
        <v>1</v>
      </c>
      <c r="R50" s="18">
        <f t="shared" si="2"/>
        <v>1</v>
      </c>
      <c r="S50" s="18">
        <f t="shared" si="16"/>
        <v>0</v>
      </c>
      <c r="T50" s="18">
        <f t="shared" si="17"/>
        <v>0</v>
      </c>
      <c r="U50" s="18">
        <f>IF($C50="人工面",0,IF($G50="",70,IF($D50="湿性環境",VLOOKUP($G50,環境タイプⅡによる点数DB!$A:$B,2,FALSE),IF($D50="樹林",VLOOKUP($G50,環境タイプⅡによる点数DB!$A:$C,3,FALSE),IF($D50="低木・草地",VLOOKUP($G50,環境タイプⅡによる点数DB!$A:$D,4,FALSE),0)))))</f>
        <v>70</v>
      </c>
      <c r="V50" s="24" t="str">
        <f>$H50&amp;"in"&amp;基本情報!$C$13</f>
        <v>in</v>
      </c>
      <c r="W50" s="24">
        <f t="shared" si="3"/>
        <v>0</v>
      </c>
      <c r="X50" s="24">
        <f>IF($H50="",0,IF($D50="樹林",IF(ISERROR(VLOOKUP($V50,市町村・植物種ごとの樹林点数DB!$A:$F,6,FALSE))=TRUE,20,VLOOKUP($V50,市町村・植物種ごとの樹林点数DB!$A:$F,6,FALSE)),IF($D50="低木・草地",IF(OR($H50="【ススキ】・【ネザサ】・【チガヤ】",$H50="不明"),45,10),0)))</f>
        <v>0</v>
      </c>
      <c r="Y50" s="24">
        <f t="shared" si="4"/>
        <v>0</v>
      </c>
      <c r="Z50" s="24">
        <f t="shared" si="5"/>
        <v>1</v>
      </c>
      <c r="AA50" s="24">
        <f t="shared" si="6"/>
        <v>0</v>
      </c>
      <c r="AB50" s="24">
        <f t="shared" si="7"/>
        <v>1</v>
      </c>
      <c r="AC50" s="25">
        <f t="shared" si="23"/>
        <v>0</v>
      </c>
      <c r="AD50" s="25">
        <f t="shared" si="24"/>
        <v>0</v>
      </c>
      <c r="AE50" s="25">
        <f t="shared" si="25"/>
        <v>0</v>
      </c>
      <c r="AF50" s="25" t="str">
        <f t="shared" si="26"/>
        <v/>
      </c>
      <c r="AG50" s="25" t="str">
        <f t="shared" si="27"/>
        <v/>
      </c>
      <c r="AH50" s="25" t="str">
        <f t="shared" si="28"/>
        <v/>
      </c>
      <c r="AI50" s="25">
        <f>IF(ISERROR(VLOOKUP($K50,割合DB!$A:$B,2,FALSE))=TRUE,0,VLOOKUP($K50,割合DB!$A:$B,2,FALSE))</f>
        <v>0</v>
      </c>
      <c r="AJ50" s="25">
        <f>IF(ISERROR(VLOOKUP($L50,割合DB!$A:$B,2,FALSE))=TRUE,0,VLOOKUP($L50,割合DB!$A:$B,2,FALSE))</f>
        <v>0</v>
      </c>
      <c r="AK50" s="25">
        <f>IF(ISERROR(VLOOKUP($M50,割合DB!$A:$B,2,FALSE))=TRUE,0,VLOOKUP($M50,割合DB!$A:$B,2,FALSE))</f>
        <v>0</v>
      </c>
      <c r="AL50" s="25">
        <f t="shared" si="29"/>
        <v>100</v>
      </c>
      <c r="AM50" s="18">
        <f t="shared" si="30"/>
        <v>100</v>
      </c>
      <c r="AN50" s="18">
        <f t="shared" si="19"/>
        <v>1</v>
      </c>
      <c r="AR50" s="24"/>
      <c r="AS50" s="24"/>
      <c r="AT50" s="24"/>
      <c r="AU50" s="24"/>
      <c r="AV50" s="24"/>
      <c r="AW50" s="24"/>
      <c r="AX50" s="24"/>
      <c r="AY50" s="24"/>
      <c r="AZ50" s="25"/>
      <c r="BA50" s="25"/>
      <c r="BB50" s="25"/>
      <c r="BC50" s="25"/>
      <c r="BD50" s="25"/>
      <c r="BE50" s="25"/>
      <c r="BF50" s="25"/>
      <c r="BG50" s="25"/>
      <c r="BH50" s="25"/>
      <c r="BI50" s="25"/>
    </row>
    <row r="51" spans="1:61" ht="27" customHeight="1" x14ac:dyDescent="0.15">
      <c r="A51" s="30" t="s">
        <v>479</v>
      </c>
      <c r="B51" s="21"/>
      <c r="C51" s="19"/>
      <c r="D51" s="40" t="str">
        <f t="shared" si="20"/>
        <v/>
      </c>
      <c r="E51" s="20"/>
      <c r="F51" s="32"/>
      <c r="G51" s="21"/>
      <c r="H51" s="22"/>
      <c r="I51" s="22"/>
      <c r="J51" s="22"/>
      <c r="K51" s="23"/>
      <c r="L51" s="23"/>
      <c r="M51" s="23"/>
      <c r="N51" s="146"/>
      <c r="O51" s="40">
        <f t="shared" si="21"/>
        <v>0</v>
      </c>
      <c r="P51" s="183" t="str">
        <f t="shared" si="22"/>
        <v/>
      </c>
      <c r="Q51" s="18">
        <f t="shared" si="1"/>
        <v>1</v>
      </c>
      <c r="R51" s="18">
        <f t="shared" si="2"/>
        <v>1</v>
      </c>
      <c r="S51" s="18">
        <f t="shared" si="16"/>
        <v>0</v>
      </c>
      <c r="T51" s="18">
        <f t="shared" si="17"/>
        <v>0</v>
      </c>
      <c r="U51" s="18">
        <f>IF($C51="人工面",0,IF($G51="",70,IF($D51="湿性環境",VLOOKUP($G51,環境タイプⅡによる点数DB!$A:$B,2,FALSE),IF($D51="樹林",VLOOKUP($G51,環境タイプⅡによる点数DB!$A:$C,3,FALSE),IF($D51="低木・草地",VLOOKUP($G51,環境タイプⅡによる点数DB!$A:$D,4,FALSE),0)))))</f>
        <v>70</v>
      </c>
      <c r="V51" s="24" t="str">
        <f>$H51&amp;"in"&amp;基本情報!$C$13</f>
        <v>in</v>
      </c>
      <c r="W51" s="24">
        <f t="shared" si="3"/>
        <v>0</v>
      </c>
      <c r="X51" s="24">
        <f>IF($H51="",0,IF($D51="樹林",IF(ISERROR(VLOOKUP($V51,市町村・植物種ごとの樹林点数DB!$A:$F,6,FALSE))=TRUE,20,VLOOKUP($V51,市町村・植物種ごとの樹林点数DB!$A:$F,6,FALSE)),IF($D51="低木・草地",IF(OR($H51="【ススキ】・【ネザサ】・【チガヤ】",$H51="不明"),45,10),0)))</f>
        <v>0</v>
      </c>
      <c r="Y51" s="24">
        <f t="shared" si="4"/>
        <v>0</v>
      </c>
      <c r="Z51" s="24">
        <f t="shared" si="5"/>
        <v>1</v>
      </c>
      <c r="AA51" s="24">
        <f t="shared" si="6"/>
        <v>0</v>
      </c>
      <c r="AB51" s="24">
        <f t="shared" si="7"/>
        <v>1</v>
      </c>
      <c r="AC51" s="25">
        <f t="shared" si="23"/>
        <v>0</v>
      </c>
      <c r="AD51" s="25">
        <f t="shared" si="24"/>
        <v>0</v>
      </c>
      <c r="AE51" s="25">
        <f t="shared" si="25"/>
        <v>0</v>
      </c>
      <c r="AF51" s="25" t="str">
        <f t="shared" si="26"/>
        <v/>
      </c>
      <c r="AG51" s="25" t="str">
        <f t="shared" si="27"/>
        <v/>
      </c>
      <c r="AH51" s="25" t="str">
        <f t="shared" si="28"/>
        <v/>
      </c>
      <c r="AI51" s="25">
        <f>IF(ISERROR(VLOOKUP($K51,割合DB!$A:$B,2,FALSE))=TRUE,0,VLOOKUP($K51,割合DB!$A:$B,2,FALSE))</f>
        <v>0</v>
      </c>
      <c r="AJ51" s="25">
        <f>IF(ISERROR(VLOOKUP($L51,割合DB!$A:$B,2,FALSE))=TRUE,0,VLOOKUP($L51,割合DB!$A:$B,2,FALSE))</f>
        <v>0</v>
      </c>
      <c r="AK51" s="25">
        <f>IF(ISERROR(VLOOKUP($M51,割合DB!$A:$B,2,FALSE))=TRUE,0,VLOOKUP($M51,割合DB!$A:$B,2,FALSE))</f>
        <v>0</v>
      </c>
      <c r="AL51" s="25">
        <f t="shared" si="29"/>
        <v>100</v>
      </c>
      <c r="AM51" s="18">
        <f t="shared" si="30"/>
        <v>100</v>
      </c>
      <c r="AN51" s="18">
        <f t="shared" si="19"/>
        <v>1</v>
      </c>
      <c r="AR51" s="24"/>
      <c r="AS51" s="24"/>
      <c r="AT51" s="24"/>
      <c r="AU51" s="24"/>
      <c r="AV51" s="24"/>
      <c r="AW51" s="24"/>
      <c r="AX51" s="24"/>
      <c r="AY51" s="24"/>
      <c r="AZ51" s="25"/>
      <c r="BA51" s="25"/>
      <c r="BB51" s="25"/>
      <c r="BC51" s="25"/>
      <c r="BD51" s="25"/>
      <c r="BE51" s="25"/>
      <c r="BF51" s="25"/>
      <c r="BG51" s="25"/>
      <c r="BH51" s="25"/>
      <c r="BI51" s="25"/>
    </row>
    <row r="52" spans="1:61" ht="27" customHeight="1" x14ac:dyDescent="0.15">
      <c r="A52" s="30" t="s">
        <v>480</v>
      </c>
      <c r="B52" s="21"/>
      <c r="C52" s="19"/>
      <c r="D52" s="40" t="str">
        <f t="shared" si="20"/>
        <v/>
      </c>
      <c r="E52" s="20"/>
      <c r="F52" s="32"/>
      <c r="G52" s="21"/>
      <c r="H52" s="22"/>
      <c r="I52" s="22"/>
      <c r="J52" s="22"/>
      <c r="K52" s="23"/>
      <c r="L52" s="23"/>
      <c r="M52" s="23"/>
      <c r="N52" s="146"/>
      <c r="O52" s="40">
        <f t="shared" si="21"/>
        <v>0</v>
      </c>
      <c r="P52" s="183" t="str">
        <f t="shared" si="22"/>
        <v/>
      </c>
      <c r="Q52" s="18">
        <f t="shared" si="1"/>
        <v>1</v>
      </c>
      <c r="R52" s="18">
        <f t="shared" si="2"/>
        <v>1</v>
      </c>
      <c r="S52" s="18">
        <f t="shared" si="16"/>
        <v>0</v>
      </c>
      <c r="T52" s="18">
        <f t="shared" si="17"/>
        <v>0</v>
      </c>
      <c r="U52" s="18">
        <f>IF($C52="人工面",0,IF($G52="",70,IF($D52="湿性環境",VLOOKUP($G52,環境タイプⅡによる点数DB!$A:$B,2,FALSE),IF($D52="樹林",VLOOKUP($G52,環境タイプⅡによる点数DB!$A:$C,3,FALSE),IF($D52="低木・草地",VLOOKUP($G52,環境タイプⅡによる点数DB!$A:$D,4,FALSE),0)))))</f>
        <v>70</v>
      </c>
      <c r="V52" s="24" t="str">
        <f>$H52&amp;"in"&amp;基本情報!$C$13</f>
        <v>in</v>
      </c>
      <c r="W52" s="24">
        <f t="shared" si="3"/>
        <v>0</v>
      </c>
      <c r="X52" s="24">
        <f>IF($H52="",0,IF($D52="樹林",IF(ISERROR(VLOOKUP($V52,市町村・植物種ごとの樹林点数DB!$A:$F,6,FALSE))=TRUE,20,VLOOKUP($V52,市町村・植物種ごとの樹林点数DB!$A:$F,6,FALSE)),IF($D52="低木・草地",IF(OR($H52="【ススキ】・【ネザサ】・【チガヤ】",$H52="不明"),45,10),0)))</f>
        <v>0</v>
      </c>
      <c r="Y52" s="24">
        <f t="shared" si="4"/>
        <v>0</v>
      </c>
      <c r="Z52" s="24">
        <f t="shared" si="5"/>
        <v>1</v>
      </c>
      <c r="AA52" s="24">
        <f t="shared" si="6"/>
        <v>0</v>
      </c>
      <c r="AB52" s="24">
        <f t="shared" si="7"/>
        <v>1</v>
      </c>
      <c r="AC52" s="25">
        <f t="shared" si="23"/>
        <v>0</v>
      </c>
      <c r="AD52" s="25">
        <f t="shared" si="24"/>
        <v>0</v>
      </c>
      <c r="AE52" s="25">
        <f t="shared" si="25"/>
        <v>0</v>
      </c>
      <c r="AF52" s="25" t="str">
        <f t="shared" si="26"/>
        <v/>
      </c>
      <c r="AG52" s="25" t="str">
        <f t="shared" si="27"/>
        <v/>
      </c>
      <c r="AH52" s="25" t="str">
        <f t="shared" si="28"/>
        <v/>
      </c>
      <c r="AI52" s="25">
        <f>IF(ISERROR(VLOOKUP($K52,割合DB!$A:$B,2,FALSE))=TRUE,0,VLOOKUP($K52,割合DB!$A:$B,2,FALSE))</f>
        <v>0</v>
      </c>
      <c r="AJ52" s="25">
        <f>IF(ISERROR(VLOOKUP($L52,割合DB!$A:$B,2,FALSE))=TRUE,0,VLOOKUP($L52,割合DB!$A:$B,2,FALSE))</f>
        <v>0</v>
      </c>
      <c r="AK52" s="25">
        <f>IF(ISERROR(VLOOKUP($M52,割合DB!$A:$B,2,FALSE))=TRUE,0,VLOOKUP($M52,割合DB!$A:$B,2,FALSE))</f>
        <v>0</v>
      </c>
      <c r="AL52" s="25">
        <f t="shared" si="29"/>
        <v>100</v>
      </c>
      <c r="AM52" s="18">
        <f t="shared" si="30"/>
        <v>100</v>
      </c>
      <c r="AN52" s="18">
        <f t="shared" si="19"/>
        <v>1</v>
      </c>
      <c r="AR52" s="24"/>
      <c r="AS52" s="24"/>
      <c r="AT52" s="24"/>
      <c r="AU52" s="24"/>
      <c r="AV52" s="24"/>
      <c r="AW52" s="24"/>
      <c r="AX52" s="24"/>
      <c r="AY52" s="24"/>
      <c r="AZ52" s="25"/>
      <c r="BA52" s="25"/>
      <c r="BB52" s="25"/>
      <c r="BC52" s="25"/>
      <c r="BD52" s="25"/>
      <c r="BE52" s="25"/>
      <c r="BF52" s="25"/>
      <c r="BG52" s="25"/>
      <c r="BH52" s="25"/>
      <c r="BI52" s="25"/>
    </row>
    <row r="53" spans="1:61" ht="27" customHeight="1" x14ac:dyDescent="0.15">
      <c r="A53" s="30" t="s">
        <v>481</v>
      </c>
      <c r="B53" s="21"/>
      <c r="C53" s="19"/>
      <c r="D53" s="40" t="str">
        <f t="shared" si="20"/>
        <v/>
      </c>
      <c r="E53" s="20"/>
      <c r="F53" s="32"/>
      <c r="G53" s="21"/>
      <c r="H53" s="22"/>
      <c r="I53" s="22"/>
      <c r="J53" s="22"/>
      <c r="K53" s="23"/>
      <c r="L53" s="23"/>
      <c r="M53" s="23"/>
      <c r="N53" s="146"/>
      <c r="O53" s="40">
        <f t="shared" si="21"/>
        <v>0</v>
      </c>
      <c r="P53" s="183" t="str">
        <f t="shared" si="22"/>
        <v/>
      </c>
      <c r="Q53" s="18">
        <f t="shared" si="1"/>
        <v>1</v>
      </c>
      <c r="R53" s="18">
        <f t="shared" si="2"/>
        <v>1</v>
      </c>
      <c r="S53" s="18">
        <f t="shared" si="16"/>
        <v>0</v>
      </c>
      <c r="T53" s="18">
        <f t="shared" si="17"/>
        <v>0</v>
      </c>
      <c r="U53" s="18">
        <f>IF($C53="人工面",0,IF($G53="",70,IF($D53="湿性環境",VLOOKUP($G53,環境タイプⅡによる点数DB!$A:$B,2,FALSE),IF($D53="樹林",VLOOKUP($G53,環境タイプⅡによる点数DB!$A:$C,3,FALSE),IF($D53="低木・草地",VLOOKUP($G53,環境タイプⅡによる点数DB!$A:$D,4,FALSE),0)))))</f>
        <v>70</v>
      </c>
      <c r="V53" s="24" t="str">
        <f>$H53&amp;"in"&amp;基本情報!$C$13</f>
        <v>in</v>
      </c>
      <c r="W53" s="24">
        <f t="shared" si="3"/>
        <v>0</v>
      </c>
      <c r="X53" s="24">
        <f>IF($H53="",0,IF($D53="樹林",IF(ISERROR(VLOOKUP($V53,市町村・植物種ごとの樹林点数DB!$A:$F,6,FALSE))=TRUE,20,VLOOKUP($V53,市町村・植物種ごとの樹林点数DB!$A:$F,6,FALSE)),IF($D53="低木・草地",IF(OR($H53="【ススキ】・【ネザサ】・【チガヤ】",$H53="不明"),45,10),0)))</f>
        <v>0</v>
      </c>
      <c r="Y53" s="24">
        <f t="shared" si="4"/>
        <v>0</v>
      </c>
      <c r="Z53" s="24">
        <f t="shared" si="5"/>
        <v>1</v>
      </c>
      <c r="AA53" s="24">
        <f t="shared" si="6"/>
        <v>0</v>
      </c>
      <c r="AB53" s="24">
        <f t="shared" si="7"/>
        <v>1</v>
      </c>
      <c r="AC53" s="25">
        <f t="shared" si="23"/>
        <v>0</v>
      </c>
      <c r="AD53" s="25">
        <f t="shared" si="24"/>
        <v>0</v>
      </c>
      <c r="AE53" s="25">
        <f t="shared" si="25"/>
        <v>0</v>
      </c>
      <c r="AF53" s="25" t="str">
        <f t="shared" si="26"/>
        <v/>
      </c>
      <c r="AG53" s="25" t="str">
        <f t="shared" si="27"/>
        <v/>
      </c>
      <c r="AH53" s="25" t="str">
        <f t="shared" si="28"/>
        <v/>
      </c>
      <c r="AI53" s="25">
        <f>IF(ISERROR(VLOOKUP($K53,割合DB!$A:$B,2,FALSE))=TRUE,0,VLOOKUP($K53,割合DB!$A:$B,2,FALSE))</f>
        <v>0</v>
      </c>
      <c r="AJ53" s="25">
        <f>IF(ISERROR(VLOOKUP($L53,割合DB!$A:$B,2,FALSE))=TRUE,0,VLOOKUP($L53,割合DB!$A:$B,2,FALSE))</f>
        <v>0</v>
      </c>
      <c r="AK53" s="25">
        <f>IF(ISERROR(VLOOKUP($M53,割合DB!$A:$B,2,FALSE))=TRUE,0,VLOOKUP($M53,割合DB!$A:$B,2,FALSE))</f>
        <v>0</v>
      </c>
      <c r="AL53" s="25">
        <f t="shared" si="29"/>
        <v>100</v>
      </c>
      <c r="AM53" s="18">
        <f t="shared" si="30"/>
        <v>100</v>
      </c>
      <c r="AN53" s="18">
        <f t="shared" si="19"/>
        <v>1</v>
      </c>
      <c r="AR53" s="24"/>
      <c r="AS53" s="24"/>
      <c r="AT53" s="24"/>
      <c r="AU53" s="24"/>
      <c r="AV53" s="24"/>
      <c r="AW53" s="24"/>
      <c r="AX53" s="24"/>
      <c r="AY53" s="24"/>
      <c r="AZ53" s="25"/>
      <c r="BA53" s="25"/>
      <c r="BB53" s="25"/>
      <c r="BC53" s="25"/>
      <c r="BD53" s="25"/>
      <c r="BE53" s="25"/>
      <c r="BF53" s="25"/>
      <c r="BG53" s="25"/>
      <c r="BH53" s="25"/>
      <c r="BI53" s="25"/>
    </row>
    <row r="54" spans="1:61" ht="27" customHeight="1" x14ac:dyDescent="0.15">
      <c r="A54" s="30" t="s">
        <v>482</v>
      </c>
      <c r="B54" s="21"/>
      <c r="C54" s="19"/>
      <c r="D54" s="40" t="str">
        <f t="shared" si="20"/>
        <v/>
      </c>
      <c r="E54" s="20"/>
      <c r="F54" s="32"/>
      <c r="G54" s="21"/>
      <c r="H54" s="22"/>
      <c r="I54" s="22"/>
      <c r="J54" s="22"/>
      <c r="K54" s="23"/>
      <c r="L54" s="23"/>
      <c r="M54" s="23"/>
      <c r="N54" s="146"/>
      <c r="O54" s="40">
        <f t="shared" si="21"/>
        <v>0</v>
      </c>
      <c r="P54" s="183" t="str">
        <f t="shared" si="22"/>
        <v/>
      </c>
      <c r="Q54" s="18">
        <f t="shared" si="1"/>
        <v>1</v>
      </c>
      <c r="R54" s="18">
        <f t="shared" si="2"/>
        <v>1</v>
      </c>
      <c r="S54" s="18">
        <f t="shared" si="16"/>
        <v>0</v>
      </c>
      <c r="T54" s="18">
        <f t="shared" si="17"/>
        <v>0</v>
      </c>
      <c r="U54" s="18">
        <f>IF($C54="人工面",0,IF($G54="",70,IF($D54="湿性環境",VLOOKUP($G54,環境タイプⅡによる点数DB!$A:$B,2,FALSE),IF($D54="樹林",VLOOKUP($G54,環境タイプⅡによる点数DB!$A:$C,3,FALSE),IF($D54="低木・草地",VLOOKUP($G54,環境タイプⅡによる点数DB!$A:$D,4,FALSE),0)))))</f>
        <v>70</v>
      </c>
      <c r="V54" s="24" t="str">
        <f>$H54&amp;"in"&amp;基本情報!$C$13</f>
        <v>in</v>
      </c>
      <c r="W54" s="24">
        <f t="shared" si="3"/>
        <v>0</v>
      </c>
      <c r="X54" s="24">
        <f>IF($H54="",0,IF($D54="樹林",IF(ISERROR(VLOOKUP($V54,市町村・植物種ごとの樹林点数DB!$A:$F,6,FALSE))=TRUE,20,VLOOKUP($V54,市町村・植物種ごとの樹林点数DB!$A:$F,6,FALSE)),IF($D54="低木・草地",IF(OR($H54="【ススキ】・【ネザサ】・【チガヤ】",$H54="不明"),45,10),0)))</f>
        <v>0</v>
      </c>
      <c r="Y54" s="24">
        <f t="shared" si="4"/>
        <v>0</v>
      </c>
      <c r="Z54" s="24">
        <f t="shared" si="5"/>
        <v>1</v>
      </c>
      <c r="AA54" s="24">
        <f t="shared" si="6"/>
        <v>0</v>
      </c>
      <c r="AB54" s="24">
        <f t="shared" si="7"/>
        <v>1</v>
      </c>
      <c r="AC54" s="25">
        <f t="shared" si="23"/>
        <v>0</v>
      </c>
      <c r="AD54" s="25">
        <f t="shared" si="24"/>
        <v>0</v>
      </c>
      <c r="AE54" s="25">
        <f t="shared" si="25"/>
        <v>0</v>
      </c>
      <c r="AF54" s="25" t="str">
        <f t="shared" si="26"/>
        <v/>
      </c>
      <c r="AG54" s="25" t="str">
        <f t="shared" si="27"/>
        <v/>
      </c>
      <c r="AH54" s="25" t="str">
        <f t="shared" si="28"/>
        <v/>
      </c>
      <c r="AI54" s="25">
        <f>IF(ISERROR(VLOOKUP($K54,割合DB!$A:$B,2,FALSE))=TRUE,0,VLOOKUP($K54,割合DB!$A:$B,2,FALSE))</f>
        <v>0</v>
      </c>
      <c r="AJ54" s="25">
        <f>IF(ISERROR(VLOOKUP($L54,割合DB!$A:$B,2,FALSE))=TRUE,0,VLOOKUP($L54,割合DB!$A:$B,2,FALSE))</f>
        <v>0</v>
      </c>
      <c r="AK54" s="25">
        <f>IF(ISERROR(VLOOKUP($M54,割合DB!$A:$B,2,FALSE))=TRUE,0,VLOOKUP($M54,割合DB!$A:$B,2,FALSE))</f>
        <v>0</v>
      </c>
      <c r="AL54" s="25">
        <f t="shared" si="29"/>
        <v>100</v>
      </c>
      <c r="AM54" s="18">
        <f t="shared" si="30"/>
        <v>100</v>
      </c>
      <c r="AN54" s="18">
        <f t="shared" si="19"/>
        <v>1</v>
      </c>
      <c r="AR54" s="24"/>
      <c r="AS54" s="24"/>
      <c r="AT54" s="24"/>
      <c r="AU54" s="24"/>
      <c r="AV54" s="24"/>
      <c r="AW54" s="24"/>
      <c r="AX54" s="24"/>
      <c r="AY54" s="24"/>
      <c r="AZ54" s="25"/>
      <c r="BA54" s="25"/>
      <c r="BB54" s="25"/>
      <c r="BC54" s="25"/>
      <c r="BD54" s="25"/>
      <c r="BE54" s="25"/>
      <c r="BF54" s="25"/>
      <c r="BG54" s="25"/>
      <c r="BH54" s="25"/>
      <c r="BI54" s="25"/>
    </row>
    <row r="55" spans="1:61" ht="27" customHeight="1" x14ac:dyDescent="0.15">
      <c r="A55" s="30" t="s">
        <v>483</v>
      </c>
      <c r="B55" s="21"/>
      <c r="C55" s="19"/>
      <c r="D55" s="40" t="str">
        <f t="shared" si="20"/>
        <v/>
      </c>
      <c r="E55" s="20"/>
      <c r="F55" s="32"/>
      <c r="G55" s="21"/>
      <c r="H55" s="22"/>
      <c r="I55" s="22"/>
      <c r="J55" s="22"/>
      <c r="K55" s="23"/>
      <c r="L55" s="23"/>
      <c r="M55" s="23"/>
      <c r="N55" s="146"/>
      <c r="O55" s="40">
        <f t="shared" si="21"/>
        <v>0</v>
      </c>
      <c r="P55" s="183" t="str">
        <f t="shared" si="22"/>
        <v/>
      </c>
      <c r="Q55" s="18">
        <f t="shared" si="1"/>
        <v>1</v>
      </c>
      <c r="R55" s="18">
        <f t="shared" si="2"/>
        <v>1</v>
      </c>
      <c r="S55" s="18">
        <f t="shared" si="16"/>
        <v>0</v>
      </c>
      <c r="T55" s="18">
        <f t="shared" si="17"/>
        <v>0</v>
      </c>
      <c r="U55" s="18">
        <f>IF($C55="人工面",0,IF($G55="",70,IF($D55="湿性環境",VLOOKUP($G55,環境タイプⅡによる点数DB!$A:$B,2,FALSE),IF($D55="樹林",VLOOKUP($G55,環境タイプⅡによる点数DB!$A:$C,3,FALSE),IF($D55="低木・草地",VLOOKUP($G55,環境タイプⅡによる点数DB!$A:$D,4,FALSE),0)))))</f>
        <v>70</v>
      </c>
      <c r="V55" s="24" t="str">
        <f>$H55&amp;"in"&amp;基本情報!$C$13</f>
        <v>in</v>
      </c>
      <c r="W55" s="24">
        <f t="shared" si="3"/>
        <v>0</v>
      </c>
      <c r="X55" s="24">
        <f>IF($H55="",0,IF($D55="樹林",IF(ISERROR(VLOOKUP($V55,市町村・植物種ごとの樹林点数DB!$A:$F,6,FALSE))=TRUE,20,VLOOKUP($V55,市町村・植物種ごとの樹林点数DB!$A:$F,6,FALSE)),IF($D55="低木・草地",IF(OR($H55="【ススキ】・【ネザサ】・【チガヤ】",$H55="不明"),45,10),0)))</f>
        <v>0</v>
      </c>
      <c r="Y55" s="24">
        <f t="shared" si="4"/>
        <v>0</v>
      </c>
      <c r="Z55" s="24">
        <f t="shared" si="5"/>
        <v>1</v>
      </c>
      <c r="AA55" s="24">
        <f t="shared" si="6"/>
        <v>0</v>
      </c>
      <c r="AB55" s="24">
        <f t="shared" si="7"/>
        <v>1</v>
      </c>
      <c r="AC55" s="25">
        <f t="shared" si="23"/>
        <v>0</v>
      </c>
      <c r="AD55" s="25">
        <f t="shared" si="24"/>
        <v>0</v>
      </c>
      <c r="AE55" s="25">
        <f t="shared" si="25"/>
        <v>0</v>
      </c>
      <c r="AF55" s="25" t="str">
        <f t="shared" si="26"/>
        <v/>
      </c>
      <c r="AG55" s="25" t="str">
        <f t="shared" si="27"/>
        <v/>
      </c>
      <c r="AH55" s="25" t="str">
        <f t="shared" si="28"/>
        <v/>
      </c>
      <c r="AI55" s="25">
        <f>IF(ISERROR(VLOOKUP($K55,割合DB!$A:$B,2,FALSE))=TRUE,0,VLOOKUP($K55,割合DB!$A:$B,2,FALSE))</f>
        <v>0</v>
      </c>
      <c r="AJ55" s="25">
        <f>IF(ISERROR(VLOOKUP($L55,割合DB!$A:$B,2,FALSE))=TRUE,0,VLOOKUP($L55,割合DB!$A:$B,2,FALSE))</f>
        <v>0</v>
      </c>
      <c r="AK55" s="25">
        <f>IF(ISERROR(VLOOKUP($M55,割合DB!$A:$B,2,FALSE))=TRUE,0,VLOOKUP($M55,割合DB!$A:$B,2,FALSE))</f>
        <v>0</v>
      </c>
      <c r="AL55" s="25">
        <f t="shared" si="29"/>
        <v>100</v>
      </c>
      <c r="AM55" s="18">
        <f t="shared" si="30"/>
        <v>100</v>
      </c>
      <c r="AN55" s="18">
        <f t="shared" si="19"/>
        <v>1</v>
      </c>
      <c r="AR55" s="24"/>
      <c r="AS55" s="24"/>
      <c r="AT55" s="24"/>
      <c r="AU55" s="24"/>
      <c r="AV55" s="24"/>
      <c r="AW55" s="24"/>
      <c r="AX55" s="24"/>
      <c r="AY55" s="24"/>
      <c r="AZ55" s="25"/>
      <c r="BA55" s="25"/>
      <c r="BB55" s="25"/>
      <c r="BC55" s="25"/>
      <c r="BD55" s="25"/>
      <c r="BE55" s="25"/>
      <c r="BF55" s="25"/>
      <c r="BG55" s="25"/>
      <c r="BH55" s="25"/>
      <c r="BI55" s="25"/>
    </row>
    <row r="56" spans="1:61" ht="27" customHeight="1" x14ac:dyDescent="0.15">
      <c r="A56" s="30" t="s">
        <v>484</v>
      </c>
      <c r="B56" s="21"/>
      <c r="C56" s="19"/>
      <c r="D56" s="40" t="str">
        <f t="shared" si="20"/>
        <v/>
      </c>
      <c r="E56" s="20"/>
      <c r="F56" s="32"/>
      <c r="G56" s="21"/>
      <c r="H56" s="22"/>
      <c r="I56" s="22"/>
      <c r="J56" s="22"/>
      <c r="K56" s="23"/>
      <c r="L56" s="23"/>
      <c r="M56" s="23"/>
      <c r="N56" s="146"/>
      <c r="O56" s="40">
        <f t="shared" si="21"/>
        <v>0</v>
      </c>
      <c r="P56" s="183" t="str">
        <f t="shared" si="22"/>
        <v/>
      </c>
      <c r="Q56" s="18">
        <f t="shared" si="1"/>
        <v>1</v>
      </c>
      <c r="R56" s="18">
        <f t="shared" si="2"/>
        <v>1</v>
      </c>
      <c r="S56" s="18">
        <f t="shared" si="16"/>
        <v>0</v>
      </c>
      <c r="T56" s="18">
        <f t="shared" si="17"/>
        <v>0</v>
      </c>
      <c r="U56" s="18">
        <f>IF($C56="人工面",0,IF($G56="",70,IF($D56="湿性環境",VLOOKUP($G56,環境タイプⅡによる点数DB!$A:$B,2,FALSE),IF($D56="樹林",VLOOKUP($G56,環境タイプⅡによる点数DB!$A:$C,3,FALSE),IF($D56="低木・草地",VLOOKUP($G56,環境タイプⅡによる点数DB!$A:$D,4,FALSE),0)))))</f>
        <v>70</v>
      </c>
      <c r="V56" s="24" t="str">
        <f>$H56&amp;"in"&amp;基本情報!$C$13</f>
        <v>in</v>
      </c>
      <c r="W56" s="24">
        <f t="shared" si="3"/>
        <v>0</v>
      </c>
      <c r="X56" s="24">
        <f>IF($H56="",0,IF($D56="樹林",IF(ISERROR(VLOOKUP($V56,市町村・植物種ごとの樹林点数DB!$A:$F,6,FALSE))=TRUE,20,VLOOKUP($V56,市町村・植物種ごとの樹林点数DB!$A:$F,6,FALSE)),IF($D56="低木・草地",IF(OR($H56="【ススキ】・【ネザサ】・【チガヤ】",$H56="不明"),45,10),0)))</f>
        <v>0</v>
      </c>
      <c r="Y56" s="24">
        <f t="shared" si="4"/>
        <v>0</v>
      </c>
      <c r="Z56" s="24">
        <f t="shared" si="5"/>
        <v>1</v>
      </c>
      <c r="AA56" s="24">
        <f t="shared" si="6"/>
        <v>0</v>
      </c>
      <c r="AB56" s="24">
        <f t="shared" si="7"/>
        <v>1</v>
      </c>
      <c r="AC56" s="25">
        <f t="shared" si="23"/>
        <v>0</v>
      </c>
      <c r="AD56" s="25">
        <f t="shared" si="24"/>
        <v>0</v>
      </c>
      <c r="AE56" s="25">
        <f t="shared" si="25"/>
        <v>0</v>
      </c>
      <c r="AF56" s="25" t="str">
        <f t="shared" si="26"/>
        <v/>
      </c>
      <c r="AG56" s="25" t="str">
        <f t="shared" si="27"/>
        <v/>
      </c>
      <c r="AH56" s="25" t="str">
        <f t="shared" si="28"/>
        <v/>
      </c>
      <c r="AI56" s="25">
        <f>IF(ISERROR(VLOOKUP($K56,割合DB!$A:$B,2,FALSE))=TRUE,0,VLOOKUP($K56,割合DB!$A:$B,2,FALSE))</f>
        <v>0</v>
      </c>
      <c r="AJ56" s="25">
        <f>IF(ISERROR(VLOOKUP($L56,割合DB!$A:$B,2,FALSE))=TRUE,0,VLOOKUP($L56,割合DB!$A:$B,2,FALSE))</f>
        <v>0</v>
      </c>
      <c r="AK56" s="25">
        <f>IF(ISERROR(VLOOKUP($M56,割合DB!$A:$B,2,FALSE))=TRUE,0,VLOOKUP($M56,割合DB!$A:$B,2,FALSE))</f>
        <v>0</v>
      </c>
      <c r="AL56" s="25">
        <f t="shared" si="29"/>
        <v>100</v>
      </c>
      <c r="AM56" s="18">
        <f t="shared" si="30"/>
        <v>100</v>
      </c>
      <c r="AN56" s="18">
        <f t="shared" si="19"/>
        <v>1</v>
      </c>
      <c r="AR56" s="24"/>
      <c r="AS56" s="24"/>
      <c r="AT56" s="24"/>
      <c r="AU56" s="24"/>
      <c r="AV56" s="24"/>
      <c r="AW56" s="24"/>
      <c r="AX56" s="24"/>
      <c r="AY56" s="24"/>
      <c r="AZ56" s="25"/>
      <c r="BA56" s="25"/>
      <c r="BB56" s="25"/>
      <c r="BC56" s="25"/>
      <c r="BD56" s="25"/>
      <c r="BE56" s="25"/>
      <c r="BF56" s="25"/>
      <c r="BG56" s="25"/>
      <c r="BH56" s="25"/>
      <c r="BI56" s="25"/>
    </row>
    <row r="57" spans="1:61" ht="27" customHeight="1" x14ac:dyDescent="0.15">
      <c r="A57" s="30" t="s">
        <v>485</v>
      </c>
      <c r="B57" s="21"/>
      <c r="C57" s="19"/>
      <c r="D57" s="40" t="str">
        <f t="shared" si="20"/>
        <v/>
      </c>
      <c r="E57" s="20"/>
      <c r="F57" s="32"/>
      <c r="G57" s="21"/>
      <c r="H57" s="22"/>
      <c r="I57" s="22"/>
      <c r="J57" s="22"/>
      <c r="K57" s="23"/>
      <c r="L57" s="23"/>
      <c r="M57" s="23"/>
      <c r="N57" s="146"/>
      <c r="O57" s="40">
        <f t="shared" si="21"/>
        <v>0</v>
      </c>
      <c r="P57" s="183" t="str">
        <f t="shared" si="22"/>
        <v/>
      </c>
      <c r="Q57" s="18">
        <f t="shared" si="1"/>
        <v>1</v>
      </c>
      <c r="R57" s="18">
        <f t="shared" si="2"/>
        <v>1</v>
      </c>
      <c r="S57" s="18">
        <f t="shared" si="16"/>
        <v>0</v>
      </c>
      <c r="T57" s="18">
        <f t="shared" si="17"/>
        <v>0</v>
      </c>
      <c r="U57" s="18">
        <f>IF($C57="人工面",0,IF($G57="",70,IF($D57="湿性環境",VLOOKUP($G57,環境タイプⅡによる点数DB!$A:$B,2,FALSE),IF($D57="樹林",VLOOKUP($G57,環境タイプⅡによる点数DB!$A:$C,3,FALSE),IF($D57="低木・草地",VLOOKUP($G57,環境タイプⅡによる点数DB!$A:$D,4,FALSE),0)))))</f>
        <v>70</v>
      </c>
      <c r="V57" s="24" t="str">
        <f>$H57&amp;"in"&amp;基本情報!$C$13</f>
        <v>in</v>
      </c>
      <c r="W57" s="24">
        <f t="shared" si="3"/>
        <v>0</v>
      </c>
      <c r="X57" s="24">
        <f>IF($H57="",0,IF($D57="樹林",IF(ISERROR(VLOOKUP($V57,市町村・植物種ごとの樹林点数DB!$A:$F,6,FALSE))=TRUE,20,VLOOKUP($V57,市町村・植物種ごとの樹林点数DB!$A:$F,6,FALSE)),IF($D57="低木・草地",IF(OR($H57="【ススキ】・【ネザサ】・【チガヤ】",$H57="不明"),45,10),0)))</f>
        <v>0</v>
      </c>
      <c r="Y57" s="24">
        <f t="shared" si="4"/>
        <v>0</v>
      </c>
      <c r="Z57" s="24">
        <f t="shared" si="5"/>
        <v>1</v>
      </c>
      <c r="AA57" s="24">
        <f t="shared" si="6"/>
        <v>0</v>
      </c>
      <c r="AB57" s="24">
        <f t="shared" si="7"/>
        <v>1</v>
      </c>
      <c r="AC57" s="25">
        <f t="shared" si="23"/>
        <v>0</v>
      </c>
      <c r="AD57" s="25">
        <f t="shared" si="24"/>
        <v>0</v>
      </c>
      <c r="AE57" s="25">
        <f t="shared" si="25"/>
        <v>0</v>
      </c>
      <c r="AF57" s="25" t="str">
        <f t="shared" si="26"/>
        <v/>
      </c>
      <c r="AG57" s="25" t="str">
        <f t="shared" si="27"/>
        <v/>
      </c>
      <c r="AH57" s="25" t="str">
        <f t="shared" si="28"/>
        <v/>
      </c>
      <c r="AI57" s="25">
        <f>IF(ISERROR(VLOOKUP($K57,割合DB!$A:$B,2,FALSE))=TRUE,0,VLOOKUP($K57,割合DB!$A:$B,2,FALSE))</f>
        <v>0</v>
      </c>
      <c r="AJ57" s="25">
        <f>IF(ISERROR(VLOOKUP($L57,割合DB!$A:$B,2,FALSE))=TRUE,0,VLOOKUP($L57,割合DB!$A:$B,2,FALSE))</f>
        <v>0</v>
      </c>
      <c r="AK57" s="25">
        <f>IF(ISERROR(VLOOKUP($M57,割合DB!$A:$B,2,FALSE))=TRUE,0,VLOOKUP($M57,割合DB!$A:$B,2,FALSE))</f>
        <v>0</v>
      </c>
      <c r="AL57" s="25">
        <f t="shared" si="29"/>
        <v>100</v>
      </c>
      <c r="AM57" s="18">
        <f t="shared" si="30"/>
        <v>100</v>
      </c>
      <c r="AN57" s="18">
        <f t="shared" si="19"/>
        <v>1</v>
      </c>
      <c r="AR57" s="24"/>
      <c r="AS57" s="24"/>
      <c r="AT57" s="24"/>
      <c r="AU57" s="24"/>
      <c r="AV57" s="24"/>
      <c r="AW57" s="24"/>
      <c r="AX57" s="24"/>
      <c r="AY57" s="24"/>
      <c r="AZ57" s="25"/>
      <c r="BA57" s="25"/>
      <c r="BB57" s="25"/>
      <c r="BC57" s="25"/>
      <c r="BD57" s="25"/>
      <c r="BE57" s="25"/>
      <c r="BF57" s="25"/>
      <c r="BG57" s="25"/>
      <c r="BH57" s="25"/>
      <c r="BI57" s="25"/>
    </row>
    <row r="58" spans="1:61" ht="27" customHeight="1" x14ac:dyDescent="0.15">
      <c r="A58" s="30" t="s">
        <v>486</v>
      </c>
      <c r="B58" s="21"/>
      <c r="C58" s="19"/>
      <c r="D58" s="40" t="str">
        <f t="shared" si="20"/>
        <v/>
      </c>
      <c r="E58" s="20"/>
      <c r="F58" s="32"/>
      <c r="G58" s="21"/>
      <c r="H58" s="22"/>
      <c r="I58" s="22"/>
      <c r="J58" s="22"/>
      <c r="K58" s="23"/>
      <c r="L58" s="23"/>
      <c r="M58" s="23"/>
      <c r="N58" s="146"/>
      <c r="O58" s="40">
        <f t="shared" si="21"/>
        <v>0</v>
      </c>
      <c r="P58" s="183" t="str">
        <f t="shared" si="22"/>
        <v/>
      </c>
      <c r="Q58" s="18">
        <f t="shared" si="1"/>
        <v>1</v>
      </c>
      <c r="R58" s="18">
        <f t="shared" si="2"/>
        <v>1</v>
      </c>
      <c r="S58" s="18">
        <f t="shared" si="16"/>
        <v>0</v>
      </c>
      <c r="T58" s="18">
        <f t="shared" si="17"/>
        <v>0</v>
      </c>
      <c r="U58" s="18">
        <f>IF($C58="人工面",0,IF($G58="",70,IF($D58="湿性環境",VLOOKUP($G58,環境タイプⅡによる点数DB!$A:$B,2,FALSE),IF($D58="樹林",VLOOKUP($G58,環境タイプⅡによる点数DB!$A:$C,3,FALSE),IF($D58="低木・草地",VLOOKUP($G58,環境タイプⅡによる点数DB!$A:$D,4,FALSE),0)))))</f>
        <v>70</v>
      </c>
      <c r="V58" s="24" t="str">
        <f>$H58&amp;"in"&amp;基本情報!$C$13</f>
        <v>in</v>
      </c>
      <c r="W58" s="24">
        <f t="shared" si="3"/>
        <v>0</v>
      </c>
      <c r="X58" s="24">
        <f>IF($H58="",0,IF($D58="樹林",IF(ISERROR(VLOOKUP($V58,市町村・植物種ごとの樹林点数DB!$A:$F,6,FALSE))=TRUE,20,VLOOKUP($V58,市町村・植物種ごとの樹林点数DB!$A:$F,6,FALSE)),IF($D58="低木・草地",IF(OR($H58="【ススキ】・【ネザサ】・【チガヤ】",$H58="不明"),45,10),0)))</f>
        <v>0</v>
      </c>
      <c r="Y58" s="24">
        <f t="shared" si="4"/>
        <v>0</v>
      </c>
      <c r="Z58" s="24">
        <f t="shared" si="5"/>
        <v>1</v>
      </c>
      <c r="AA58" s="24">
        <f t="shared" si="6"/>
        <v>0</v>
      </c>
      <c r="AB58" s="24">
        <f t="shared" si="7"/>
        <v>1</v>
      </c>
      <c r="AC58" s="25">
        <f t="shared" si="23"/>
        <v>0</v>
      </c>
      <c r="AD58" s="25">
        <f t="shared" si="24"/>
        <v>0</v>
      </c>
      <c r="AE58" s="25">
        <f t="shared" si="25"/>
        <v>0</v>
      </c>
      <c r="AF58" s="25" t="str">
        <f t="shared" si="26"/>
        <v/>
      </c>
      <c r="AG58" s="25" t="str">
        <f t="shared" si="27"/>
        <v/>
      </c>
      <c r="AH58" s="25" t="str">
        <f t="shared" si="28"/>
        <v/>
      </c>
      <c r="AI58" s="25">
        <f>IF(ISERROR(VLOOKUP($K58,割合DB!$A:$B,2,FALSE))=TRUE,0,VLOOKUP($K58,割合DB!$A:$B,2,FALSE))</f>
        <v>0</v>
      </c>
      <c r="AJ58" s="25">
        <f>IF(ISERROR(VLOOKUP($L58,割合DB!$A:$B,2,FALSE))=TRUE,0,VLOOKUP($L58,割合DB!$A:$B,2,FALSE))</f>
        <v>0</v>
      </c>
      <c r="AK58" s="25">
        <f>IF(ISERROR(VLOOKUP($M58,割合DB!$A:$B,2,FALSE))=TRUE,0,VLOOKUP($M58,割合DB!$A:$B,2,FALSE))</f>
        <v>0</v>
      </c>
      <c r="AL58" s="25">
        <f t="shared" si="29"/>
        <v>100</v>
      </c>
      <c r="AM58" s="18">
        <f t="shared" si="30"/>
        <v>100</v>
      </c>
      <c r="AN58" s="18">
        <f t="shared" si="19"/>
        <v>1</v>
      </c>
      <c r="AR58" s="24"/>
      <c r="AS58" s="24"/>
      <c r="AT58" s="24"/>
      <c r="AU58" s="24"/>
      <c r="AV58" s="24"/>
      <c r="AW58" s="24"/>
      <c r="AX58" s="24"/>
      <c r="AY58" s="24"/>
      <c r="AZ58" s="25"/>
      <c r="BA58" s="25"/>
      <c r="BB58" s="25"/>
      <c r="BC58" s="25"/>
      <c r="BD58" s="25"/>
      <c r="BE58" s="25"/>
      <c r="BF58" s="25"/>
      <c r="BG58" s="25"/>
      <c r="BH58" s="25"/>
      <c r="BI58" s="25"/>
    </row>
    <row r="59" spans="1:61" ht="27" customHeight="1" x14ac:dyDescent="0.15">
      <c r="A59" s="30" t="s">
        <v>487</v>
      </c>
      <c r="B59" s="21"/>
      <c r="C59" s="19"/>
      <c r="D59" s="40" t="str">
        <f t="shared" si="20"/>
        <v/>
      </c>
      <c r="E59" s="20"/>
      <c r="F59" s="32"/>
      <c r="G59" s="21"/>
      <c r="H59" s="22"/>
      <c r="I59" s="22"/>
      <c r="J59" s="22"/>
      <c r="K59" s="23"/>
      <c r="L59" s="23"/>
      <c r="M59" s="23"/>
      <c r="N59" s="146"/>
      <c r="O59" s="40">
        <f t="shared" si="21"/>
        <v>0</v>
      </c>
      <c r="P59" s="183" t="str">
        <f t="shared" si="22"/>
        <v/>
      </c>
      <c r="Q59" s="18">
        <f t="shared" si="1"/>
        <v>1</v>
      </c>
      <c r="R59" s="18">
        <f t="shared" si="2"/>
        <v>1</v>
      </c>
      <c r="S59" s="18">
        <f t="shared" si="16"/>
        <v>0</v>
      </c>
      <c r="T59" s="18">
        <f t="shared" si="17"/>
        <v>0</v>
      </c>
      <c r="U59" s="18">
        <f>IF($C59="人工面",0,IF($G59="",70,IF($D59="湿性環境",VLOOKUP($G59,環境タイプⅡによる点数DB!$A:$B,2,FALSE),IF($D59="樹林",VLOOKUP($G59,環境タイプⅡによる点数DB!$A:$C,3,FALSE),IF($D59="低木・草地",VLOOKUP($G59,環境タイプⅡによる点数DB!$A:$D,4,FALSE),0)))))</f>
        <v>70</v>
      </c>
      <c r="V59" s="24" t="str">
        <f>$H59&amp;"in"&amp;基本情報!$C$13</f>
        <v>in</v>
      </c>
      <c r="W59" s="24">
        <f t="shared" si="3"/>
        <v>0</v>
      </c>
      <c r="X59" s="24">
        <f>IF($H59="",0,IF($D59="樹林",IF(ISERROR(VLOOKUP($V59,市町村・植物種ごとの樹林点数DB!$A:$F,6,FALSE))=TRUE,20,VLOOKUP($V59,市町村・植物種ごとの樹林点数DB!$A:$F,6,FALSE)),IF($D59="低木・草地",IF(OR($H59="【ススキ】・【ネザサ】・【チガヤ】",$H59="不明"),45,10),0)))</f>
        <v>0</v>
      </c>
      <c r="Y59" s="24">
        <f t="shared" si="4"/>
        <v>0</v>
      </c>
      <c r="Z59" s="24">
        <f t="shared" si="5"/>
        <v>1</v>
      </c>
      <c r="AA59" s="24">
        <f t="shared" si="6"/>
        <v>0</v>
      </c>
      <c r="AB59" s="24">
        <f t="shared" si="7"/>
        <v>1</v>
      </c>
      <c r="AC59" s="25">
        <f t="shared" si="23"/>
        <v>0</v>
      </c>
      <c r="AD59" s="25">
        <f t="shared" si="24"/>
        <v>0</v>
      </c>
      <c r="AE59" s="25">
        <f t="shared" si="25"/>
        <v>0</v>
      </c>
      <c r="AF59" s="25" t="str">
        <f t="shared" si="26"/>
        <v/>
      </c>
      <c r="AG59" s="25" t="str">
        <f t="shared" si="27"/>
        <v/>
      </c>
      <c r="AH59" s="25" t="str">
        <f t="shared" si="28"/>
        <v/>
      </c>
      <c r="AI59" s="25">
        <f>IF(ISERROR(VLOOKUP($K59,割合DB!$A:$B,2,FALSE))=TRUE,0,VLOOKUP($K59,割合DB!$A:$B,2,FALSE))</f>
        <v>0</v>
      </c>
      <c r="AJ59" s="25">
        <f>IF(ISERROR(VLOOKUP($L59,割合DB!$A:$B,2,FALSE))=TRUE,0,VLOOKUP($L59,割合DB!$A:$B,2,FALSE))</f>
        <v>0</v>
      </c>
      <c r="AK59" s="25">
        <f>IF(ISERROR(VLOOKUP($M59,割合DB!$A:$B,2,FALSE))=TRUE,0,VLOOKUP($M59,割合DB!$A:$B,2,FALSE))</f>
        <v>0</v>
      </c>
      <c r="AL59" s="25">
        <f t="shared" si="29"/>
        <v>100</v>
      </c>
      <c r="AM59" s="18">
        <f t="shared" si="30"/>
        <v>100</v>
      </c>
      <c r="AN59" s="18">
        <f t="shared" si="19"/>
        <v>1</v>
      </c>
      <c r="AR59" s="24"/>
      <c r="AS59" s="24"/>
      <c r="AT59" s="24"/>
      <c r="AU59" s="24"/>
      <c r="AV59" s="24"/>
      <c r="AW59" s="24"/>
      <c r="AX59" s="24"/>
      <c r="AY59" s="24"/>
      <c r="AZ59" s="25"/>
      <c r="BA59" s="25"/>
      <c r="BB59" s="25"/>
      <c r="BC59" s="25"/>
      <c r="BD59" s="25"/>
      <c r="BE59" s="25"/>
      <c r="BF59" s="25"/>
      <c r="BG59" s="25"/>
      <c r="BH59" s="25"/>
      <c r="BI59" s="25"/>
    </row>
    <row r="60" spans="1:61" ht="27" customHeight="1" x14ac:dyDescent="0.15">
      <c r="A60" s="30" t="s">
        <v>488</v>
      </c>
      <c r="B60" s="21"/>
      <c r="C60" s="19"/>
      <c r="D60" s="40" t="str">
        <f t="shared" si="20"/>
        <v/>
      </c>
      <c r="E60" s="20"/>
      <c r="F60" s="32"/>
      <c r="G60" s="21"/>
      <c r="H60" s="22"/>
      <c r="I60" s="22"/>
      <c r="J60" s="22"/>
      <c r="K60" s="23"/>
      <c r="L60" s="23"/>
      <c r="M60" s="23"/>
      <c r="N60" s="146"/>
      <c r="O60" s="40">
        <f t="shared" si="21"/>
        <v>0</v>
      </c>
      <c r="P60" s="183" t="str">
        <f t="shared" si="22"/>
        <v/>
      </c>
      <c r="Q60" s="18">
        <f t="shared" si="1"/>
        <v>1</v>
      </c>
      <c r="R60" s="18">
        <f t="shared" si="2"/>
        <v>1</v>
      </c>
      <c r="S60" s="18">
        <f t="shared" si="16"/>
        <v>0</v>
      </c>
      <c r="T60" s="18">
        <f t="shared" si="17"/>
        <v>0</v>
      </c>
      <c r="U60" s="18">
        <f>IF($C60="人工面",0,IF($G60="",70,IF($D60="湿性環境",VLOOKUP($G60,環境タイプⅡによる点数DB!$A:$B,2,FALSE),IF($D60="樹林",VLOOKUP($G60,環境タイプⅡによる点数DB!$A:$C,3,FALSE),IF($D60="低木・草地",VLOOKUP($G60,環境タイプⅡによる点数DB!$A:$D,4,FALSE),0)))))</f>
        <v>70</v>
      </c>
      <c r="V60" s="24" t="str">
        <f>$H60&amp;"in"&amp;基本情報!$C$13</f>
        <v>in</v>
      </c>
      <c r="W60" s="24">
        <f t="shared" si="3"/>
        <v>0</v>
      </c>
      <c r="X60" s="24">
        <f>IF($H60="",0,IF($D60="樹林",IF(ISERROR(VLOOKUP($V60,市町村・植物種ごとの樹林点数DB!$A:$F,6,FALSE))=TRUE,20,VLOOKUP($V60,市町村・植物種ごとの樹林点数DB!$A:$F,6,FALSE)),IF($D60="低木・草地",IF(OR($H60="【ススキ】・【ネザサ】・【チガヤ】",$H60="不明"),45,10),0)))</f>
        <v>0</v>
      </c>
      <c r="Y60" s="24">
        <f t="shared" si="4"/>
        <v>0</v>
      </c>
      <c r="Z60" s="24">
        <f t="shared" si="5"/>
        <v>1</v>
      </c>
      <c r="AA60" s="24">
        <f t="shared" si="6"/>
        <v>0</v>
      </c>
      <c r="AB60" s="24">
        <f t="shared" si="7"/>
        <v>1</v>
      </c>
      <c r="AC60" s="25">
        <f t="shared" si="23"/>
        <v>0</v>
      </c>
      <c r="AD60" s="25">
        <f t="shared" si="24"/>
        <v>0</v>
      </c>
      <c r="AE60" s="25">
        <f t="shared" si="25"/>
        <v>0</v>
      </c>
      <c r="AF60" s="25" t="str">
        <f t="shared" si="26"/>
        <v/>
      </c>
      <c r="AG60" s="25" t="str">
        <f t="shared" si="27"/>
        <v/>
      </c>
      <c r="AH60" s="25" t="str">
        <f t="shared" si="28"/>
        <v/>
      </c>
      <c r="AI60" s="25">
        <f>IF(ISERROR(VLOOKUP($K60,割合DB!$A:$B,2,FALSE))=TRUE,0,VLOOKUP($K60,割合DB!$A:$B,2,FALSE))</f>
        <v>0</v>
      </c>
      <c r="AJ60" s="25">
        <f>IF(ISERROR(VLOOKUP($L60,割合DB!$A:$B,2,FALSE))=TRUE,0,VLOOKUP($L60,割合DB!$A:$B,2,FALSE))</f>
        <v>0</v>
      </c>
      <c r="AK60" s="25">
        <f>IF(ISERROR(VLOOKUP($M60,割合DB!$A:$B,2,FALSE))=TRUE,0,VLOOKUP($M60,割合DB!$A:$B,2,FALSE))</f>
        <v>0</v>
      </c>
      <c r="AL60" s="25">
        <f t="shared" si="29"/>
        <v>100</v>
      </c>
      <c r="AM60" s="18">
        <f t="shared" si="30"/>
        <v>100</v>
      </c>
      <c r="AN60" s="18">
        <f t="shared" si="19"/>
        <v>1</v>
      </c>
      <c r="AR60" s="24"/>
      <c r="AS60" s="24"/>
      <c r="AT60" s="24"/>
      <c r="AU60" s="24"/>
      <c r="AV60" s="24"/>
      <c r="AW60" s="24"/>
      <c r="AX60" s="24"/>
      <c r="AY60" s="24"/>
      <c r="AZ60" s="25"/>
      <c r="BA60" s="25"/>
      <c r="BB60" s="25"/>
      <c r="BC60" s="25"/>
      <c r="BD60" s="25"/>
      <c r="BE60" s="25"/>
      <c r="BF60" s="25"/>
      <c r="BG60" s="25"/>
      <c r="BH60" s="25"/>
      <c r="BI60" s="25"/>
    </row>
    <row r="61" spans="1:61" ht="27" customHeight="1" x14ac:dyDescent="0.15">
      <c r="A61" s="30" t="s">
        <v>489</v>
      </c>
      <c r="B61" s="21"/>
      <c r="C61" s="19"/>
      <c r="D61" s="40" t="str">
        <f t="shared" si="20"/>
        <v/>
      </c>
      <c r="E61" s="20"/>
      <c r="F61" s="32"/>
      <c r="G61" s="21"/>
      <c r="H61" s="22"/>
      <c r="I61" s="22"/>
      <c r="J61" s="22"/>
      <c r="K61" s="23"/>
      <c r="L61" s="23"/>
      <c r="M61" s="23"/>
      <c r="N61" s="146"/>
      <c r="O61" s="40">
        <f t="shared" si="21"/>
        <v>0</v>
      </c>
      <c r="P61" s="183" t="str">
        <f t="shared" si="22"/>
        <v/>
      </c>
      <c r="Q61" s="18">
        <f t="shared" si="1"/>
        <v>1</v>
      </c>
      <c r="R61" s="18">
        <f t="shared" si="2"/>
        <v>1</v>
      </c>
      <c r="S61" s="18">
        <f t="shared" si="16"/>
        <v>0</v>
      </c>
      <c r="T61" s="18">
        <f t="shared" si="17"/>
        <v>0</v>
      </c>
      <c r="U61" s="18">
        <f>IF($C61="人工面",0,IF($G61="",70,IF($D61="湿性環境",VLOOKUP($G61,環境タイプⅡによる点数DB!$A:$B,2,FALSE),IF($D61="樹林",VLOOKUP($G61,環境タイプⅡによる点数DB!$A:$C,3,FALSE),IF($D61="低木・草地",VLOOKUP($G61,環境タイプⅡによる点数DB!$A:$D,4,FALSE),0)))))</f>
        <v>70</v>
      </c>
      <c r="V61" s="24" t="str">
        <f>$H61&amp;"in"&amp;基本情報!$C$13</f>
        <v>in</v>
      </c>
      <c r="W61" s="24">
        <f t="shared" si="3"/>
        <v>0</v>
      </c>
      <c r="X61" s="24">
        <f>IF($H61="",0,IF($D61="樹林",IF(ISERROR(VLOOKUP($V61,市町村・植物種ごとの樹林点数DB!$A:$F,6,FALSE))=TRUE,20,VLOOKUP($V61,市町村・植物種ごとの樹林点数DB!$A:$F,6,FALSE)),IF($D61="低木・草地",IF(OR($H61="【ススキ】・【ネザサ】・【チガヤ】",$H61="不明"),45,10),0)))</f>
        <v>0</v>
      </c>
      <c r="Y61" s="24">
        <f t="shared" si="4"/>
        <v>0</v>
      </c>
      <c r="Z61" s="24">
        <f t="shared" si="5"/>
        <v>1</v>
      </c>
      <c r="AA61" s="24">
        <f t="shared" si="6"/>
        <v>0</v>
      </c>
      <c r="AB61" s="24">
        <f t="shared" si="7"/>
        <v>1</v>
      </c>
      <c r="AC61" s="25">
        <f t="shared" si="23"/>
        <v>0</v>
      </c>
      <c r="AD61" s="25">
        <f t="shared" si="24"/>
        <v>0</v>
      </c>
      <c r="AE61" s="25">
        <f t="shared" si="25"/>
        <v>0</v>
      </c>
      <c r="AF61" s="25" t="str">
        <f t="shared" si="26"/>
        <v/>
      </c>
      <c r="AG61" s="25" t="str">
        <f t="shared" si="27"/>
        <v/>
      </c>
      <c r="AH61" s="25" t="str">
        <f t="shared" si="28"/>
        <v/>
      </c>
      <c r="AI61" s="25">
        <f>IF(ISERROR(VLOOKUP($K61,割合DB!$A:$B,2,FALSE))=TRUE,0,VLOOKUP($K61,割合DB!$A:$B,2,FALSE))</f>
        <v>0</v>
      </c>
      <c r="AJ61" s="25">
        <f>IF(ISERROR(VLOOKUP($L61,割合DB!$A:$B,2,FALSE))=TRUE,0,VLOOKUP($L61,割合DB!$A:$B,2,FALSE))</f>
        <v>0</v>
      </c>
      <c r="AK61" s="25">
        <f>IF(ISERROR(VLOOKUP($M61,割合DB!$A:$B,2,FALSE))=TRUE,0,VLOOKUP($M61,割合DB!$A:$B,2,FALSE))</f>
        <v>0</v>
      </c>
      <c r="AL61" s="25">
        <f t="shared" si="29"/>
        <v>100</v>
      </c>
      <c r="AM61" s="18">
        <f t="shared" si="30"/>
        <v>100</v>
      </c>
      <c r="AN61" s="18">
        <f t="shared" si="19"/>
        <v>1</v>
      </c>
      <c r="AR61" s="24"/>
      <c r="AS61" s="24"/>
      <c r="AT61" s="24"/>
      <c r="AU61" s="24"/>
      <c r="AV61" s="24"/>
      <c r="AW61" s="24"/>
      <c r="AX61" s="24"/>
      <c r="AY61" s="24"/>
      <c r="AZ61" s="25"/>
      <c r="BA61" s="25"/>
      <c r="BB61" s="25"/>
      <c r="BC61" s="25"/>
      <c r="BD61" s="25"/>
      <c r="BE61" s="25"/>
      <c r="BF61" s="25"/>
      <c r="BG61" s="25"/>
      <c r="BH61" s="25"/>
      <c r="BI61" s="25"/>
    </row>
    <row r="62" spans="1:61" ht="27" customHeight="1" x14ac:dyDescent="0.15">
      <c r="A62" s="30" t="s">
        <v>490</v>
      </c>
      <c r="B62" s="21"/>
      <c r="C62" s="19"/>
      <c r="D62" s="40" t="str">
        <f t="shared" si="20"/>
        <v/>
      </c>
      <c r="E62" s="20"/>
      <c r="F62" s="32"/>
      <c r="G62" s="21"/>
      <c r="H62" s="22"/>
      <c r="I62" s="22"/>
      <c r="J62" s="22"/>
      <c r="K62" s="23"/>
      <c r="L62" s="23"/>
      <c r="M62" s="23"/>
      <c r="N62" s="146"/>
      <c r="O62" s="40">
        <f t="shared" si="21"/>
        <v>0</v>
      </c>
      <c r="P62" s="183" t="str">
        <f t="shared" si="22"/>
        <v/>
      </c>
      <c r="Q62" s="18">
        <f t="shared" si="1"/>
        <v>1</v>
      </c>
      <c r="R62" s="18">
        <f t="shared" si="2"/>
        <v>1</v>
      </c>
      <c r="S62" s="18">
        <f t="shared" si="16"/>
        <v>0</v>
      </c>
      <c r="T62" s="18">
        <f t="shared" si="17"/>
        <v>0</v>
      </c>
      <c r="U62" s="18">
        <f>IF($C62="人工面",0,IF($G62="",70,IF($D62="湿性環境",VLOOKUP($G62,環境タイプⅡによる点数DB!$A:$B,2,FALSE),IF($D62="樹林",VLOOKUP($G62,環境タイプⅡによる点数DB!$A:$C,3,FALSE),IF($D62="低木・草地",VLOOKUP($G62,環境タイプⅡによる点数DB!$A:$D,4,FALSE),0)))))</f>
        <v>70</v>
      </c>
      <c r="V62" s="24" t="str">
        <f>$H62&amp;"in"&amp;基本情報!$C$13</f>
        <v>in</v>
      </c>
      <c r="W62" s="24">
        <f t="shared" si="3"/>
        <v>0</v>
      </c>
      <c r="X62" s="24">
        <f>IF($H62="",0,IF($D62="樹林",IF(ISERROR(VLOOKUP($V62,市町村・植物種ごとの樹林点数DB!$A:$F,6,FALSE))=TRUE,20,VLOOKUP($V62,市町村・植物種ごとの樹林点数DB!$A:$F,6,FALSE)),IF($D62="低木・草地",IF(OR($H62="【ススキ】・【ネザサ】・【チガヤ】",$H62="不明"),45,10),0)))</f>
        <v>0</v>
      </c>
      <c r="Y62" s="24">
        <f t="shared" si="4"/>
        <v>0</v>
      </c>
      <c r="Z62" s="24">
        <f t="shared" si="5"/>
        <v>1</v>
      </c>
      <c r="AA62" s="24">
        <f t="shared" si="6"/>
        <v>0</v>
      </c>
      <c r="AB62" s="24">
        <f t="shared" si="7"/>
        <v>1</v>
      </c>
      <c r="AC62" s="25">
        <f t="shared" si="23"/>
        <v>0</v>
      </c>
      <c r="AD62" s="25">
        <f t="shared" si="24"/>
        <v>0</v>
      </c>
      <c r="AE62" s="25">
        <f t="shared" si="25"/>
        <v>0</v>
      </c>
      <c r="AF62" s="25" t="str">
        <f t="shared" si="26"/>
        <v/>
      </c>
      <c r="AG62" s="25" t="str">
        <f t="shared" si="27"/>
        <v/>
      </c>
      <c r="AH62" s="25" t="str">
        <f t="shared" si="28"/>
        <v/>
      </c>
      <c r="AI62" s="25">
        <f>IF(ISERROR(VLOOKUP($K62,割合DB!$A:$B,2,FALSE))=TRUE,0,VLOOKUP($K62,割合DB!$A:$B,2,FALSE))</f>
        <v>0</v>
      </c>
      <c r="AJ62" s="25">
        <f>IF(ISERROR(VLOOKUP($L62,割合DB!$A:$B,2,FALSE))=TRUE,0,VLOOKUP($L62,割合DB!$A:$B,2,FALSE))</f>
        <v>0</v>
      </c>
      <c r="AK62" s="25">
        <f>IF(ISERROR(VLOOKUP($M62,割合DB!$A:$B,2,FALSE))=TRUE,0,VLOOKUP($M62,割合DB!$A:$B,2,FALSE))</f>
        <v>0</v>
      </c>
      <c r="AL62" s="25">
        <f t="shared" si="29"/>
        <v>100</v>
      </c>
      <c r="AM62" s="18">
        <f t="shared" si="30"/>
        <v>100</v>
      </c>
      <c r="AN62" s="18">
        <f t="shared" si="19"/>
        <v>1</v>
      </c>
      <c r="AR62" s="24"/>
      <c r="AS62" s="24"/>
      <c r="AT62" s="24"/>
      <c r="AU62" s="24"/>
      <c r="AV62" s="24"/>
      <c r="AW62" s="24"/>
      <c r="AX62" s="24"/>
      <c r="AY62" s="24"/>
      <c r="AZ62" s="25"/>
      <c r="BA62" s="25"/>
      <c r="BB62" s="25"/>
      <c r="BC62" s="25"/>
      <c r="BD62" s="25"/>
      <c r="BE62" s="25"/>
      <c r="BF62" s="25"/>
      <c r="BG62" s="25"/>
      <c r="BH62" s="25"/>
      <c r="BI62" s="25"/>
    </row>
    <row r="63" spans="1:61" ht="27" customHeight="1" x14ac:dyDescent="0.15">
      <c r="A63" s="30" t="s">
        <v>491</v>
      </c>
      <c r="B63" s="21"/>
      <c r="C63" s="19"/>
      <c r="D63" s="40" t="str">
        <f t="shared" si="20"/>
        <v/>
      </c>
      <c r="E63" s="20"/>
      <c r="F63" s="32"/>
      <c r="G63" s="21"/>
      <c r="H63" s="22"/>
      <c r="I63" s="22"/>
      <c r="J63" s="22"/>
      <c r="K63" s="23"/>
      <c r="L63" s="23"/>
      <c r="M63" s="23"/>
      <c r="N63" s="146"/>
      <c r="O63" s="40">
        <f t="shared" si="21"/>
        <v>0</v>
      </c>
      <c r="P63" s="183" t="str">
        <f t="shared" si="22"/>
        <v/>
      </c>
      <c r="Q63" s="18">
        <f t="shared" si="1"/>
        <v>1</v>
      </c>
      <c r="R63" s="18">
        <f t="shared" si="2"/>
        <v>1</v>
      </c>
      <c r="S63" s="18">
        <f t="shared" si="16"/>
        <v>0</v>
      </c>
      <c r="T63" s="18">
        <f t="shared" si="17"/>
        <v>0</v>
      </c>
      <c r="U63" s="18">
        <f>IF($C63="人工面",0,IF($G63="",70,IF($D63="湿性環境",VLOOKUP($G63,環境タイプⅡによる点数DB!$A:$B,2,FALSE),IF($D63="樹林",VLOOKUP($G63,環境タイプⅡによる点数DB!$A:$C,3,FALSE),IF($D63="低木・草地",VLOOKUP($G63,環境タイプⅡによる点数DB!$A:$D,4,FALSE),0)))))</f>
        <v>70</v>
      </c>
      <c r="V63" s="24" t="str">
        <f>$H63&amp;"in"&amp;基本情報!$C$13</f>
        <v>in</v>
      </c>
      <c r="W63" s="24">
        <f t="shared" si="3"/>
        <v>0</v>
      </c>
      <c r="X63" s="24">
        <f>IF($H63="",0,IF($D63="樹林",IF(ISERROR(VLOOKUP($V63,市町村・植物種ごとの樹林点数DB!$A:$F,6,FALSE))=TRUE,20,VLOOKUP($V63,市町村・植物種ごとの樹林点数DB!$A:$F,6,FALSE)),IF($D63="低木・草地",IF(OR($H63="【ススキ】・【ネザサ】・【チガヤ】",$H63="不明"),45,10),0)))</f>
        <v>0</v>
      </c>
      <c r="Y63" s="24">
        <f t="shared" si="4"/>
        <v>0</v>
      </c>
      <c r="Z63" s="24">
        <f t="shared" si="5"/>
        <v>1</v>
      </c>
      <c r="AA63" s="24">
        <f t="shared" si="6"/>
        <v>0</v>
      </c>
      <c r="AB63" s="24">
        <f t="shared" si="7"/>
        <v>1</v>
      </c>
      <c r="AC63" s="25">
        <f t="shared" si="23"/>
        <v>0</v>
      </c>
      <c r="AD63" s="25">
        <f t="shared" si="24"/>
        <v>0</v>
      </c>
      <c r="AE63" s="25">
        <f t="shared" si="25"/>
        <v>0</v>
      </c>
      <c r="AF63" s="25" t="str">
        <f t="shared" si="26"/>
        <v/>
      </c>
      <c r="AG63" s="25" t="str">
        <f t="shared" si="27"/>
        <v/>
      </c>
      <c r="AH63" s="25" t="str">
        <f t="shared" si="28"/>
        <v/>
      </c>
      <c r="AI63" s="25">
        <f>IF(ISERROR(VLOOKUP($K63,割合DB!$A:$B,2,FALSE))=TRUE,0,VLOOKUP($K63,割合DB!$A:$B,2,FALSE))</f>
        <v>0</v>
      </c>
      <c r="AJ63" s="25">
        <f>IF(ISERROR(VLOOKUP($L63,割合DB!$A:$B,2,FALSE))=TRUE,0,VLOOKUP($L63,割合DB!$A:$B,2,FALSE))</f>
        <v>0</v>
      </c>
      <c r="AK63" s="25">
        <f>IF(ISERROR(VLOOKUP($M63,割合DB!$A:$B,2,FALSE))=TRUE,0,VLOOKUP($M63,割合DB!$A:$B,2,FALSE))</f>
        <v>0</v>
      </c>
      <c r="AL63" s="25">
        <f t="shared" si="29"/>
        <v>100</v>
      </c>
      <c r="AM63" s="18">
        <f t="shared" si="30"/>
        <v>100</v>
      </c>
      <c r="AN63" s="18">
        <f t="shared" si="19"/>
        <v>1</v>
      </c>
      <c r="AR63" s="24"/>
      <c r="AS63" s="24"/>
      <c r="AT63" s="24"/>
      <c r="AU63" s="24"/>
      <c r="AV63" s="24"/>
      <c r="AW63" s="24"/>
      <c r="AX63" s="24"/>
      <c r="AY63" s="24"/>
      <c r="AZ63" s="25"/>
      <c r="BA63" s="25"/>
      <c r="BB63" s="25"/>
      <c r="BC63" s="25"/>
      <c r="BD63" s="25"/>
      <c r="BE63" s="25"/>
      <c r="BF63" s="25"/>
      <c r="BG63" s="25"/>
      <c r="BH63" s="25"/>
      <c r="BI63" s="25"/>
    </row>
    <row r="64" spans="1:61" ht="27" customHeight="1" x14ac:dyDescent="0.15">
      <c r="A64" s="30" t="s">
        <v>492</v>
      </c>
      <c r="B64" s="21"/>
      <c r="C64" s="19"/>
      <c r="D64" s="40" t="str">
        <f t="shared" si="20"/>
        <v/>
      </c>
      <c r="E64" s="20"/>
      <c r="F64" s="32"/>
      <c r="G64" s="21"/>
      <c r="H64" s="22"/>
      <c r="I64" s="22"/>
      <c r="J64" s="22"/>
      <c r="K64" s="23"/>
      <c r="L64" s="23"/>
      <c r="M64" s="23"/>
      <c r="N64" s="146"/>
      <c r="O64" s="40">
        <f t="shared" si="21"/>
        <v>0</v>
      </c>
      <c r="P64" s="183" t="str">
        <f t="shared" si="22"/>
        <v/>
      </c>
      <c r="Q64" s="18">
        <f t="shared" si="1"/>
        <v>1</v>
      </c>
      <c r="R64" s="18">
        <f t="shared" si="2"/>
        <v>1</v>
      </c>
      <c r="S64" s="18">
        <f t="shared" si="16"/>
        <v>0</v>
      </c>
      <c r="T64" s="18">
        <f t="shared" si="17"/>
        <v>0</v>
      </c>
      <c r="U64" s="18">
        <f>IF($C64="人工面",0,IF($G64="",70,IF($D64="湿性環境",VLOOKUP($G64,環境タイプⅡによる点数DB!$A:$B,2,FALSE),IF($D64="樹林",VLOOKUP($G64,環境タイプⅡによる点数DB!$A:$C,3,FALSE),IF($D64="低木・草地",VLOOKUP($G64,環境タイプⅡによる点数DB!$A:$D,4,FALSE),0)))))</f>
        <v>70</v>
      </c>
      <c r="V64" s="24" t="str">
        <f>$H64&amp;"in"&amp;基本情報!$C$13</f>
        <v>in</v>
      </c>
      <c r="W64" s="24">
        <f t="shared" si="3"/>
        <v>0</v>
      </c>
      <c r="X64" s="24">
        <f>IF($H64="",0,IF($D64="樹林",IF(ISERROR(VLOOKUP($V64,市町村・植物種ごとの樹林点数DB!$A:$F,6,FALSE))=TRUE,20,VLOOKUP($V64,市町村・植物種ごとの樹林点数DB!$A:$F,6,FALSE)),IF($D64="低木・草地",IF(OR($H64="【ススキ】・【ネザサ】・【チガヤ】",$H64="不明"),45,10),0)))</f>
        <v>0</v>
      </c>
      <c r="Y64" s="24">
        <f t="shared" si="4"/>
        <v>0</v>
      </c>
      <c r="Z64" s="24">
        <f t="shared" si="5"/>
        <v>1</v>
      </c>
      <c r="AA64" s="24">
        <f t="shared" si="6"/>
        <v>0</v>
      </c>
      <c r="AB64" s="24">
        <f t="shared" si="7"/>
        <v>1</v>
      </c>
      <c r="AC64" s="25">
        <f t="shared" si="23"/>
        <v>0</v>
      </c>
      <c r="AD64" s="25">
        <f t="shared" si="24"/>
        <v>0</v>
      </c>
      <c r="AE64" s="25">
        <f t="shared" si="25"/>
        <v>0</v>
      </c>
      <c r="AF64" s="25" t="str">
        <f t="shared" si="26"/>
        <v/>
      </c>
      <c r="AG64" s="25" t="str">
        <f t="shared" si="27"/>
        <v/>
      </c>
      <c r="AH64" s="25" t="str">
        <f t="shared" si="28"/>
        <v/>
      </c>
      <c r="AI64" s="25">
        <f>IF(ISERROR(VLOOKUP($K64,割合DB!$A:$B,2,FALSE))=TRUE,0,VLOOKUP($K64,割合DB!$A:$B,2,FALSE))</f>
        <v>0</v>
      </c>
      <c r="AJ64" s="25">
        <f>IF(ISERROR(VLOOKUP($L64,割合DB!$A:$B,2,FALSE))=TRUE,0,VLOOKUP($L64,割合DB!$A:$B,2,FALSE))</f>
        <v>0</v>
      </c>
      <c r="AK64" s="25">
        <f>IF(ISERROR(VLOOKUP($M64,割合DB!$A:$B,2,FALSE))=TRUE,0,VLOOKUP($M64,割合DB!$A:$B,2,FALSE))</f>
        <v>0</v>
      </c>
      <c r="AL64" s="25">
        <f t="shared" si="29"/>
        <v>100</v>
      </c>
      <c r="AM64" s="18">
        <f t="shared" si="30"/>
        <v>100</v>
      </c>
      <c r="AN64" s="18">
        <f t="shared" si="19"/>
        <v>1</v>
      </c>
      <c r="AR64" s="24"/>
      <c r="AS64" s="24"/>
      <c r="AT64" s="24"/>
      <c r="AU64" s="24"/>
      <c r="AV64" s="24"/>
      <c r="AW64" s="24"/>
      <c r="AX64" s="24"/>
      <c r="AY64" s="24"/>
      <c r="AZ64" s="25"/>
      <c r="BA64" s="25"/>
      <c r="BB64" s="25"/>
      <c r="BC64" s="25"/>
      <c r="BD64" s="25"/>
      <c r="BE64" s="25"/>
      <c r="BF64" s="25"/>
      <c r="BG64" s="25"/>
      <c r="BH64" s="25"/>
      <c r="BI64" s="25"/>
    </row>
    <row r="65" spans="1:61" ht="27" customHeight="1" x14ac:dyDescent="0.15">
      <c r="A65" s="30" t="s">
        <v>493</v>
      </c>
      <c r="B65" s="21"/>
      <c r="C65" s="19"/>
      <c r="D65" s="40" t="str">
        <f t="shared" si="20"/>
        <v/>
      </c>
      <c r="E65" s="20"/>
      <c r="F65" s="32"/>
      <c r="G65" s="21"/>
      <c r="H65" s="22"/>
      <c r="I65" s="22"/>
      <c r="J65" s="22"/>
      <c r="K65" s="23"/>
      <c r="L65" s="23"/>
      <c r="M65" s="23"/>
      <c r="N65" s="146"/>
      <c r="O65" s="40">
        <f t="shared" si="21"/>
        <v>0</v>
      </c>
      <c r="P65" s="183" t="str">
        <f t="shared" si="22"/>
        <v/>
      </c>
      <c r="Q65" s="18">
        <f t="shared" si="1"/>
        <v>1</v>
      </c>
      <c r="R65" s="18">
        <f t="shared" si="2"/>
        <v>1</v>
      </c>
      <c r="S65" s="18">
        <f t="shared" si="16"/>
        <v>0</v>
      </c>
      <c r="T65" s="18">
        <f t="shared" si="17"/>
        <v>0</v>
      </c>
      <c r="U65" s="18">
        <f>IF($C65="人工面",0,IF($G65="",70,IF($D65="湿性環境",VLOOKUP($G65,環境タイプⅡによる点数DB!$A:$B,2,FALSE),IF($D65="樹林",VLOOKUP($G65,環境タイプⅡによる点数DB!$A:$C,3,FALSE),IF($D65="低木・草地",VLOOKUP($G65,環境タイプⅡによる点数DB!$A:$D,4,FALSE),0)))))</f>
        <v>70</v>
      </c>
      <c r="V65" s="24" t="str">
        <f>$H65&amp;"in"&amp;基本情報!$C$13</f>
        <v>in</v>
      </c>
      <c r="W65" s="24">
        <f t="shared" si="3"/>
        <v>0</v>
      </c>
      <c r="X65" s="24">
        <f>IF($H65="",0,IF($D65="樹林",IF(ISERROR(VLOOKUP($V65,市町村・植物種ごとの樹林点数DB!$A:$F,6,FALSE))=TRUE,20,VLOOKUP($V65,市町村・植物種ごとの樹林点数DB!$A:$F,6,FALSE)),IF($D65="低木・草地",IF(OR($H65="【ススキ】・【ネザサ】・【チガヤ】",$H65="不明"),45,10),0)))</f>
        <v>0</v>
      </c>
      <c r="Y65" s="24">
        <f t="shared" si="4"/>
        <v>0</v>
      </c>
      <c r="Z65" s="24">
        <f t="shared" si="5"/>
        <v>1</v>
      </c>
      <c r="AA65" s="24">
        <f t="shared" si="6"/>
        <v>0</v>
      </c>
      <c r="AB65" s="24">
        <f t="shared" si="7"/>
        <v>1</v>
      </c>
      <c r="AC65" s="25">
        <f t="shared" si="23"/>
        <v>0</v>
      </c>
      <c r="AD65" s="25">
        <f t="shared" si="24"/>
        <v>0</v>
      </c>
      <c r="AE65" s="25">
        <f t="shared" si="25"/>
        <v>0</v>
      </c>
      <c r="AF65" s="25" t="str">
        <f t="shared" si="26"/>
        <v/>
      </c>
      <c r="AG65" s="25" t="str">
        <f t="shared" si="27"/>
        <v/>
      </c>
      <c r="AH65" s="25" t="str">
        <f t="shared" si="28"/>
        <v/>
      </c>
      <c r="AI65" s="25">
        <f>IF(ISERROR(VLOOKUP($K65,割合DB!$A:$B,2,FALSE))=TRUE,0,VLOOKUP($K65,割合DB!$A:$B,2,FALSE))</f>
        <v>0</v>
      </c>
      <c r="AJ65" s="25">
        <f>IF(ISERROR(VLOOKUP($L65,割合DB!$A:$B,2,FALSE))=TRUE,0,VLOOKUP($L65,割合DB!$A:$B,2,FALSE))</f>
        <v>0</v>
      </c>
      <c r="AK65" s="25">
        <f>IF(ISERROR(VLOOKUP($M65,割合DB!$A:$B,2,FALSE))=TRUE,0,VLOOKUP($M65,割合DB!$A:$B,2,FALSE))</f>
        <v>0</v>
      </c>
      <c r="AL65" s="25">
        <f t="shared" si="29"/>
        <v>100</v>
      </c>
      <c r="AM65" s="18">
        <f t="shared" si="30"/>
        <v>100</v>
      </c>
      <c r="AN65" s="18">
        <f t="shared" si="19"/>
        <v>1</v>
      </c>
      <c r="AR65" s="24"/>
      <c r="AS65" s="24"/>
      <c r="AT65" s="24"/>
      <c r="AU65" s="24"/>
      <c r="AV65" s="24"/>
      <c r="AW65" s="24"/>
      <c r="AX65" s="24"/>
      <c r="AY65" s="24"/>
      <c r="AZ65" s="25"/>
      <c r="BA65" s="25"/>
      <c r="BB65" s="25"/>
      <c r="BC65" s="25"/>
      <c r="BD65" s="25"/>
      <c r="BE65" s="25"/>
      <c r="BF65" s="25"/>
      <c r="BG65" s="25"/>
      <c r="BH65" s="25"/>
      <c r="BI65" s="25"/>
    </row>
    <row r="66" spans="1:61" ht="27" customHeight="1" x14ac:dyDescent="0.15">
      <c r="A66" s="30" t="s">
        <v>494</v>
      </c>
      <c r="B66" s="21"/>
      <c r="C66" s="19"/>
      <c r="D66" s="40" t="str">
        <f t="shared" si="20"/>
        <v/>
      </c>
      <c r="E66" s="20"/>
      <c r="F66" s="32"/>
      <c r="G66" s="21"/>
      <c r="H66" s="22"/>
      <c r="I66" s="22"/>
      <c r="J66" s="22"/>
      <c r="K66" s="23"/>
      <c r="L66" s="23"/>
      <c r="M66" s="23"/>
      <c r="N66" s="146"/>
      <c r="O66" s="40">
        <f t="shared" si="21"/>
        <v>0</v>
      </c>
      <c r="P66" s="183" t="str">
        <f t="shared" si="22"/>
        <v/>
      </c>
      <c r="Q66" s="18">
        <f t="shared" si="1"/>
        <v>1</v>
      </c>
      <c r="R66" s="18">
        <f t="shared" si="2"/>
        <v>1</v>
      </c>
      <c r="S66" s="18">
        <f t="shared" si="16"/>
        <v>0</v>
      </c>
      <c r="T66" s="18">
        <f t="shared" si="17"/>
        <v>0</v>
      </c>
      <c r="U66" s="18">
        <f>IF($C66="人工面",0,IF($G66="",70,IF($D66="湿性環境",VLOOKUP($G66,環境タイプⅡによる点数DB!$A:$B,2,FALSE),IF($D66="樹林",VLOOKUP($G66,環境タイプⅡによる点数DB!$A:$C,3,FALSE),IF($D66="低木・草地",VLOOKUP($G66,環境タイプⅡによる点数DB!$A:$D,4,FALSE),0)))))</f>
        <v>70</v>
      </c>
      <c r="V66" s="24" t="str">
        <f>$H66&amp;"in"&amp;基本情報!$C$13</f>
        <v>in</v>
      </c>
      <c r="W66" s="24">
        <f t="shared" si="3"/>
        <v>0</v>
      </c>
      <c r="X66" s="24">
        <f>IF($H66="",0,IF($D66="樹林",IF(ISERROR(VLOOKUP($V66,市町村・植物種ごとの樹林点数DB!$A:$F,6,FALSE))=TRUE,20,VLOOKUP($V66,市町村・植物種ごとの樹林点数DB!$A:$F,6,FALSE)),IF($D66="低木・草地",IF(OR($H66="【ススキ】・【ネザサ】・【チガヤ】",$H66="不明"),45,10),0)))</f>
        <v>0</v>
      </c>
      <c r="Y66" s="24">
        <f t="shared" si="4"/>
        <v>0</v>
      </c>
      <c r="Z66" s="24">
        <f t="shared" si="5"/>
        <v>1</v>
      </c>
      <c r="AA66" s="24">
        <f t="shared" si="6"/>
        <v>0</v>
      </c>
      <c r="AB66" s="24">
        <f t="shared" si="7"/>
        <v>1</v>
      </c>
      <c r="AC66" s="25">
        <f t="shared" si="23"/>
        <v>0</v>
      </c>
      <c r="AD66" s="25">
        <f t="shared" si="24"/>
        <v>0</v>
      </c>
      <c r="AE66" s="25">
        <f t="shared" si="25"/>
        <v>0</v>
      </c>
      <c r="AF66" s="25" t="str">
        <f t="shared" si="26"/>
        <v/>
      </c>
      <c r="AG66" s="25" t="str">
        <f t="shared" si="27"/>
        <v/>
      </c>
      <c r="AH66" s="25" t="str">
        <f t="shared" si="28"/>
        <v/>
      </c>
      <c r="AI66" s="25">
        <f>IF(ISERROR(VLOOKUP($K66,割合DB!$A:$B,2,FALSE))=TRUE,0,VLOOKUP($K66,割合DB!$A:$B,2,FALSE))</f>
        <v>0</v>
      </c>
      <c r="AJ66" s="25">
        <f>IF(ISERROR(VLOOKUP($L66,割合DB!$A:$B,2,FALSE))=TRUE,0,VLOOKUP($L66,割合DB!$A:$B,2,FALSE))</f>
        <v>0</v>
      </c>
      <c r="AK66" s="25">
        <f>IF(ISERROR(VLOOKUP($M66,割合DB!$A:$B,2,FALSE))=TRUE,0,VLOOKUP($M66,割合DB!$A:$B,2,FALSE))</f>
        <v>0</v>
      </c>
      <c r="AL66" s="25">
        <f t="shared" si="29"/>
        <v>100</v>
      </c>
      <c r="AM66" s="18">
        <f t="shared" si="30"/>
        <v>100</v>
      </c>
      <c r="AN66" s="18">
        <f t="shared" si="19"/>
        <v>1</v>
      </c>
      <c r="AR66" s="24"/>
      <c r="AS66" s="24"/>
      <c r="AT66" s="24"/>
      <c r="AU66" s="24"/>
      <c r="AV66" s="24"/>
      <c r="AW66" s="24"/>
      <c r="AX66" s="24"/>
      <c r="AY66" s="24"/>
      <c r="AZ66" s="25"/>
      <c r="BA66" s="25"/>
      <c r="BB66" s="25"/>
      <c r="BC66" s="25"/>
      <c r="BD66" s="25"/>
      <c r="BE66" s="25"/>
      <c r="BF66" s="25"/>
      <c r="BG66" s="25"/>
      <c r="BH66" s="25"/>
      <c r="BI66" s="25"/>
    </row>
    <row r="67" spans="1:61" ht="27" customHeight="1" x14ac:dyDescent="0.15">
      <c r="A67" s="30" t="s">
        <v>495</v>
      </c>
      <c r="B67" s="21"/>
      <c r="C67" s="19"/>
      <c r="D67" s="40" t="str">
        <f t="shared" si="20"/>
        <v/>
      </c>
      <c r="E67" s="20"/>
      <c r="F67" s="32"/>
      <c r="G67" s="21"/>
      <c r="H67" s="22"/>
      <c r="I67" s="22"/>
      <c r="J67" s="22"/>
      <c r="K67" s="23"/>
      <c r="L67" s="23"/>
      <c r="M67" s="23"/>
      <c r="N67" s="146"/>
      <c r="O67" s="40">
        <f t="shared" si="21"/>
        <v>0</v>
      </c>
      <c r="P67" s="183" t="str">
        <f t="shared" si="22"/>
        <v/>
      </c>
      <c r="Q67" s="18">
        <f t="shared" si="1"/>
        <v>1</v>
      </c>
      <c r="R67" s="18">
        <f t="shared" si="2"/>
        <v>1</v>
      </c>
      <c r="S67" s="18">
        <f t="shared" si="16"/>
        <v>0</v>
      </c>
      <c r="T67" s="18">
        <f t="shared" si="17"/>
        <v>0</v>
      </c>
      <c r="U67" s="18">
        <f>IF($C67="人工面",0,IF($G67="",70,IF($D67="湿性環境",VLOOKUP($G67,環境タイプⅡによる点数DB!$A:$B,2,FALSE),IF($D67="樹林",VLOOKUP($G67,環境タイプⅡによる点数DB!$A:$C,3,FALSE),IF($D67="低木・草地",VLOOKUP($G67,環境タイプⅡによる点数DB!$A:$D,4,FALSE),0)))))</f>
        <v>70</v>
      </c>
      <c r="V67" s="24" t="str">
        <f>$H67&amp;"in"&amp;基本情報!$C$13</f>
        <v>in</v>
      </c>
      <c r="W67" s="24">
        <f t="shared" si="3"/>
        <v>0</v>
      </c>
      <c r="X67" s="24">
        <f>IF($H67="",0,IF($D67="樹林",IF(ISERROR(VLOOKUP($V67,市町村・植物種ごとの樹林点数DB!$A:$F,6,FALSE))=TRUE,20,VLOOKUP($V67,市町村・植物種ごとの樹林点数DB!$A:$F,6,FALSE)),IF($D67="低木・草地",IF(OR($H67="【ススキ】・【ネザサ】・【チガヤ】",$H67="不明"),45,10),0)))</f>
        <v>0</v>
      </c>
      <c r="Y67" s="24">
        <f t="shared" si="4"/>
        <v>0</v>
      </c>
      <c r="Z67" s="24">
        <f t="shared" si="5"/>
        <v>1</v>
      </c>
      <c r="AA67" s="24">
        <f t="shared" si="6"/>
        <v>0</v>
      </c>
      <c r="AB67" s="24">
        <f t="shared" si="7"/>
        <v>1</v>
      </c>
      <c r="AC67" s="25">
        <f t="shared" si="23"/>
        <v>0</v>
      </c>
      <c r="AD67" s="25">
        <f t="shared" si="24"/>
        <v>0</v>
      </c>
      <c r="AE67" s="25">
        <f t="shared" si="25"/>
        <v>0</v>
      </c>
      <c r="AF67" s="25" t="str">
        <f t="shared" si="26"/>
        <v/>
      </c>
      <c r="AG67" s="25" t="str">
        <f t="shared" si="27"/>
        <v/>
      </c>
      <c r="AH67" s="25" t="str">
        <f t="shared" si="28"/>
        <v/>
      </c>
      <c r="AI67" s="25">
        <f>IF(ISERROR(VLOOKUP($K67,割合DB!$A:$B,2,FALSE))=TRUE,0,VLOOKUP($K67,割合DB!$A:$B,2,FALSE))</f>
        <v>0</v>
      </c>
      <c r="AJ67" s="25">
        <f>IF(ISERROR(VLOOKUP($L67,割合DB!$A:$B,2,FALSE))=TRUE,0,VLOOKUP($L67,割合DB!$A:$B,2,FALSE))</f>
        <v>0</v>
      </c>
      <c r="AK67" s="25">
        <f>IF(ISERROR(VLOOKUP($M67,割合DB!$A:$B,2,FALSE))=TRUE,0,VLOOKUP($M67,割合DB!$A:$B,2,FALSE))</f>
        <v>0</v>
      </c>
      <c r="AL67" s="25">
        <f t="shared" si="29"/>
        <v>100</v>
      </c>
      <c r="AM67" s="18">
        <f t="shared" si="30"/>
        <v>100</v>
      </c>
      <c r="AN67" s="18">
        <f t="shared" si="19"/>
        <v>1</v>
      </c>
      <c r="AR67" s="24"/>
      <c r="AS67" s="24"/>
      <c r="AT67" s="24"/>
      <c r="AU67" s="24"/>
      <c r="AV67" s="24"/>
      <c r="AW67" s="24"/>
      <c r="AX67" s="24"/>
      <c r="AY67" s="24"/>
      <c r="AZ67" s="25"/>
      <c r="BA67" s="25"/>
      <c r="BB67" s="25"/>
      <c r="BC67" s="25"/>
      <c r="BD67" s="25"/>
      <c r="BE67" s="25"/>
      <c r="BF67" s="25"/>
      <c r="BG67" s="25"/>
      <c r="BH67" s="25"/>
      <c r="BI67" s="25"/>
    </row>
    <row r="68" spans="1:61" ht="27" customHeight="1" x14ac:dyDescent="0.15">
      <c r="A68" s="30" t="s">
        <v>496</v>
      </c>
      <c r="B68" s="21"/>
      <c r="C68" s="19"/>
      <c r="D68" s="40" t="str">
        <f t="shared" si="20"/>
        <v/>
      </c>
      <c r="E68" s="20"/>
      <c r="F68" s="32"/>
      <c r="G68" s="21"/>
      <c r="H68" s="22"/>
      <c r="I68" s="22"/>
      <c r="J68" s="22"/>
      <c r="K68" s="23"/>
      <c r="L68" s="23"/>
      <c r="M68" s="23"/>
      <c r="N68" s="146"/>
      <c r="O68" s="40">
        <f t="shared" si="21"/>
        <v>0</v>
      </c>
      <c r="P68" s="183" t="str">
        <f t="shared" si="22"/>
        <v/>
      </c>
      <c r="Q68" s="18">
        <f t="shared" ref="Q68:Q73" si="31">IF($C68="湿性環境",IF($D68="湿性環境",1,IF(AND($D68="低木・草地",$G68="整備水田"),1,0)),1)</f>
        <v>1</v>
      </c>
      <c r="R68" s="18">
        <f t="shared" ref="R68:R73" si="32">IF($C68="樹林",IF($D68="樹林",1,0),1)</f>
        <v>1</v>
      </c>
      <c r="S68" s="18">
        <f t="shared" si="16"/>
        <v>0</v>
      </c>
      <c r="T68" s="18">
        <f t="shared" ref="T68:T73" si="33">IF(OR($C68="人工面",$C68=""),0,IF($C68=$D68,70,IF(AND($C68="低木・竹・草地",$D68="低木・草地"),70,IF(AND($C68="湿性環境",$D68="低木・草地",$G68="整備水田"),10,0))))</f>
        <v>0</v>
      </c>
      <c r="U68" s="18">
        <f>IF($C68="人工面",0,IF($G68="",70,IF($D68="湿性環境",VLOOKUP($G68,環境タイプⅡによる点数DB!$A:$B,2,FALSE),IF($D68="樹林",VLOOKUP($G68,環境タイプⅡによる点数DB!$A:$C,3,FALSE),IF($D68="低木・草地",VLOOKUP($G68,環境タイプⅡによる点数DB!$A:$D,4,FALSE),0)))))</f>
        <v>70</v>
      </c>
      <c r="V68" s="24" t="str">
        <f>$H68&amp;"in"&amp;基本情報!$C$13</f>
        <v>in</v>
      </c>
      <c r="W68" s="24">
        <f t="shared" ref="W68:W73" si="34">IF($G68="乾性草地",1,IF($G68="高さ8m以上の木",1,IF($G68="高さ3.5m以上8m未満の木",0.375,0)))</f>
        <v>0</v>
      </c>
      <c r="X68" s="24">
        <f>IF($H68="",0,IF($D68="樹林",IF(ISERROR(VLOOKUP($V68,市町村・植物種ごとの樹林点数DB!$A:$F,6,FALSE))=TRUE,20,VLOOKUP($V68,市町村・植物種ごとの樹林点数DB!$A:$F,6,FALSE)),IF($D68="低木・草地",IF(OR($H68="【ススキ】・【ネザサ】・【チガヤ】",$H68="不明"),45,10),0)))</f>
        <v>0</v>
      </c>
      <c r="Y68" s="24">
        <f t="shared" ref="Y68:Y73" si="35">IF($D68="樹林",IF($H68="",40,0),IF($D68="低木・草地",IF($H68="",45,0),0))</f>
        <v>0</v>
      </c>
      <c r="Z68" s="24">
        <f t="shared" ref="Z68:Z73" si="36">IF(OR($H68="その他の低木・草",$H68="【ススキ】・【ネザサ】・【チガヤ】"),0,1)</f>
        <v>1</v>
      </c>
      <c r="AA68" s="24">
        <f t="shared" ref="AA68:AA73" si="37">IF($I68="ほぼ無し",0,IF($I68="1/4程度",0.25,IF($I68="1/2程度",0.5,IF($I68="3/4程度",0.75,IF($I68="ほぼ全て",1,0)))))</f>
        <v>0</v>
      </c>
      <c r="AB68" s="24">
        <f t="shared" ref="AB68:AB73" si="38">IF($J68="無し",0,IF($J68="有り",1,IF($J68="不明",1,1)))</f>
        <v>1</v>
      </c>
      <c r="AC68" s="25">
        <f t="shared" si="23"/>
        <v>0</v>
      </c>
      <c r="AD68" s="25">
        <f t="shared" si="24"/>
        <v>0</v>
      </c>
      <c r="AE68" s="25">
        <f t="shared" si="25"/>
        <v>0</v>
      </c>
      <c r="AF68" s="25" t="str">
        <f t="shared" si="26"/>
        <v/>
      </c>
      <c r="AG68" s="25" t="str">
        <f t="shared" si="27"/>
        <v/>
      </c>
      <c r="AH68" s="25" t="str">
        <f t="shared" si="28"/>
        <v/>
      </c>
      <c r="AI68" s="25">
        <f>IF(ISERROR(VLOOKUP($K68,割合DB!$A:$B,2,FALSE))=TRUE,0,VLOOKUP($K68,割合DB!$A:$B,2,FALSE))</f>
        <v>0</v>
      </c>
      <c r="AJ68" s="25">
        <f>IF(ISERROR(VLOOKUP($L68,割合DB!$A:$B,2,FALSE))=TRUE,0,VLOOKUP($L68,割合DB!$A:$B,2,FALSE))</f>
        <v>0</v>
      </c>
      <c r="AK68" s="25">
        <f>IF(ISERROR(VLOOKUP($M68,割合DB!$A:$B,2,FALSE))=TRUE,0,VLOOKUP($M68,割合DB!$A:$B,2,FALSE))</f>
        <v>0</v>
      </c>
      <c r="AL68" s="25">
        <f t="shared" si="29"/>
        <v>100</v>
      </c>
      <c r="AM68" s="18">
        <f t="shared" si="30"/>
        <v>100</v>
      </c>
      <c r="AN68" s="18">
        <f t="shared" si="19"/>
        <v>1</v>
      </c>
      <c r="AR68" s="24"/>
      <c r="AS68" s="24"/>
      <c r="AT68" s="24"/>
      <c r="AU68" s="24"/>
      <c r="AV68" s="24"/>
      <c r="AW68" s="24"/>
      <c r="AX68" s="24"/>
      <c r="AY68" s="24"/>
      <c r="AZ68" s="25"/>
      <c r="BA68" s="25"/>
      <c r="BB68" s="25"/>
      <c r="BC68" s="25"/>
      <c r="BD68" s="25"/>
      <c r="BE68" s="25"/>
      <c r="BF68" s="25"/>
      <c r="BG68" s="25"/>
      <c r="BH68" s="25"/>
      <c r="BI68" s="25"/>
    </row>
    <row r="69" spans="1:61" ht="27" customHeight="1" x14ac:dyDescent="0.15">
      <c r="A69" s="30" t="s">
        <v>497</v>
      </c>
      <c r="B69" s="21"/>
      <c r="C69" s="19"/>
      <c r="D69" s="40" t="str">
        <f t="shared" si="20"/>
        <v/>
      </c>
      <c r="E69" s="20"/>
      <c r="F69" s="32"/>
      <c r="G69" s="21"/>
      <c r="H69" s="22"/>
      <c r="I69" s="22"/>
      <c r="J69" s="22"/>
      <c r="K69" s="23"/>
      <c r="L69" s="23"/>
      <c r="M69" s="23"/>
      <c r="N69" s="146"/>
      <c r="O69" s="40">
        <f t="shared" si="21"/>
        <v>0</v>
      </c>
      <c r="P69" s="183" t="str">
        <f t="shared" si="22"/>
        <v/>
      </c>
      <c r="Q69" s="18">
        <f t="shared" si="31"/>
        <v>1</v>
      </c>
      <c r="R69" s="18">
        <f t="shared" si="32"/>
        <v>1</v>
      </c>
      <c r="S69" s="18">
        <f t="shared" ref="S69:S73" si="39">IF(T69=0,0,IF(U69="点数特定できず",SUM(AF69:AH69),U69))*AN69</f>
        <v>0</v>
      </c>
      <c r="T69" s="18">
        <f t="shared" si="33"/>
        <v>0</v>
      </c>
      <c r="U69" s="18">
        <f>IF($C69="人工面",0,IF($G69="",70,IF($D69="湿性環境",VLOOKUP($G69,環境タイプⅡによる点数DB!$A:$B,2,FALSE),IF($D69="樹林",VLOOKUP($G69,環境タイプⅡによる点数DB!$A:$C,3,FALSE),IF($D69="低木・草地",VLOOKUP($G69,環境タイプⅡによる点数DB!$A:$D,4,FALSE),0)))))</f>
        <v>70</v>
      </c>
      <c r="V69" s="24" t="str">
        <f>$H69&amp;"in"&amp;基本情報!$C$13</f>
        <v>in</v>
      </c>
      <c r="W69" s="24">
        <f t="shared" si="34"/>
        <v>0</v>
      </c>
      <c r="X69" s="24">
        <f>IF($H69="",0,IF($D69="樹林",IF(ISERROR(VLOOKUP($V69,市町村・植物種ごとの樹林点数DB!$A:$F,6,FALSE))=TRUE,20,VLOOKUP($V69,市町村・植物種ごとの樹林点数DB!$A:$F,6,FALSE)),IF($D69="低木・草地",IF(OR($H69="【ススキ】・【ネザサ】・【チガヤ】",$H69="不明"),45,10),0)))</f>
        <v>0</v>
      </c>
      <c r="Y69" s="24">
        <f t="shared" si="35"/>
        <v>0</v>
      </c>
      <c r="Z69" s="24">
        <f t="shared" si="36"/>
        <v>1</v>
      </c>
      <c r="AA69" s="24">
        <f t="shared" si="37"/>
        <v>0</v>
      </c>
      <c r="AB69" s="24">
        <f t="shared" si="38"/>
        <v>1</v>
      </c>
      <c r="AC69" s="25">
        <f t="shared" si="23"/>
        <v>0</v>
      </c>
      <c r="AD69" s="25">
        <f t="shared" si="24"/>
        <v>0</v>
      </c>
      <c r="AE69" s="25">
        <f t="shared" si="25"/>
        <v>0</v>
      </c>
      <c r="AF69" s="25" t="str">
        <f t="shared" si="26"/>
        <v/>
      </c>
      <c r="AG69" s="25" t="str">
        <f t="shared" si="27"/>
        <v/>
      </c>
      <c r="AH69" s="25" t="str">
        <f t="shared" si="28"/>
        <v/>
      </c>
      <c r="AI69" s="25">
        <f>IF(ISERROR(VLOOKUP($K69,割合DB!$A:$B,2,FALSE))=TRUE,0,VLOOKUP($K69,割合DB!$A:$B,2,FALSE))</f>
        <v>0</v>
      </c>
      <c r="AJ69" s="25">
        <f>IF(ISERROR(VLOOKUP($L69,割合DB!$A:$B,2,FALSE))=TRUE,0,VLOOKUP($L69,割合DB!$A:$B,2,FALSE))</f>
        <v>0</v>
      </c>
      <c r="AK69" s="25">
        <f>IF(ISERROR(VLOOKUP($M69,割合DB!$A:$B,2,FALSE))=TRUE,0,VLOOKUP($M69,割合DB!$A:$B,2,FALSE))</f>
        <v>0</v>
      </c>
      <c r="AL69" s="25">
        <f t="shared" si="29"/>
        <v>100</v>
      </c>
      <c r="AM69" s="18">
        <f t="shared" si="30"/>
        <v>100</v>
      </c>
      <c r="AN69" s="18">
        <f t="shared" ref="AN69:AN73" si="40">IF(N69="",1,IF(N69="CR",30,IF(N69="EN",20,IF(N69="VU",5,1))))</f>
        <v>1</v>
      </c>
      <c r="AR69" s="24"/>
      <c r="AS69" s="24"/>
      <c r="AT69" s="24"/>
      <c r="AU69" s="24"/>
      <c r="AV69" s="24"/>
      <c r="AW69" s="24"/>
      <c r="AX69" s="24"/>
      <c r="AY69" s="24"/>
      <c r="AZ69" s="25"/>
      <c r="BA69" s="25"/>
      <c r="BB69" s="25"/>
      <c r="BC69" s="25"/>
      <c r="BD69" s="25"/>
      <c r="BE69" s="25"/>
      <c r="BF69" s="25"/>
      <c r="BG69" s="25"/>
      <c r="BH69" s="25"/>
      <c r="BI69" s="25"/>
    </row>
    <row r="70" spans="1:61" ht="27" customHeight="1" x14ac:dyDescent="0.15">
      <c r="A70" s="30" t="s">
        <v>498</v>
      </c>
      <c r="B70" s="21"/>
      <c r="C70" s="19"/>
      <c r="D70" s="40" t="str">
        <f t="shared" si="20"/>
        <v/>
      </c>
      <c r="E70" s="20"/>
      <c r="F70" s="32"/>
      <c r="G70" s="21"/>
      <c r="H70" s="22"/>
      <c r="I70" s="22"/>
      <c r="J70" s="22"/>
      <c r="K70" s="23"/>
      <c r="L70" s="23"/>
      <c r="M70" s="23"/>
      <c r="N70" s="146"/>
      <c r="O70" s="40">
        <f t="shared" si="21"/>
        <v>0</v>
      </c>
      <c r="P70" s="183" t="str">
        <f t="shared" si="22"/>
        <v/>
      </c>
      <c r="Q70" s="18">
        <f t="shared" si="31"/>
        <v>1</v>
      </c>
      <c r="R70" s="18">
        <f t="shared" si="32"/>
        <v>1</v>
      </c>
      <c r="S70" s="18">
        <f t="shared" si="39"/>
        <v>0</v>
      </c>
      <c r="T70" s="18">
        <f t="shared" si="33"/>
        <v>0</v>
      </c>
      <c r="U70" s="18">
        <f>IF($C70="人工面",0,IF($G70="",70,IF($D70="湿性環境",VLOOKUP($G70,環境タイプⅡによる点数DB!$A:$B,2,FALSE),IF($D70="樹林",VLOOKUP($G70,環境タイプⅡによる点数DB!$A:$C,3,FALSE),IF($D70="低木・草地",VLOOKUP($G70,環境タイプⅡによる点数DB!$A:$D,4,FALSE),0)))))</f>
        <v>70</v>
      </c>
      <c r="V70" s="24" t="str">
        <f>$H70&amp;"in"&amp;基本情報!$C$13</f>
        <v>in</v>
      </c>
      <c r="W70" s="24">
        <f t="shared" si="34"/>
        <v>0</v>
      </c>
      <c r="X70" s="24">
        <f>IF($H70="",0,IF($D70="樹林",IF(ISERROR(VLOOKUP($V70,市町村・植物種ごとの樹林点数DB!$A:$F,6,FALSE))=TRUE,20,VLOOKUP($V70,市町村・植物種ごとの樹林点数DB!$A:$F,6,FALSE)),IF($D70="低木・草地",IF(OR($H70="【ススキ】・【ネザサ】・【チガヤ】",$H70="不明"),45,10),0)))</f>
        <v>0</v>
      </c>
      <c r="Y70" s="24">
        <f t="shared" si="35"/>
        <v>0</v>
      </c>
      <c r="Z70" s="24">
        <f t="shared" si="36"/>
        <v>1</v>
      </c>
      <c r="AA70" s="24">
        <f t="shared" si="37"/>
        <v>0</v>
      </c>
      <c r="AB70" s="24">
        <f t="shared" si="38"/>
        <v>1</v>
      </c>
      <c r="AC70" s="25">
        <f t="shared" si="23"/>
        <v>0</v>
      </c>
      <c r="AD70" s="25">
        <f t="shared" si="24"/>
        <v>0</v>
      </c>
      <c r="AE70" s="25">
        <f t="shared" si="25"/>
        <v>0</v>
      </c>
      <c r="AF70" s="25" t="str">
        <f t="shared" si="26"/>
        <v/>
      </c>
      <c r="AG70" s="25" t="str">
        <f t="shared" si="27"/>
        <v/>
      </c>
      <c r="AH70" s="25" t="str">
        <f t="shared" si="28"/>
        <v/>
      </c>
      <c r="AI70" s="25">
        <f>IF(ISERROR(VLOOKUP($K70,割合DB!$A:$B,2,FALSE))=TRUE,0,VLOOKUP($K70,割合DB!$A:$B,2,FALSE))</f>
        <v>0</v>
      </c>
      <c r="AJ70" s="25">
        <f>IF(ISERROR(VLOOKUP($L70,割合DB!$A:$B,2,FALSE))=TRUE,0,VLOOKUP($L70,割合DB!$A:$B,2,FALSE))</f>
        <v>0</v>
      </c>
      <c r="AK70" s="25">
        <f>IF(ISERROR(VLOOKUP($M70,割合DB!$A:$B,2,FALSE))=TRUE,0,VLOOKUP($M70,割合DB!$A:$B,2,FALSE))</f>
        <v>0</v>
      </c>
      <c r="AL70" s="25">
        <f t="shared" si="29"/>
        <v>100</v>
      </c>
      <c r="AM70" s="18">
        <f t="shared" si="30"/>
        <v>100</v>
      </c>
      <c r="AN70" s="18">
        <f t="shared" si="40"/>
        <v>1</v>
      </c>
      <c r="AR70" s="24"/>
      <c r="AS70" s="24"/>
      <c r="AT70" s="24"/>
      <c r="AU70" s="24"/>
      <c r="AV70" s="24"/>
      <c r="AW70" s="24"/>
      <c r="AX70" s="24"/>
      <c r="AY70" s="24"/>
      <c r="AZ70" s="25"/>
      <c r="BA70" s="25"/>
      <c r="BB70" s="25"/>
      <c r="BC70" s="25"/>
      <c r="BD70" s="25"/>
      <c r="BE70" s="25"/>
      <c r="BF70" s="25"/>
      <c r="BG70" s="25"/>
      <c r="BH70" s="25"/>
      <c r="BI70" s="25"/>
    </row>
    <row r="71" spans="1:61" ht="27" customHeight="1" x14ac:dyDescent="0.15">
      <c r="A71" s="30" t="s">
        <v>499</v>
      </c>
      <c r="B71" s="21"/>
      <c r="C71" s="19"/>
      <c r="D71" s="40" t="str">
        <f t="shared" si="20"/>
        <v/>
      </c>
      <c r="E71" s="20"/>
      <c r="F71" s="32"/>
      <c r="G71" s="21"/>
      <c r="H71" s="22"/>
      <c r="I71" s="22"/>
      <c r="J71" s="22"/>
      <c r="K71" s="23"/>
      <c r="L71" s="23"/>
      <c r="M71" s="23"/>
      <c r="N71" s="146"/>
      <c r="O71" s="40">
        <f t="shared" si="21"/>
        <v>0</v>
      </c>
      <c r="P71" s="183" t="str">
        <f t="shared" si="22"/>
        <v/>
      </c>
      <c r="Q71" s="18">
        <f t="shared" si="31"/>
        <v>1</v>
      </c>
      <c r="R71" s="18">
        <f t="shared" si="32"/>
        <v>1</v>
      </c>
      <c r="S71" s="18">
        <f t="shared" si="39"/>
        <v>0</v>
      </c>
      <c r="T71" s="18">
        <f t="shared" si="33"/>
        <v>0</v>
      </c>
      <c r="U71" s="18">
        <f>IF($C71="人工面",0,IF($G71="",70,IF($D71="湿性環境",VLOOKUP($G71,環境タイプⅡによる点数DB!$A:$B,2,FALSE),IF($D71="樹林",VLOOKUP($G71,環境タイプⅡによる点数DB!$A:$C,3,FALSE),IF($D71="低木・草地",VLOOKUP($G71,環境タイプⅡによる点数DB!$A:$D,4,FALSE),0)))))</f>
        <v>70</v>
      </c>
      <c r="V71" s="24" t="str">
        <f>$H71&amp;"in"&amp;基本情報!$C$13</f>
        <v>in</v>
      </c>
      <c r="W71" s="24">
        <f t="shared" si="34"/>
        <v>0</v>
      </c>
      <c r="X71" s="24">
        <f>IF($H71="",0,IF($D71="樹林",IF(ISERROR(VLOOKUP($V71,市町村・植物種ごとの樹林点数DB!$A:$F,6,FALSE))=TRUE,20,VLOOKUP($V71,市町村・植物種ごとの樹林点数DB!$A:$F,6,FALSE)),IF($D71="低木・草地",IF(OR($H71="【ススキ】・【ネザサ】・【チガヤ】",$H71="不明"),45,10),0)))</f>
        <v>0</v>
      </c>
      <c r="Y71" s="24">
        <f t="shared" si="35"/>
        <v>0</v>
      </c>
      <c r="Z71" s="24">
        <f t="shared" si="36"/>
        <v>1</v>
      </c>
      <c r="AA71" s="24">
        <f t="shared" si="37"/>
        <v>0</v>
      </c>
      <c r="AB71" s="24">
        <f t="shared" si="38"/>
        <v>1</v>
      </c>
      <c r="AC71" s="25">
        <f t="shared" si="23"/>
        <v>0</v>
      </c>
      <c r="AD71" s="25">
        <f t="shared" si="24"/>
        <v>0</v>
      </c>
      <c r="AE71" s="25">
        <f t="shared" si="25"/>
        <v>0</v>
      </c>
      <c r="AF71" s="25" t="str">
        <f t="shared" si="26"/>
        <v/>
      </c>
      <c r="AG71" s="25" t="str">
        <f t="shared" si="27"/>
        <v/>
      </c>
      <c r="AH71" s="25" t="str">
        <f t="shared" si="28"/>
        <v/>
      </c>
      <c r="AI71" s="25">
        <f>IF(ISERROR(VLOOKUP($K71,割合DB!$A:$B,2,FALSE))=TRUE,0,VLOOKUP($K71,割合DB!$A:$B,2,FALSE))</f>
        <v>0</v>
      </c>
      <c r="AJ71" s="25">
        <f>IF(ISERROR(VLOOKUP($L71,割合DB!$A:$B,2,FALSE))=TRUE,0,VLOOKUP($L71,割合DB!$A:$B,2,FALSE))</f>
        <v>0</v>
      </c>
      <c r="AK71" s="25">
        <f>IF(ISERROR(VLOOKUP($M71,割合DB!$A:$B,2,FALSE))=TRUE,0,VLOOKUP($M71,割合DB!$A:$B,2,FALSE))</f>
        <v>0</v>
      </c>
      <c r="AL71" s="25">
        <f t="shared" si="29"/>
        <v>100</v>
      </c>
      <c r="AM71" s="18">
        <f t="shared" si="30"/>
        <v>100</v>
      </c>
      <c r="AN71" s="18">
        <f t="shared" si="40"/>
        <v>1</v>
      </c>
      <c r="AR71" s="24"/>
      <c r="AS71" s="24"/>
      <c r="AT71" s="24"/>
      <c r="AU71" s="24"/>
      <c r="AV71" s="24"/>
      <c r="AW71" s="24"/>
      <c r="AX71" s="24"/>
      <c r="AY71" s="24"/>
      <c r="AZ71" s="25"/>
      <c r="BA71" s="25"/>
      <c r="BB71" s="25"/>
      <c r="BC71" s="25"/>
      <c r="BD71" s="25"/>
      <c r="BE71" s="25"/>
      <c r="BF71" s="25"/>
      <c r="BG71" s="25"/>
      <c r="BH71" s="25"/>
      <c r="BI71" s="25"/>
    </row>
    <row r="72" spans="1:61" ht="27" customHeight="1" x14ac:dyDescent="0.15">
      <c r="A72" s="30" t="s">
        <v>500</v>
      </c>
      <c r="B72" s="21"/>
      <c r="C72" s="19"/>
      <c r="D72" s="40" t="str">
        <f t="shared" ref="D72:D73" si="41">IF(E72="",IF(C72="","",IF(C72="低木・竹・草地","低木・草地",IF(C72="人工面","－",C72))),LEFT(E72,LEN(E72)-6))</f>
        <v/>
      </c>
      <c r="E72" s="20"/>
      <c r="F72" s="32"/>
      <c r="G72" s="21"/>
      <c r="H72" s="22"/>
      <c r="I72" s="22"/>
      <c r="J72" s="22"/>
      <c r="K72" s="23"/>
      <c r="L72" s="23"/>
      <c r="M72" s="23"/>
      <c r="N72" s="146"/>
      <c r="O72" s="40">
        <f t="shared" si="21"/>
        <v>0</v>
      </c>
      <c r="P72" s="183" t="str">
        <f t="shared" si="22"/>
        <v/>
      </c>
      <c r="Q72" s="18">
        <f t="shared" si="31"/>
        <v>1</v>
      </c>
      <c r="R72" s="18">
        <f t="shared" si="32"/>
        <v>1</v>
      </c>
      <c r="S72" s="18">
        <f t="shared" si="39"/>
        <v>0</v>
      </c>
      <c r="T72" s="18">
        <f t="shared" si="33"/>
        <v>0</v>
      </c>
      <c r="U72" s="18">
        <f>IF($C72="人工面",0,IF($G72="",70,IF($D72="湿性環境",VLOOKUP($G72,環境タイプⅡによる点数DB!$A:$B,2,FALSE),IF($D72="樹林",VLOOKUP($G72,環境タイプⅡによる点数DB!$A:$C,3,FALSE),IF($D72="低木・草地",VLOOKUP($G72,環境タイプⅡによる点数DB!$A:$D,4,FALSE),0)))))</f>
        <v>70</v>
      </c>
      <c r="V72" s="24" t="str">
        <f>$H72&amp;"in"&amp;基本情報!$C$13</f>
        <v>in</v>
      </c>
      <c r="W72" s="24">
        <f t="shared" si="34"/>
        <v>0</v>
      </c>
      <c r="X72" s="24">
        <f>IF($H72="",0,IF($D72="樹林",IF(ISERROR(VLOOKUP($V72,市町村・植物種ごとの樹林点数DB!$A:$F,6,FALSE))=TRUE,20,VLOOKUP($V72,市町村・植物種ごとの樹林点数DB!$A:$F,6,FALSE)),IF($D72="低木・草地",IF(OR($H72="【ススキ】・【ネザサ】・【チガヤ】",$H72="不明"),45,10),0)))</f>
        <v>0</v>
      </c>
      <c r="Y72" s="24">
        <f t="shared" si="35"/>
        <v>0</v>
      </c>
      <c r="Z72" s="24">
        <f t="shared" si="36"/>
        <v>1</v>
      </c>
      <c r="AA72" s="24">
        <f t="shared" si="37"/>
        <v>0</v>
      </c>
      <c r="AB72" s="24">
        <f t="shared" si="38"/>
        <v>1</v>
      </c>
      <c r="AC72" s="25">
        <f t="shared" si="23"/>
        <v>0</v>
      </c>
      <c r="AD72" s="25">
        <f t="shared" si="24"/>
        <v>0</v>
      </c>
      <c r="AE72" s="25">
        <f t="shared" si="25"/>
        <v>0</v>
      </c>
      <c r="AF72" s="25" t="str">
        <f t="shared" si="26"/>
        <v/>
      </c>
      <c r="AG72" s="25" t="str">
        <f t="shared" si="27"/>
        <v/>
      </c>
      <c r="AH72" s="25" t="str">
        <f t="shared" si="28"/>
        <v/>
      </c>
      <c r="AI72" s="25">
        <f>IF(ISERROR(VLOOKUP($K72,割合DB!$A:$B,2,FALSE))=TRUE,0,VLOOKUP($K72,割合DB!$A:$B,2,FALSE))</f>
        <v>0</v>
      </c>
      <c r="AJ72" s="25">
        <f>IF(ISERROR(VLOOKUP($L72,割合DB!$A:$B,2,FALSE))=TRUE,0,VLOOKUP($L72,割合DB!$A:$B,2,FALSE))</f>
        <v>0</v>
      </c>
      <c r="AK72" s="25">
        <f>IF(ISERROR(VLOOKUP($M72,割合DB!$A:$B,2,FALSE))=TRUE,0,VLOOKUP($M72,割合DB!$A:$B,2,FALSE))</f>
        <v>0</v>
      </c>
      <c r="AL72" s="25">
        <f t="shared" si="29"/>
        <v>100</v>
      </c>
      <c r="AM72" s="18">
        <f t="shared" si="30"/>
        <v>100</v>
      </c>
      <c r="AN72" s="18">
        <f t="shared" si="40"/>
        <v>1</v>
      </c>
      <c r="AR72" s="24"/>
      <c r="AS72" s="24"/>
      <c r="AT72" s="24"/>
      <c r="AU72" s="24"/>
      <c r="AV72" s="24"/>
      <c r="AW72" s="24"/>
      <c r="AX72" s="24"/>
      <c r="AY72" s="24"/>
      <c r="AZ72" s="25"/>
      <c r="BA72" s="25"/>
      <c r="BB72" s="25"/>
      <c r="BC72" s="25"/>
      <c r="BD72" s="25"/>
      <c r="BE72" s="25"/>
      <c r="BF72" s="25"/>
      <c r="BG72" s="25"/>
      <c r="BH72" s="25"/>
      <c r="BI72" s="25"/>
    </row>
    <row r="73" spans="1:61" ht="27" customHeight="1" x14ac:dyDescent="0.15">
      <c r="A73" s="30" t="s">
        <v>501</v>
      </c>
      <c r="B73" s="21"/>
      <c r="C73" s="19"/>
      <c r="D73" s="40" t="str">
        <f t="shared" si="41"/>
        <v/>
      </c>
      <c r="E73" s="20"/>
      <c r="F73" s="32"/>
      <c r="G73" s="21"/>
      <c r="H73" s="22"/>
      <c r="I73" s="22"/>
      <c r="J73" s="22"/>
      <c r="K73" s="23"/>
      <c r="L73" s="23"/>
      <c r="M73" s="23"/>
      <c r="N73" s="146"/>
      <c r="O73" s="40">
        <f t="shared" ref="O73" si="42">S73</f>
        <v>0</v>
      </c>
      <c r="P73" s="183" t="str">
        <f t="shared" ref="P73" si="43">IF(B73="","",B73*O73)</f>
        <v/>
      </c>
      <c r="Q73" s="18">
        <f t="shared" si="31"/>
        <v>1</v>
      </c>
      <c r="R73" s="18">
        <f t="shared" si="32"/>
        <v>1</v>
      </c>
      <c r="S73" s="18">
        <f t="shared" si="39"/>
        <v>0</v>
      </c>
      <c r="T73" s="18">
        <f t="shared" si="33"/>
        <v>0</v>
      </c>
      <c r="U73" s="18">
        <f>IF($C73="人工面",0,IF($G73="",70,IF($D73="湿性環境",VLOOKUP($G73,環境タイプⅡによる点数DB!$A:$B,2,FALSE),IF($D73="樹林",VLOOKUP($G73,環境タイプⅡによる点数DB!$A:$C,3,FALSE),IF($D73="低木・草地",VLOOKUP($G73,環境タイプⅡによる点数DB!$A:$D,4,FALSE),0)))))</f>
        <v>70</v>
      </c>
      <c r="V73" s="24" t="str">
        <f>$H73&amp;"in"&amp;基本情報!$C$13</f>
        <v>in</v>
      </c>
      <c r="W73" s="24">
        <f t="shared" si="34"/>
        <v>0</v>
      </c>
      <c r="X73" s="24">
        <f>IF($H73="",0,IF($D73="樹林",IF(ISERROR(VLOOKUP($V73,市町村・植物種ごとの樹林点数DB!$A:$F,6,FALSE))=TRUE,20,VLOOKUP($V73,市町村・植物種ごとの樹林点数DB!$A:$F,6,FALSE)),IF($D73="低木・草地",IF(OR($H73="【ススキ】・【ネザサ】・【チガヤ】",$H73="不明"),45,10),0)))</f>
        <v>0</v>
      </c>
      <c r="Y73" s="24">
        <f t="shared" si="35"/>
        <v>0</v>
      </c>
      <c r="Z73" s="24">
        <f t="shared" si="36"/>
        <v>1</v>
      </c>
      <c r="AA73" s="24">
        <f t="shared" si="37"/>
        <v>0</v>
      </c>
      <c r="AB73" s="24">
        <f t="shared" si="38"/>
        <v>1</v>
      </c>
      <c r="AC73" s="25">
        <f t="shared" ref="AC73" si="44">(X73+Y73)*W73</f>
        <v>0</v>
      </c>
      <c r="AD73" s="25">
        <f t="shared" ref="AD73" si="45">IF(AC73=45,25*(1-AA73),IF(AC73=40,20*(1-AA73),IF(AC73&gt;=2.5,10*(1-AA73),IF(AC73&gt;0,5*(1-AA73),0))))</f>
        <v>0</v>
      </c>
      <c r="AE73" s="25">
        <f t="shared" ref="AE73" si="46">IF(W73=1,AB73*Z73*10,0)</f>
        <v>0</v>
      </c>
      <c r="AF73" s="25" t="str">
        <f t="shared" ref="AF73" si="47">IF($D73="低木・草地",SUM(AC73:AD73),"")</f>
        <v/>
      </c>
      <c r="AG73" s="25" t="str">
        <f t="shared" ref="AG73" si="48">IF($D73="樹林",SUM(AC73:AE73),"")</f>
        <v/>
      </c>
      <c r="AH73" s="25" t="str">
        <f t="shared" ref="AH73" si="49">IF($D73="湿性環境",IF(AL73+AM73&lt;60,0,(AL73+AM73)/2-30),"")</f>
        <v/>
      </c>
      <c r="AI73" s="25">
        <f>IF(ISERROR(VLOOKUP($K73,割合DB!$A:$B,2,FALSE))=TRUE,0,VLOOKUP($K73,割合DB!$A:$B,2,FALSE))</f>
        <v>0</v>
      </c>
      <c r="AJ73" s="25">
        <f>IF(ISERROR(VLOOKUP($L73,割合DB!$A:$B,2,FALSE))=TRUE,0,VLOOKUP($L73,割合DB!$A:$B,2,FALSE))</f>
        <v>0</v>
      </c>
      <c r="AK73" s="25">
        <f>IF(ISERROR(VLOOKUP($M73,割合DB!$A:$B,2,FALSE))=TRUE,0,VLOOKUP($M73,割合DB!$A:$B,2,FALSE))</f>
        <v>0</v>
      </c>
      <c r="AL73" s="25">
        <f t="shared" ref="AL73" si="50">((100-AI73)+(100-AJ73))/2</f>
        <v>100</v>
      </c>
      <c r="AM73" s="18">
        <f t="shared" ref="AM73" si="51">100-AK73</f>
        <v>100</v>
      </c>
      <c r="AN73" s="18">
        <f t="shared" si="40"/>
        <v>1</v>
      </c>
      <c r="AR73" s="24"/>
      <c r="AS73" s="24"/>
      <c r="AT73" s="24"/>
      <c r="AU73" s="24"/>
      <c r="AV73" s="24"/>
      <c r="AW73" s="24"/>
      <c r="AX73" s="24"/>
      <c r="AY73" s="24"/>
      <c r="AZ73" s="25"/>
      <c r="BA73" s="25"/>
      <c r="BB73" s="25"/>
      <c r="BC73" s="25"/>
      <c r="BD73" s="25"/>
      <c r="BE73" s="25"/>
      <c r="BF73" s="25"/>
      <c r="BG73" s="25"/>
      <c r="BH73" s="25"/>
      <c r="BI73" s="25"/>
    </row>
    <row r="74" spans="1:61" ht="27" customHeight="1" x14ac:dyDescent="0.15">
      <c r="A74" s="160" t="s">
        <v>1</v>
      </c>
      <c r="B74" s="33">
        <f>SUM(B4:B73)</f>
        <v>0</v>
      </c>
      <c r="C74" s="33" t="s">
        <v>68</v>
      </c>
      <c r="D74" s="33"/>
      <c r="E74" s="34"/>
      <c r="F74" s="32"/>
      <c r="G74" s="32"/>
      <c r="H74" s="35"/>
      <c r="I74" s="35"/>
      <c r="J74" s="35"/>
      <c r="K74" s="36"/>
      <c r="L74" s="37"/>
      <c r="M74" s="38"/>
      <c r="N74" s="147"/>
      <c r="O74" s="39"/>
      <c r="P74" s="184">
        <f>SUM(P4:P73)</f>
        <v>0</v>
      </c>
      <c r="V74" s="25"/>
      <c r="W74" s="25"/>
      <c r="X74" s="25"/>
      <c r="Y74" s="25"/>
      <c r="Z74" s="25"/>
      <c r="AA74" s="25"/>
      <c r="AB74" s="25"/>
      <c r="AC74" s="25"/>
      <c r="AD74" s="25"/>
      <c r="AE74" s="25"/>
      <c r="AF74" s="25"/>
      <c r="AG74" s="25"/>
      <c r="AH74" s="25"/>
      <c r="AI74" s="25"/>
      <c r="AJ74" s="25"/>
      <c r="AK74" s="25"/>
      <c r="AL74" s="25"/>
      <c r="AR74" s="25"/>
      <c r="AS74" s="25"/>
      <c r="AT74" s="25"/>
      <c r="AU74" s="25"/>
      <c r="AV74" s="25"/>
      <c r="AW74" s="25"/>
      <c r="AX74" s="25"/>
      <c r="AY74" s="25"/>
      <c r="AZ74" s="25"/>
      <c r="BA74" s="25"/>
      <c r="BB74" s="25"/>
      <c r="BC74" s="25"/>
      <c r="BD74" s="25"/>
      <c r="BE74" s="25"/>
      <c r="BF74" s="25"/>
      <c r="BG74" s="25"/>
      <c r="BH74" s="25"/>
      <c r="BI74" s="25"/>
    </row>
    <row r="75" spans="1:61" ht="21" customHeight="1" x14ac:dyDescent="0.15">
      <c r="A75" s="182"/>
      <c r="V75" s="25"/>
      <c r="W75" s="25"/>
      <c r="X75" s="25"/>
      <c r="Y75" s="25"/>
      <c r="Z75" s="25"/>
      <c r="AA75" s="25"/>
      <c r="AB75" s="25"/>
      <c r="AC75" s="25"/>
      <c r="AD75" s="25"/>
      <c r="AE75" s="25"/>
      <c r="AF75" s="25"/>
      <c r="AG75" s="25"/>
      <c r="AH75" s="25"/>
      <c r="AI75" s="25"/>
      <c r="AJ75" s="25"/>
      <c r="AK75" s="25"/>
      <c r="AL75" s="25"/>
      <c r="AR75" s="25"/>
      <c r="AS75" s="25"/>
      <c r="AT75" s="25"/>
      <c r="AU75" s="25"/>
      <c r="AV75" s="25"/>
      <c r="AW75" s="25"/>
      <c r="AX75" s="25"/>
      <c r="AY75" s="25"/>
      <c r="AZ75" s="25"/>
      <c r="BA75" s="25"/>
      <c r="BB75" s="25"/>
      <c r="BC75" s="25"/>
      <c r="BD75" s="25"/>
      <c r="BE75" s="25"/>
      <c r="BF75" s="25"/>
      <c r="BG75" s="25"/>
      <c r="BH75" s="25"/>
      <c r="BI75" s="25"/>
    </row>
  </sheetData>
  <sheetProtection algorithmName="SHA-512" hashValue="ugk0D4bra3M3W5YriKelC16Mu4hiIrQyPu4xnHYKywhsKEG9AbKZK+23+iGGH5+5OsEab3UPv+LfmanSOjhFFA==" saltValue="Pv6aECVBAqYzIlzNSXzGtw==" spinCount="100000" sheet="1" objects="1" scenarios="1"/>
  <mergeCells count="11">
    <mergeCell ref="P2:P3"/>
    <mergeCell ref="A2:A3"/>
    <mergeCell ref="E2:E3"/>
    <mergeCell ref="K2:M2"/>
    <mergeCell ref="F2:F3"/>
    <mergeCell ref="O2:O3"/>
    <mergeCell ref="C2:C3"/>
    <mergeCell ref="D2:D3"/>
    <mergeCell ref="B2:B3"/>
    <mergeCell ref="H2:J2"/>
    <mergeCell ref="G2:G3"/>
  </mergeCells>
  <phoneticPr fontId="2"/>
  <dataValidations count="6">
    <dataValidation type="list" allowBlank="1" showInputMessage="1" showErrorMessage="1" sqref="I4:I73 K4:M73" xr:uid="{00000000-0002-0000-0600-000000000000}">
      <formula1>五段階割合</formula1>
    </dataValidation>
    <dataValidation type="list" allowBlank="1" showInputMessage="1" showErrorMessage="1" sqref="J4:J73" xr:uid="{00000000-0002-0000-0600-000001000000}">
      <formula1>有無</formula1>
    </dataValidation>
    <dataValidation type="list" allowBlank="1" showInputMessage="1" showErrorMessage="1" sqref="C4:C73" xr:uid="{00000000-0002-0000-0600-000002000000}">
      <formula1>環境タイプⅠ</formula1>
    </dataValidation>
    <dataValidation type="list" allowBlank="1" showInputMessage="1" showErrorMessage="1" sqref="E4:E73" xr:uid="{00000000-0002-0000-0600-000003000000}">
      <formula1>目標環境タイプの変更</formula1>
    </dataValidation>
    <dataValidation type="list" allowBlank="1" showInputMessage="1" showErrorMessage="1" sqref="G4:G73" xr:uid="{00000000-0002-0000-0600-000004000000}">
      <formula1>環境タイプⅡ</formula1>
    </dataValidation>
    <dataValidation type="list" allowBlank="1" showInputMessage="1" showErrorMessage="1" sqref="H4:H73" xr:uid="{00000000-0002-0000-0600-000005000000}">
      <formula1>上層の植生</formula1>
    </dataValidation>
  </dataValidations>
  <printOptions horizontalCentered="1"/>
  <pageMargins left="0.27559055118110237" right="0.27559055118110237" top="0.27559055118110237" bottom="0.23622047244094491" header="0.23622047244094491" footer="0.19685039370078741"/>
  <pageSetup paperSize="9" scale="5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6E1ED9E-FA6E-4C53-B65A-4B4FF7DD30F1}">
          <x14:formula1>
            <xm:f>リスト!$Y$1:$Y$5</xm:f>
          </x14:formula1>
          <xm:sqref>N4:N73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4"/>
  <sheetViews>
    <sheetView zoomScale="85" zoomScaleNormal="85" workbookViewId="0">
      <selection activeCell="C17" sqref="C17"/>
    </sheetView>
  </sheetViews>
  <sheetFormatPr defaultRowHeight="13.5" x14ac:dyDescent="0.15"/>
  <cols>
    <col min="1" max="1" width="23.5" bestFit="1" customWidth="1"/>
    <col min="2" max="4" width="15.75" customWidth="1"/>
  </cols>
  <sheetData>
    <row r="1" spans="1:14" x14ac:dyDescent="0.15">
      <c r="A1" t="s">
        <v>241</v>
      </c>
      <c r="B1" t="s">
        <v>242</v>
      </c>
      <c r="C1" t="s">
        <v>243</v>
      </c>
      <c r="D1" t="s">
        <v>244</v>
      </c>
    </row>
    <row r="2" spans="1:14" x14ac:dyDescent="0.15">
      <c r="A2" t="s">
        <v>182</v>
      </c>
      <c r="B2">
        <v>0</v>
      </c>
      <c r="C2" t="s">
        <v>262</v>
      </c>
      <c r="D2">
        <v>0</v>
      </c>
    </row>
    <row r="3" spans="1:14" x14ac:dyDescent="0.15">
      <c r="A3" t="s">
        <v>183</v>
      </c>
      <c r="B3">
        <v>0</v>
      </c>
      <c r="C3" t="s">
        <v>262</v>
      </c>
      <c r="D3">
        <v>0</v>
      </c>
    </row>
    <row r="4" spans="1:14" x14ac:dyDescent="0.15">
      <c r="A4" t="s">
        <v>329</v>
      </c>
      <c r="B4" s="2">
        <v>0</v>
      </c>
      <c r="C4" s="2">
        <v>0</v>
      </c>
      <c r="D4" s="2">
        <v>10</v>
      </c>
    </row>
    <row r="5" spans="1:14" x14ac:dyDescent="0.15">
      <c r="A5" s="11" t="s">
        <v>330</v>
      </c>
      <c r="B5" s="2">
        <v>0</v>
      </c>
      <c r="C5" s="2">
        <v>0</v>
      </c>
      <c r="D5" s="2" t="s">
        <v>262</v>
      </c>
    </row>
    <row r="6" spans="1:14" x14ac:dyDescent="0.15">
      <c r="A6" t="s">
        <v>184</v>
      </c>
      <c r="B6" s="2">
        <v>0</v>
      </c>
      <c r="C6" s="2">
        <v>2.5</v>
      </c>
      <c r="D6" s="2">
        <v>0</v>
      </c>
    </row>
    <row r="7" spans="1:14" x14ac:dyDescent="0.15">
      <c r="A7" t="s">
        <v>185</v>
      </c>
      <c r="B7" s="2">
        <v>0</v>
      </c>
      <c r="C7" s="2">
        <v>2.5</v>
      </c>
      <c r="D7" s="2">
        <v>0</v>
      </c>
    </row>
    <row r="8" spans="1:14" x14ac:dyDescent="0.15">
      <c r="A8" t="s">
        <v>186</v>
      </c>
      <c r="B8" s="2">
        <v>0</v>
      </c>
      <c r="C8" s="2">
        <v>0</v>
      </c>
      <c r="D8" s="2">
        <v>10</v>
      </c>
    </row>
    <row r="9" spans="1:14" x14ac:dyDescent="0.15">
      <c r="A9" t="s">
        <v>187</v>
      </c>
      <c r="B9" s="2">
        <v>0</v>
      </c>
      <c r="C9" s="2">
        <v>0</v>
      </c>
      <c r="D9" s="2">
        <v>10</v>
      </c>
      <c r="H9" t="s">
        <v>224</v>
      </c>
      <c r="I9" t="s">
        <v>245</v>
      </c>
      <c r="J9" t="s">
        <v>91</v>
      </c>
    </row>
    <row r="10" spans="1:14" x14ac:dyDescent="0.15">
      <c r="A10" t="s">
        <v>248</v>
      </c>
      <c r="B10" s="2">
        <v>10</v>
      </c>
      <c r="C10" s="2">
        <v>0</v>
      </c>
      <c r="D10" s="2">
        <v>10</v>
      </c>
      <c r="G10">
        <v>13.75</v>
      </c>
      <c r="H10" t="s">
        <v>247</v>
      </c>
      <c r="I10" t="s">
        <v>246</v>
      </c>
      <c r="J10" t="s">
        <v>247</v>
      </c>
    </row>
    <row r="11" spans="1:14" x14ac:dyDescent="0.15">
      <c r="A11" t="s">
        <v>249</v>
      </c>
      <c r="B11" s="2">
        <v>30</v>
      </c>
      <c r="C11" s="2">
        <v>0</v>
      </c>
      <c r="D11" s="2">
        <v>0</v>
      </c>
      <c r="G11">
        <v>32.5</v>
      </c>
      <c r="H11" t="s">
        <v>246</v>
      </c>
      <c r="I11" t="s">
        <v>246</v>
      </c>
      <c r="J11" t="s">
        <v>247</v>
      </c>
    </row>
    <row r="12" spans="1:14" x14ac:dyDescent="0.15">
      <c r="A12" t="s">
        <v>250</v>
      </c>
      <c r="B12" s="2">
        <f>(10+50)/2</f>
        <v>30</v>
      </c>
      <c r="C12" s="2">
        <v>0</v>
      </c>
      <c r="D12" s="2">
        <v>0</v>
      </c>
      <c r="F12">
        <f>(G12+K12)/2</f>
        <v>32.5</v>
      </c>
      <c r="G12">
        <v>13.75</v>
      </c>
      <c r="H12" t="s">
        <v>247</v>
      </c>
      <c r="I12" t="s">
        <v>246</v>
      </c>
      <c r="J12" t="s">
        <v>247</v>
      </c>
      <c r="K12">
        <v>51.25</v>
      </c>
      <c r="L12" t="s">
        <v>247</v>
      </c>
      <c r="M12" t="s">
        <v>246</v>
      </c>
      <c r="N12" t="s">
        <v>246</v>
      </c>
    </row>
    <row r="13" spans="1:14" x14ac:dyDescent="0.15">
      <c r="A13" t="s">
        <v>251</v>
      </c>
      <c r="B13" s="2">
        <f>(20+70)/2</f>
        <v>45</v>
      </c>
      <c r="C13" s="2">
        <v>0</v>
      </c>
      <c r="D13" s="2">
        <v>0</v>
      </c>
    </row>
    <row r="14" spans="1:14" x14ac:dyDescent="0.15">
      <c r="A14" t="s">
        <v>263</v>
      </c>
      <c r="B14" t="s">
        <v>262</v>
      </c>
      <c r="C14">
        <v>0</v>
      </c>
      <c r="D14">
        <v>0</v>
      </c>
    </row>
  </sheetData>
  <sheetProtection algorithmName="SHA-512" hashValue="Cme4VBjUvRKah5/uioNnJ7fjvTrMLo7KmGhNavmaVyu90+ivlY1bhjjTfx9USMXI+U2+xKsjY3PQ9+hOBV3Q9Q==" saltValue="Nhrx2MSaFtzFLb+vNkB/AA==" spinCount="100000" sheet="1" objects="1" scenarios="1"/>
  <phoneticPr fontId="1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
  <sheetViews>
    <sheetView workbookViewId="0">
      <selection activeCell="C3" sqref="C3"/>
    </sheetView>
  </sheetViews>
  <sheetFormatPr defaultRowHeight="13.5" x14ac:dyDescent="0.15"/>
  <cols>
    <col min="1" max="1" width="23.5" bestFit="1" customWidth="1"/>
  </cols>
  <sheetData>
    <row r="1" spans="1:4" x14ac:dyDescent="0.15">
      <c r="A1" t="s">
        <v>335</v>
      </c>
      <c r="B1" t="s">
        <v>242</v>
      </c>
      <c r="C1" t="s">
        <v>243</v>
      </c>
      <c r="D1" t="s">
        <v>244</v>
      </c>
    </row>
    <row r="2" spans="1:4" x14ac:dyDescent="0.15">
      <c r="A2" t="s">
        <v>16</v>
      </c>
      <c r="B2">
        <v>70</v>
      </c>
      <c r="C2">
        <v>0</v>
      </c>
      <c r="D2">
        <v>0</v>
      </c>
    </row>
    <row r="3" spans="1:4" x14ac:dyDescent="0.15">
      <c r="A3" t="s">
        <v>20</v>
      </c>
      <c r="B3">
        <v>0</v>
      </c>
      <c r="C3">
        <v>70</v>
      </c>
      <c r="D3">
        <v>0</v>
      </c>
    </row>
    <row r="4" spans="1:4" x14ac:dyDescent="0.15">
      <c r="A4" t="s">
        <v>70</v>
      </c>
      <c r="B4">
        <v>0</v>
      </c>
      <c r="C4">
        <v>0</v>
      </c>
      <c r="D4">
        <v>70</v>
      </c>
    </row>
    <row r="5" spans="1:4" x14ac:dyDescent="0.15">
      <c r="A5" t="s">
        <v>94</v>
      </c>
      <c r="B5">
        <v>0</v>
      </c>
      <c r="C5">
        <v>0</v>
      </c>
      <c r="D5">
        <v>0</v>
      </c>
    </row>
  </sheetData>
  <sheetProtection algorithmName="SHA-512" hashValue="OYg8YtkDbFGORjYXcOLPjjHUSlx8DGrCphmE2P/P5FBQXe/h8BjRbdc46GcjQi9O3E+gEbnam12SM8kG8MlsSA==" saltValue="H8bdGkTKA+p3S3A79dYNLg==" spinCount="100000" sheet="1" objects="1" scenarios="1"/>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38</vt:i4>
      </vt:variant>
    </vt:vector>
  </HeadingPairs>
  <TitlesOfParts>
    <vt:vector size="56" baseType="lpstr">
      <vt:lpstr>表紙</vt:lpstr>
      <vt:lpstr>はじめに</vt:lpstr>
      <vt:lpstr>基本情報</vt:lpstr>
      <vt:lpstr>リスト</vt:lpstr>
      <vt:lpstr>推奨植物</vt:lpstr>
      <vt:lpstr>推奨植物DB</vt:lpstr>
      <vt:lpstr>環境条件(現況)</vt:lpstr>
      <vt:lpstr>環境タイプⅡによる点数DB</vt:lpstr>
      <vt:lpstr>環境タイプⅠによる点数DB</vt:lpstr>
      <vt:lpstr>環境条件(竣工時)</vt:lpstr>
      <vt:lpstr>環境条件(将来)</vt:lpstr>
      <vt:lpstr>評価結果</vt:lpstr>
      <vt:lpstr>開発の代償に充当する場合</vt:lpstr>
      <vt:lpstr>市町村・植物種ごとの樹林点数DB</vt:lpstr>
      <vt:lpstr>上層の植生DB</vt:lpstr>
      <vt:lpstr>上層の種不特定の上層点数DB</vt:lpstr>
      <vt:lpstr>割合DB</vt:lpstr>
      <vt:lpstr>ver</vt:lpstr>
      <vt:lpstr>○</vt:lpstr>
      <vt:lpstr>'環境条件(現況)'!Print_Area</vt:lpstr>
      <vt:lpstr>'環境条件(竣工時)'!Print_Area</vt:lpstr>
      <vt:lpstr>'環境条件(将来)'!Print_Area</vt:lpstr>
      <vt:lpstr>基本情報!Print_Area</vt:lpstr>
      <vt:lpstr>推奨植物!Print_Area</vt:lpstr>
      <vt:lpstr>評価結果!Print_Area</vt:lpstr>
      <vt:lpstr>'環境条件(現況)'!Print_Titles</vt:lpstr>
      <vt:lpstr>'環境条件(竣工時)'!Print_Titles</vt:lpstr>
      <vt:lpstr>'環境条件(将来)'!Print_Titles</vt:lpstr>
      <vt:lpstr>temp01</vt:lpstr>
      <vt:lpstr>ある・ない</vt:lpstr>
      <vt:lpstr>リスト!ネットワーク</vt:lpstr>
      <vt:lpstr>はい・いいえ</vt:lpstr>
      <vt:lpstr>リスト!まとまり</vt:lpstr>
      <vt:lpstr>リスト!過去</vt:lpstr>
      <vt:lpstr>過去の履歴</vt:lpstr>
      <vt:lpstr>開発行為</vt:lpstr>
      <vt:lpstr>リスト!環境タイプ</vt:lpstr>
      <vt:lpstr>環境タイプⅠ</vt:lpstr>
      <vt:lpstr>環境タイプⅡ</vt:lpstr>
      <vt:lpstr>含まれている_いない</vt:lpstr>
      <vt:lpstr>貴重な環境1</vt:lpstr>
      <vt:lpstr>貴重な環境2</vt:lpstr>
      <vt:lpstr>リスト!計画外来種</vt:lpstr>
      <vt:lpstr>五段階割合</vt:lpstr>
      <vt:lpstr>リスト!行為の種類</vt:lpstr>
      <vt:lpstr>リスト!最上層</vt:lpstr>
      <vt:lpstr>在来種割合</vt:lpstr>
      <vt:lpstr>市町村</vt:lpstr>
      <vt:lpstr>リスト!事業前外来種</vt:lpstr>
      <vt:lpstr>上層の植生</vt:lpstr>
      <vt:lpstr>植生成立想定</vt:lpstr>
      <vt:lpstr>中層有無</vt:lpstr>
      <vt:lpstr>リスト!調整</vt:lpstr>
      <vt:lpstr>リスト!半分以上が在来種</vt:lpstr>
      <vt:lpstr>目標環境タイプの変更</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2020-08-28T10:24:27Z</cp:lastPrinted>
  <dcterms:created xsi:type="dcterms:W3CDTF">2012-06-04T11:29:19Z</dcterms:created>
  <dcterms:modified xsi:type="dcterms:W3CDTF">2022-03-17T13:16:54Z</dcterms:modified>
</cp:coreProperties>
</file>