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21.165\共有フォルダ\助成G\R4\02補助金関係\☆09_実績報告\HP掲載用\"/>
    </mc:Choice>
  </mc:AlternateContent>
  <workbookProtection workbookAlgorithmName="SHA-512" workbookHashValue="j9EjXV7Ek3yhDvbGIYMNPDlG4QyS+OtQfeMnygySa5fwaPyEDV1yuYEUEh143oZmeWwbY/KezpT5rNtY6VcQnA==" workbookSaltValue="DxXuCPXTaJGICiI41jceAg==" workbookSpinCount="100000" lockStructure="1"/>
  <bookViews>
    <workbookView xWindow="0" yWindow="0" windowWidth="20490" windowHeight="4905" tabRatio="871" firstSheet="1" activeTab="1"/>
  </bookViews>
  <sheets>
    <sheet name="転記用" sheetId="18" state="hidden" r:id="rId1"/>
    <sheet name="はじめに入力してください" sheetId="28" r:id="rId2"/>
    <sheet name="振込先情報" sheetId="29" state="hidden" r:id="rId3"/>
    <sheet name="表紙" sheetId="3" r:id="rId4"/>
    <sheet name="請求書" sheetId="35" state="hidden" r:id="rId5"/>
    <sheet name="経費書" sheetId="2" r:id="rId6"/>
    <sheet name="額内訳書" sheetId="1" r:id="rId7"/>
    <sheet name="歳入歳出抄本" sheetId="15" r:id="rId8"/>
    <sheet name="初度設備明細 " sheetId="19" r:id="rId9"/>
    <sheet name="人工呼吸器明細" sheetId="20" r:id="rId10"/>
    <sheet name="個人防護具明細" sheetId="4" r:id="rId11"/>
    <sheet name="簡易陰圧装置明細 " sheetId="21" r:id="rId12"/>
    <sheet name="簡易病室明細" sheetId="32" r:id="rId13"/>
    <sheet name="超音波画像診断装置" sheetId="30" r:id="rId14"/>
    <sheet name="血液浄化装置明細" sheetId="22" r:id="rId15"/>
    <sheet name="気管支鏡" sheetId="31" r:id="rId16"/>
    <sheet name="CT撮影装置明細" sheetId="23" r:id="rId17"/>
    <sheet name="生体情報モニタ" sheetId="24" r:id="rId18"/>
    <sheet name="分娩監視装置" sheetId="25" r:id="rId19"/>
    <sheet name="新生児モニタ " sheetId="26" r:id="rId20"/>
    <sheet name="リスト" sheetId="33" state="hidden" r:id="rId21"/>
  </sheets>
  <externalReferences>
    <externalReference r:id="rId22"/>
    <externalReference r:id="rId23"/>
  </externalReferences>
  <definedNames>
    <definedName name="_xlnm.Print_Area" localSheetId="16">CT撮影装置明細!$A$2:$M$50</definedName>
    <definedName name="_xlnm.Print_Area" localSheetId="1">はじめに入力してください!$A$1:$AD$50</definedName>
    <definedName name="_xlnm.Print_Area" localSheetId="20">リスト!$A$1:$DX$67</definedName>
    <definedName name="_xlnm.Print_Area" localSheetId="6">額内訳書!$A$1:$R$31</definedName>
    <definedName name="_xlnm.Print_Area" localSheetId="11">'簡易陰圧装置明細 '!$A$2:$L$55</definedName>
    <definedName name="_xlnm.Print_Area" localSheetId="12">簡易病室明細!$A$1:$K$35</definedName>
    <definedName name="_xlnm.Print_Area" localSheetId="15">気管支鏡!$A$2:$M$50</definedName>
    <definedName name="_xlnm.Print_Area" localSheetId="5">経費書!$A$1:$M$43</definedName>
    <definedName name="_xlnm.Print_Area" localSheetId="14">血液浄化装置明細!$A$2:$M$50</definedName>
    <definedName name="_xlnm.Print_Area" localSheetId="10">個人防護具明細!$A$1:$H$39</definedName>
    <definedName name="_xlnm.Print_Area" localSheetId="7">歳入歳出抄本!$A$1:$G$44</definedName>
    <definedName name="_xlnm.Print_Area" localSheetId="8">'初度設備明細 '!$A$2:$M$54</definedName>
    <definedName name="_xlnm.Print_Area" localSheetId="2">振込先情報!$A$2:$AJ$57</definedName>
    <definedName name="_xlnm.Print_Area" localSheetId="19">'新生児モニタ '!$A$2:$M$50</definedName>
    <definedName name="_xlnm.Print_Area" localSheetId="9">人工呼吸器明細!$A$2:$M$50</definedName>
    <definedName name="_xlnm.Print_Area" localSheetId="17">生体情報モニタ!$A$2:$M$50</definedName>
    <definedName name="_xlnm.Print_Area" localSheetId="4">請求書!$A$1:$I$28</definedName>
    <definedName name="_xlnm.Print_Area" localSheetId="13">超音波画像診断装置!$A$2:$M$50</definedName>
    <definedName name="_xlnm.Print_Area" localSheetId="3">表紙!$A$2:$S$45</definedName>
    <definedName name="_xlnm.Print_Area" localSheetId="18">分娩監視装置!$A$2:$M$50</definedName>
    <definedName name="_xlnm.Print_Titles" localSheetId="6">額内訳書!$2:$5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8" l="1"/>
  <c r="B36" i="15"/>
  <c r="K15" i="1" l="1"/>
  <c r="G17" i="1"/>
  <c r="G16" i="1"/>
  <c r="G15" i="1"/>
  <c r="F17" i="1"/>
  <c r="F16" i="1"/>
  <c r="E15" i="1"/>
  <c r="F15" i="1"/>
  <c r="H22" i="2"/>
  <c r="H21" i="2"/>
  <c r="I22" i="2"/>
  <c r="G21" i="3"/>
  <c r="F8" i="35" l="1"/>
  <c r="F6" i="35"/>
  <c r="X17" i="21" l="1"/>
  <c r="M33" i="35"/>
  <c r="E39" i="2"/>
  <c r="E23" i="2"/>
  <c r="AI15" i="28"/>
  <c r="AH15" i="28"/>
  <c r="AG15" i="28"/>
  <c r="D10" i="26"/>
  <c r="AE20" i="28"/>
  <c r="B35" i="3"/>
  <c r="R2" i="3" l="1"/>
  <c r="AN53" i="3"/>
  <c r="G1" i="15"/>
  <c r="H1" i="35"/>
  <c r="H1" i="4"/>
  <c r="L1" i="2"/>
  <c r="J1" i="32"/>
  <c r="P1" i="1"/>
  <c r="C35" i="28"/>
  <c r="AE14" i="28"/>
  <c r="I35" i="28" l="1"/>
  <c r="AS20" i="1"/>
  <c r="AQ20" i="1"/>
  <c r="K38" i="2" l="1"/>
  <c r="J38" i="2"/>
  <c r="I38" i="2"/>
  <c r="H38" i="2"/>
  <c r="G38" i="2"/>
  <c r="F38" i="2"/>
  <c r="E38" i="2"/>
  <c r="D38" i="2"/>
  <c r="K36" i="2"/>
  <c r="J36" i="2"/>
  <c r="I36" i="2"/>
  <c r="H36" i="2"/>
  <c r="G36" i="2"/>
  <c r="F36" i="2"/>
  <c r="E36" i="2"/>
  <c r="D36" i="2"/>
  <c r="K34" i="2"/>
  <c r="J34" i="2"/>
  <c r="I34" i="2"/>
  <c r="H34" i="2"/>
  <c r="G34" i="2"/>
  <c r="F34" i="2"/>
  <c r="E34" i="2"/>
  <c r="D34" i="2"/>
  <c r="K32" i="2"/>
  <c r="J32" i="2"/>
  <c r="I32" i="2"/>
  <c r="H32" i="2"/>
  <c r="G32" i="2"/>
  <c r="F32" i="2"/>
  <c r="E32" i="2"/>
  <c r="D32" i="2"/>
  <c r="K30" i="2"/>
  <c r="J30" i="2"/>
  <c r="I30" i="2"/>
  <c r="H30" i="2"/>
  <c r="G30" i="2"/>
  <c r="F30" i="2"/>
  <c r="E30" i="2"/>
  <c r="D30" i="2"/>
  <c r="K28" i="2"/>
  <c r="J28" i="2"/>
  <c r="I28" i="2"/>
  <c r="H28" i="2"/>
  <c r="G28" i="2"/>
  <c r="F28" i="2"/>
  <c r="E28" i="2"/>
  <c r="D28" i="2"/>
  <c r="K26" i="2"/>
  <c r="K40" i="2" s="1"/>
  <c r="J26" i="2"/>
  <c r="J40" i="2" s="1"/>
  <c r="I26" i="2"/>
  <c r="I40" i="2" s="1"/>
  <c r="H26" i="2"/>
  <c r="H40" i="2" s="1"/>
  <c r="G26" i="2"/>
  <c r="G40" i="2" s="1"/>
  <c r="F26" i="2"/>
  <c r="F40" i="2" s="1"/>
  <c r="E26" i="2"/>
  <c r="E40" i="2" s="1"/>
  <c r="D26" i="2"/>
  <c r="D40" i="2" s="1"/>
  <c r="K22" i="2"/>
  <c r="J22" i="2"/>
  <c r="G22" i="2"/>
  <c r="F22" i="2"/>
  <c r="E22" i="2"/>
  <c r="D22" i="2"/>
  <c r="K20" i="2"/>
  <c r="J20" i="2"/>
  <c r="I20" i="2"/>
  <c r="H20" i="2"/>
  <c r="G20" i="2"/>
  <c r="F20" i="2"/>
  <c r="E20" i="2"/>
  <c r="D20" i="2"/>
  <c r="K18" i="2"/>
  <c r="J18" i="2"/>
  <c r="I18" i="2"/>
  <c r="H18" i="2"/>
  <c r="G18" i="2"/>
  <c r="F18" i="2"/>
  <c r="E18" i="2"/>
  <c r="D18" i="2"/>
  <c r="K16" i="2"/>
  <c r="J16" i="2"/>
  <c r="I16" i="2"/>
  <c r="H16" i="2"/>
  <c r="G16" i="2"/>
  <c r="F16" i="2"/>
  <c r="E16" i="2"/>
  <c r="D16" i="2"/>
  <c r="K14" i="2"/>
  <c r="J14" i="2"/>
  <c r="I14" i="2"/>
  <c r="H14" i="2"/>
  <c r="G14" i="2"/>
  <c r="F14" i="2"/>
  <c r="E14" i="2"/>
  <c r="D14" i="2"/>
  <c r="K12" i="2"/>
  <c r="J12" i="2"/>
  <c r="I12" i="2"/>
  <c r="H12" i="2"/>
  <c r="G12" i="2"/>
  <c r="F12" i="2"/>
  <c r="E12" i="2"/>
  <c r="D12" i="2"/>
  <c r="K10" i="2"/>
  <c r="J10" i="2"/>
  <c r="I10" i="2"/>
  <c r="H10" i="2"/>
  <c r="G10" i="2"/>
  <c r="F10" i="2"/>
  <c r="E10" i="2"/>
  <c r="D10" i="2"/>
  <c r="K8" i="2"/>
  <c r="K24" i="2" s="1"/>
  <c r="K42" i="2" s="1"/>
  <c r="J8" i="2"/>
  <c r="J24" i="2" s="1"/>
  <c r="J42" i="2" s="1"/>
  <c r="I8" i="2"/>
  <c r="I24" i="2" s="1"/>
  <c r="H8" i="2"/>
  <c r="H24" i="2" s="1"/>
  <c r="G8" i="2"/>
  <c r="G24" i="2" s="1"/>
  <c r="G42" i="2" s="1"/>
  <c r="F8" i="2"/>
  <c r="F24" i="2" s="1"/>
  <c r="F42" i="2" s="1"/>
  <c r="E8" i="2"/>
  <c r="E24" i="2" s="1"/>
  <c r="D8" i="2"/>
  <c r="D24" i="2" s="1"/>
  <c r="H42" i="2" l="1"/>
  <c r="D42" i="2"/>
  <c r="E42" i="2"/>
  <c r="I42" i="2"/>
  <c r="D24" i="35"/>
  <c r="D23" i="35"/>
  <c r="D22" i="35"/>
  <c r="N5" i="3"/>
  <c r="D36" i="15" s="1"/>
  <c r="L33" i="35"/>
  <c r="O35" i="28" s="1"/>
  <c r="P35" i="28" l="1"/>
  <c r="AJ35" i="28"/>
  <c r="AF8" i="28"/>
  <c r="AI13" i="28"/>
  <c r="AH13" i="28"/>
  <c r="AG13" i="28"/>
  <c r="AX8" i="1"/>
  <c r="AY8" i="1"/>
  <c r="AZ8" i="1"/>
  <c r="AX9" i="1"/>
  <c r="AY9" i="1"/>
  <c r="AZ9" i="1"/>
  <c r="AX10" i="1"/>
  <c r="AY10" i="1"/>
  <c r="AZ10" i="1"/>
  <c r="AX11" i="1"/>
  <c r="AY11" i="1"/>
  <c r="AZ11" i="1"/>
  <c r="AX12" i="1"/>
  <c r="AY12" i="1"/>
  <c r="AZ12" i="1"/>
  <c r="AX13" i="1"/>
  <c r="AY13" i="1"/>
  <c r="AZ13" i="1"/>
  <c r="AX14" i="1"/>
  <c r="AY14" i="1"/>
  <c r="AZ14" i="1"/>
  <c r="AX15" i="1"/>
  <c r="AY15" i="1"/>
  <c r="AZ15" i="1"/>
  <c r="AX16" i="1"/>
  <c r="AW16" i="1" s="1"/>
  <c r="AY16" i="1"/>
  <c r="AZ16" i="1"/>
  <c r="AX17" i="1"/>
  <c r="AY17" i="1"/>
  <c r="AZ17" i="1"/>
  <c r="AX18" i="1"/>
  <c r="AY18" i="1"/>
  <c r="AZ18" i="1"/>
  <c r="AX19" i="1"/>
  <c r="AY19" i="1"/>
  <c r="AZ19" i="1"/>
  <c r="AX20" i="1"/>
  <c r="AY20" i="1"/>
  <c r="AZ20" i="1"/>
  <c r="AX21" i="1"/>
  <c r="AY21" i="1"/>
  <c r="AZ21" i="1"/>
  <c r="AX22" i="1"/>
  <c r="AW22" i="1" s="1"/>
  <c r="AY22" i="1"/>
  <c r="AZ22" i="1"/>
  <c r="AX23" i="1"/>
  <c r="AY23" i="1"/>
  <c r="AZ23" i="1"/>
  <c r="AX24" i="1"/>
  <c r="AY24" i="1"/>
  <c r="AZ24" i="1"/>
  <c r="AX25" i="1"/>
  <c r="AY25" i="1"/>
  <c r="AZ25" i="1"/>
  <c r="AX26" i="1"/>
  <c r="AY26" i="1"/>
  <c r="AZ26" i="1"/>
  <c r="AX27" i="1"/>
  <c r="AY27" i="1"/>
  <c r="AZ27" i="1"/>
  <c r="AX28" i="1"/>
  <c r="AY28" i="1"/>
  <c r="AZ28" i="1"/>
  <c r="AX29" i="1"/>
  <c r="AY29" i="1"/>
  <c r="AZ29" i="1"/>
  <c r="AZ7" i="1"/>
  <c r="AY7" i="1"/>
  <c r="AX7" i="1"/>
  <c r="AW7" i="1" s="1"/>
  <c r="AD6" i="15" l="1"/>
  <c r="AC6" i="15"/>
  <c r="AB6" i="15"/>
  <c r="AA6" i="15"/>
  <c r="Z6" i="15"/>
  <c r="Y6" i="15"/>
  <c r="AD8" i="15"/>
  <c r="AC8" i="15"/>
  <c r="AB8" i="15"/>
  <c r="AA8" i="15"/>
  <c r="Z8" i="15"/>
  <c r="Y8" i="15"/>
  <c r="C32" i="3" l="1"/>
  <c r="AJ45" i="23" l="1"/>
  <c r="AJ41" i="23"/>
  <c r="AJ37" i="23"/>
  <c r="AJ33" i="23"/>
  <c r="AF17" i="23"/>
  <c r="AG17" i="23"/>
  <c r="AH17" i="23"/>
  <c r="AI17" i="23"/>
  <c r="AF18" i="23"/>
  <c r="AG18" i="23"/>
  <c r="AH18" i="23"/>
  <c r="AI18" i="23"/>
  <c r="AF19" i="23"/>
  <c r="AG19" i="23"/>
  <c r="AH19" i="23"/>
  <c r="AD19" i="23" s="1"/>
  <c r="AI19" i="23"/>
  <c r="AF20" i="23"/>
  <c r="AG20" i="23"/>
  <c r="AH20" i="23"/>
  <c r="AI20" i="23"/>
  <c r="AF21" i="23"/>
  <c r="AG21" i="23"/>
  <c r="AH21" i="23"/>
  <c r="AI21" i="23"/>
  <c r="AF22" i="23"/>
  <c r="AG22" i="23"/>
  <c r="AJ22" i="23" s="1"/>
  <c r="AH22" i="23"/>
  <c r="AI22" i="23"/>
  <c r="AF23" i="23"/>
  <c r="AG23" i="23"/>
  <c r="AJ23" i="23" s="1"/>
  <c r="AH23" i="23"/>
  <c r="AI23" i="23"/>
  <c r="AF24" i="23"/>
  <c r="AG24" i="23"/>
  <c r="AJ24" i="23" s="1"/>
  <c r="AH24" i="23"/>
  <c r="AI24" i="23"/>
  <c r="AF25" i="23"/>
  <c r="AG25" i="23"/>
  <c r="AJ25" i="23" s="1"/>
  <c r="AH25" i="23"/>
  <c r="AI25" i="23"/>
  <c r="AF26" i="23"/>
  <c r="AG26" i="23"/>
  <c r="AJ26" i="23" s="1"/>
  <c r="AH26" i="23"/>
  <c r="AI26" i="23"/>
  <c r="AF27" i="23"/>
  <c r="AG27" i="23"/>
  <c r="AJ27" i="23" s="1"/>
  <c r="AH27" i="23"/>
  <c r="AI27" i="23"/>
  <c r="AF28" i="23"/>
  <c r="AG28" i="23"/>
  <c r="AJ28" i="23" s="1"/>
  <c r="AH28" i="23"/>
  <c r="AI28" i="23"/>
  <c r="AF29" i="23"/>
  <c r="AG29" i="23"/>
  <c r="AJ29" i="23" s="1"/>
  <c r="AH29" i="23"/>
  <c r="AI29" i="23"/>
  <c r="AF30" i="23"/>
  <c r="AG30" i="23"/>
  <c r="AH30" i="23"/>
  <c r="AI30" i="23"/>
  <c r="AF31" i="23"/>
  <c r="AG31" i="23"/>
  <c r="AH31" i="23"/>
  <c r="AD31" i="23" s="1"/>
  <c r="AI31" i="23"/>
  <c r="AF32" i="23"/>
  <c r="AG32" i="23"/>
  <c r="AH32" i="23"/>
  <c r="AI32" i="23"/>
  <c r="AF33" i="23"/>
  <c r="AG33" i="23"/>
  <c r="AH33" i="23"/>
  <c r="AI33" i="23"/>
  <c r="AF34" i="23"/>
  <c r="AG34" i="23"/>
  <c r="AH34" i="23"/>
  <c r="AI34" i="23"/>
  <c r="AF35" i="23"/>
  <c r="AG35" i="23"/>
  <c r="AH35" i="23"/>
  <c r="AD35" i="23" s="1"/>
  <c r="AI35" i="23"/>
  <c r="AF36" i="23"/>
  <c r="AG36" i="23"/>
  <c r="AH36" i="23"/>
  <c r="AI36" i="23"/>
  <c r="AF37" i="23"/>
  <c r="AG37" i="23"/>
  <c r="AH37" i="23"/>
  <c r="AI37" i="23"/>
  <c r="AF38" i="23"/>
  <c r="AG38" i="23"/>
  <c r="AD38" i="23" s="1"/>
  <c r="AH38" i="23"/>
  <c r="AI38" i="23"/>
  <c r="AF39" i="23"/>
  <c r="AG39" i="23"/>
  <c r="AJ39" i="23" s="1"/>
  <c r="AH39" i="23"/>
  <c r="AI39" i="23"/>
  <c r="AF40" i="23"/>
  <c r="AG40" i="23"/>
  <c r="AH40" i="23"/>
  <c r="AI40" i="23"/>
  <c r="AF41" i="23"/>
  <c r="AG41" i="23"/>
  <c r="AH41" i="23"/>
  <c r="AI41" i="23"/>
  <c r="AF42" i="23"/>
  <c r="AG42" i="23"/>
  <c r="AH42" i="23"/>
  <c r="AI42" i="23"/>
  <c r="AF43" i="23"/>
  <c r="AG43" i="23"/>
  <c r="AJ43" i="23" s="1"/>
  <c r="AH43" i="23"/>
  <c r="AI43" i="23"/>
  <c r="AF44" i="23"/>
  <c r="AG44" i="23"/>
  <c r="AH44" i="23"/>
  <c r="AI44" i="23"/>
  <c r="AF45" i="23"/>
  <c r="AG45" i="23"/>
  <c r="AH45" i="23"/>
  <c r="AI45" i="23"/>
  <c r="AF46" i="23"/>
  <c r="AG46" i="23"/>
  <c r="AH46" i="23"/>
  <c r="AI46" i="23"/>
  <c r="AF47" i="23"/>
  <c r="AG47" i="23"/>
  <c r="AH47" i="23"/>
  <c r="AD47" i="23" s="1"/>
  <c r="AI47" i="23"/>
  <c r="AF48" i="23"/>
  <c r="AG48" i="23"/>
  <c r="AH48" i="23"/>
  <c r="AI48" i="23"/>
  <c r="AF49" i="23"/>
  <c r="AG49" i="23"/>
  <c r="AH49" i="23"/>
  <c r="AI49" i="23"/>
  <c r="AF50" i="23"/>
  <c r="AG50" i="23"/>
  <c r="AH50" i="23"/>
  <c r="AI50" i="23"/>
  <c r="AF51" i="23"/>
  <c r="AG51" i="23"/>
  <c r="AH51" i="23"/>
  <c r="AD51" i="23" s="1"/>
  <c r="AI51" i="23"/>
  <c r="AF52" i="23"/>
  <c r="AG52" i="23"/>
  <c r="AH52" i="23"/>
  <c r="AI52" i="23"/>
  <c r="AF53" i="23"/>
  <c r="AG53" i="23"/>
  <c r="AH53" i="23"/>
  <c r="AI53" i="23"/>
  <c r="AF54" i="23"/>
  <c r="AG54" i="23"/>
  <c r="AD54" i="23" s="1"/>
  <c r="AH54" i="23"/>
  <c r="AI54" i="23"/>
  <c r="AF55" i="23"/>
  <c r="AG55" i="23"/>
  <c r="AJ55" i="23" s="1"/>
  <c r="AH55" i="23"/>
  <c r="AI55" i="23"/>
  <c r="AF56" i="23"/>
  <c r="AG56" i="23"/>
  <c r="AH56" i="23"/>
  <c r="AI56" i="23"/>
  <c r="AF57" i="23"/>
  <c r="AG57" i="23"/>
  <c r="AJ57" i="23" s="1"/>
  <c r="AH57" i="23"/>
  <c r="AI57" i="23"/>
  <c r="AF58" i="23"/>
  <c r="AG58" i="23"/>
  <c r="AH58" i="23"/>
  <c r="AI58" i="23"/>
  <c r="AF59" i="23"/>
  <c r="AG59" i="23"/>
  <c r="AJ59" i="23" s="1"/>
  <c r="AH59" i="23"/>
  <c r="AI59" i="23"/>
  <c r="AF60" i="23"/>
  <c r="AG60" i="23"/>
  <c r="AH60" i="23"/>
  <c r="AI60" i="23"/>
  <c r="AF61" i="23"/>
  <c r="AG61" i="23"/>
  <c r="AJ61" i="23" s="1"/>
  <c r="AH61" i="23"/>
  <c r="AI61" i="23"/>
  <c r="AF62" i="23"/>
  <c r="AG62" i="23"/>
  <c r="AH62" i="23"/>
  <c r="AI62" i="23"/>
  <c r="AF63" i="23"/>
  <c r="AG63" i="23"/>
  <c r="AJ63" i="23" s="1"/>
  <c r="AH63" i="23"/>
  <c r="AI63" i="23"/>
  <c r="AF64" i="23"/>
  <c r="AG64" i="23"/>
  <c r="AH64" i="23"/>
  <c r="AI64" i="23"/>
  <c r="AF65" i="23"/>
  <c r="AG65" i="23"/>
  <c r="AJ65" i="23" s="1"/>
  <c r="AH65" i="23"/>
  <c r="AI65" i="23"/>
  <c r="AF66" i="23"/>
  <c r="AG66" i="23"/>
  <c r="AH66" i="23"/>
  <c r="AI66" i="23"/>
  <c r="AF67" i="23"/>
  <c r="AG67" i="23"/>
  <c r="AH67" i="23"/>
  <c r="AI67" i="23"/>
  <c r="AF68" i="23"/>
  <c r="AG68" i="23"/>
  <c r="AH68" i="23"/>
  <c r="AI68" i="23"/>
  <c r="AF69" i="23"/>
  <c r="AG69" i="23"/>
  <c r="AJ69" i="23" s="1"/>
  <c r="AH69" i="23"/>
  <c r="AI69" i="23"/>
  <c r="AF70" i="23"/>
  <c r="AG70" i="23"/>
  <c r="AH70" i="23"/>
  <c r="AI70" i="23"/>
  <c r="AF71" i="23"/>
  <c r="AG71" i="23"/>
  <c r="AH71" i="23"/>
  <c r="AD71" i="23" s="1"/>
  <c r="AI71" i="23"/>
  <c r="AF72" i="23"/>
  <c r="AG72" i="23"/>
  <c r="AH72" i="23"/>
  <c r="AI72" i="23"/>
  <c r="AF73" i="23"/>
  <c r="AG73" i="23"/>
  <c r="AH73" i="23"/>
  <c r="AI73" i="23"/>
  <c r="AF74" i="23"/>
  <c r="AG74" i="23"/>
  <c r="AH74" i="23"/>
  <c r="AI74" i="23"/>
  <c r="AF75" i="23"/>
  <c r="AG75" i="23"/>
  <c r="AH75" i="23"/>
  <c r="AI75" i="23"/>
  <c r="AF76" i="23"/>
  <c r="AG76" i="23"/>
  <c r="AH76" i="23"/>
  <c r="AI76" i="23"/>
  <c r="AF77" i="23"/>
  <c r="AG77" i="23"/>
  <c r="AH77" i="23"/>
  <c r="AI77" i="23"/>
  <c r="AF78" i="23"/>
  <c r="AG78" i="23"/>
  <c r="AH78" i="23"/>
  <c r="AI78" i="23"/>
  <c r="AF79" i="23"/>
  <c r="AG79" i="23"/>
  <c r="AH79" i="23"/>
  <c r="AD79" i="23" s="1"/>
  <c r="AI79" i="23"/>
  <c r="AF80" i="23"/>
  <c r="AG80" i="23"/>
  <c r="AH80" i="23"/>
  <c r="AI80" i="23"/>
  <c r="AF81" i="23"/>
  <c r="AG81" i="23"/>
  <c r="AH81" i="23"/>
  <c r="AI81" i="23"/>
  <c r="AF82" i="23"/>
  <c r="AG82" i="23"/>
  <c r="AH82" i="23"/>
  <c r="AI82" i="23"/>
  <c r="AF83" i="23"/>
  <c r="AG83" i="23"/>
  <c r="AH83" i="23"/>
  <c r="AI83" i="23"/>
  <c r="AF84" i="23"/>
  <c r="AG84" i="23"/>
  <c r="AH84" i="23"/>
  <c r="AI84" i="23"/>
  <c r="AF85" i="23"/>
  <c r="AG85" i="23"/>
  <c r="AH85" i="23"/>
  <c r="AI85" i="23"/>
  <c r="AF86" i="23"/>
  <c r="AG86" i="23"/>
  <c r="AD86" i="23" s="1"/>
  <c r="AH86" i="23"/>
  <c r="AI86" i="23"/>
  <c r="AF87" i="23"/>
  <c r="AG87" i="23"/>
  <c r="AH87" i="23"/>
  <c r="AI87" i="23"/>
  <c r="AF88" i="23"/>
  <c r="AG88" i="23"/>
  <c r="AH88" i="23"/>
  <c r="AI88" i="23"/>
  <c r="AF89" i="23"/>
  <c r="AG89" i="23"/>
  <c r="AJ89" i="23" s="1"/>
  <c r="AH89" i="23"/>
  <c r="AI89" i="23"/>
  <c r="AF90" i="23"/>
  <c r="AG90" i="23"/>
  <c r="AH90" i="23"/>
  <c r="AI90" i="23"/>
  <c r="AF91" i="23"/>
  <c r="AG91" i="23"/>
  <c r="AH91" i="23"/>
  <c r="AI91" i="23"/>
  <c r="AF92" i="23"/>
  <c r="AG92" i="23"/>
  <c r="AH92" i="23"/>
  <c r="AI92" i="23"/>
  <c r="AF93" i="23"/>
  <c r="AG93" i="23"/>
  <c r="AJ93" i="23" s="1"/>
  <c r="AH93" i="23"/>
  <c r="AI93" i="23"/>
  <c r="AF94" i="23"/>
  <c r="AG94" i="23"/>
  <c r="AH94" i="23"/>
  <c r="AI94" i="23"/>
  <c r="AF95" i="23"/>
  <c r="AG95" i="23"/>
  <c r="AH95" i="23"/>
  <c r="AI95" i="23"/>
  <c r="AF96" i="23"/>
  <c r="AG96" i="23"/>
  <c r="AH96" i="23"/>
  <c r="AI96" i="23"/>
  <c r="AF97" i="23"/>
  <c r="AG97" i="23"/>
  <c r="AJ97" i="23" s="1"/>
  <c r="AH97" i="23"/>
  <c r="AI97" i="23"/>
  <c r="AF98" i="23"/>
  <c r="AG98" i="23"/>
  <c r="AH98" i="23"/>
  <c r="AI98" i="23"/>
  <c r="AF99" i="23"/>
  <c r="AG99" i="23"/>
  <c r="AH99" i="23"/>
  <c r="AI99" i="23"/>
  <c r="AF100" i="23"/>
  <c r="AG100" i="23"/>
  <c r="AH100" i="23"/>
  <c r="AI100" i="23"/>
  <c r="AF101" i="23"/>
  <c r="AG101" i="23"/>
  <c r="AJ101" i="23" s="1"/>
  <c r="AH101" i="23"/>
  <c r="AI101" i="23"/>
  <c r="AF102" i="23"/>
  <c r="AG102" i="23"/>
  <c r="AH102" i="23"/>
  <c r="AI102" i="23"/>
  <c r="AF103" i="23"/>
  <c r="AG103" i="23"/>
  <c r="AH103" i="23"/>
  <c r="AD103" i="23" s="1"/>
  <c r="AI103" i="23"/>
  <c r="AF104" i="23"/>
  <c r="AG104" i="23"/>
  <c r="AH104" i="23"/>
  <c r="AD104" i="23" s="1"/>
  <c r="AI104" i="23"/>
  <c r="AF105" i="23"/>
  <c r="AG105" i="23"/>
  <c r="AH105" i="23"/>
  <c r="AI105" i="23"/>
  <c r="AF106" i="23"/>
  <c r="AG106" i="23"/>
  <c r="AH106" i="23"/>
  <c r="AI106" i="23"/>
  <c r="AF107" i="23"/>
  <c r="AG107" i="23"/>
  <c r="AH107" i="23"/>
  <c r="AI107" i="23"/>
  <c r="AF108" i="23"/>
  <c r="AG108" i="23"/>
  <c r="AH108" i="23"/>
  <c r="AI108" i="23"/>
  <c r="AF109" i="23"/>
  <c r="AG109" i="23"/>
  <c r="AH109" i="23"/>
  <c r="AI109" i="23"/>
  <c r="AF110" i="23"/>
  <c r="AG110" i="23"/>
  <c r="AH110" i="23"/>
  <c r="AI110" i="23"/>
  <c r="AF111" i="23"/>
  <c r="AG111" i="23"/>
  <c r="AH111" i="23"/>
  <c r="AD111" i="23" s="1"/>
  <c r="AI111" i="23"/>
  <c r="AF112" i="23"/>
  <c r="AG112" i="23"/>
  <c r="AH112" i="23"/>
  <c r="AI112" i="23"/>
  <c r="AF113" i="23"/>
  <c r="AG113" i="23"/>
  <c r="AH113" i="23"/>
  <c r="AI113" i="23"/>
  <c r="AF114" i="23"/>
  <c r="AG114" i="23"/>
  <c r="AH114" i="23"/>
  <c r="AI114" i="23"/>
  <c r="AF115" i="23"/>
  <c r="AG115" i="23"/>
  <c r="AH115" i="23"/>
  <c r="AI115" i="23"/>
  <c r="AI16" i="23"/>
  <c r="AH16" i="23"/>
  <c r="AG16" i="23"/>
  <c r="AF16" i="23"/>
  <c r="AE114" i="23" l="1"/>
  <c r="AJ114" i="23"/>
  <c r="AD113" i="23"/>
  <c r="AE113" i="23"/>
  <c r="AD112" i="23"/>
  <c r="AE112" i="23"/>
  <c r="AJ112" i="23"/>
  <c r="AE111" i="23"/>
  <c r="AE110" i="23"/>
  <c r="AJ110" i="23"/>
  <c r="AE109" i="23"/>
  <c r="AD108" i="23"/>
  <c r="AE108" i="23"/>
  <c r="AJ108" i="23"/>
  <c r="AE107" i="23"/>
  <c r="AE106" i="23"/>
  <c r="AJ106" i="23"/>
  <c r="AD105" i="23"/>
  <c r="AE105" i="23"/>
  <c r="AE104" i="23"/>
  <c r="AJ104" i="23"/>
  <c r="AE103" i="23"/>
  <c r="AE102" i="23"/>
  <c r="AJ102" i="23"/>
  <c r="AD94" i="23"/>
  <c r="AD91" i="23"/>
  <c r="AE85" i="23"/>
  <c r="AE84" i="23"/>
  <c r="AJ84" i="23"/>
  <c r="AE83" i="23"/>
  <c r="AE82" i="23"/>
  <c r="AJ82" i="23"/>
  <c r="AD81" i="23"/>
  <c r="AE81" i="23"/>
  <c r="AD80" i="23"/>
  <c r="AE80" i="23"/>
  <c r="AJ80" i="23"/>
  <c r="AE79" i="23"/>
  <c r="AE78" i="23"/>
  <c r="AJ78" i="23"/>
  <c r="AE77" i="23"/>
  <c r="AD76" i="23"/>
  <c r="AE76" i="23"/>
  <c r="AJ76" i="23"/>
  <c r="AE75" i="23"/>
  <c r="AE74" i="23"/>
  <c r="AJ74" i="23"/>
  <c r="AD73" i="23"/>
  <c r="AE73" i="23"/>
  <c r="AE72" i="23"/>
  <c r="AJ72" i="23"/>
  <c r="AE71" i="23"/>
  <c r="AE70" i="23"/>
  <c r="AJ70" i="23"/>
  <c r="AD62" i="23"/>
  <c r="AE53" i="23"/>
  <c r="AD52" i="23"/>
  <c r="AE52" i="23"/>
  <c r="AJ52" i="23"/>
  <c r="AE51" i="23"/>
  <c r="AE50" i="23"/>
  <c r="AJ50" i="23"/>
  <c r="AE49" i="23"/>
  <c r="AD48" i="23"/>
  <c r="AE48" i="23"/>
  <c r="AJ48" i="23"/>
  <c r="AE47" i="23"/>
  <c r="AE46" i="23"/>
  <c r="AJ46" i="23"/>
  <c r="AD46" i="23"/>
  <c r="AD22" i="23"/>
  <c r="AE21" i="23"/>
  <c r="AD20" i="23"/>
  <c r="AE20" i="23"/>
  <c r="AE19" i="23"/>
  <c r="AE18" i="23"/>
  <c r="AE17" i="23"/>
  <c r="AJ17" i="23"/>
  <c r="AJ19" i="23"/>
  <c r="AJ21" i="23"/>
  <c r="AJ49" i="23"/>
  <c r="AJ53" i="23"/>
  <c r="AJ73" i="23"/>
  <c r="AJ77" i="23"/>
  <c r="AJ81" i="23"/>
  <c r="AJ85" i="23"/>
  <c r="AJ105" i="23"/>
  <c r="AJ109" i="23"/>
  <c r="AJ113" i="23"/>
  <c r="AE16" i="23"/>
  <c r="AJ115" i="23"/>
  <c r="AD110" i="23"/>
  <c r="AD107" i="23"/>
  <c r="AD102" i="23"/>
  <c r="AE101" i="23"/>
  <c r="AE100" i="23"/>
  <c r="AJ100" i="23"/>
  <c r="AE99" i="23"/>
  <c r="AE98" i="23"/>
  <c r="AJ98" i="23"/>
  <c r="AD97" i="23"/>
  <c r="AE97" i="23"/>
  <c r="AD96" i="23"/>
  <c r="AE96" i="23"/>
  <c r="AJ96" i="23"/>
  <c r="AD95" i="23"/>
  <c r="AE95" i="23"/>
  <c r="AE94" i="23"/>
  <c r="AJ94" i="23"/>
  <c r="AE93" i="23"/>
  <c r="AD92" i="23"/>
  <c r="AE92" i="23"/>
  <c r="AJ92" i="23"/>
  <c r="AE91" i="23"/>
  <c r="AE90" i="23"/>
  <c r="AJ90" i="23"/>
  <c r="AD89" i="23"/>
  <c r="AE89" i="23"/>
  <c r="AE88" i="23"/>
  <c r="AJ88" i="23"/>
  <c r="AD87" i="23"/>
  <c r="AE87" i="23"/>
  <c r="AE86" i="23"/>
  <c r="AJ86" i="23"/>
  <c r="AD78" i="23"/>
  <c r="AD75" i="23"/>
  <c r="AD70" i="23"/>
  <c r="AE69" i="23"/>
  <c r="AE68" i="23"/>
  <c r="AJ68" i="23"/>
  <c r="AE67" i="23"/>
  <c r="AD42" i="23"/>
  <c r="AE37" i="23"/>
  <c r="AD36" i="23"/>
  <c r="AE36" i="23"/>
  <c r="AJ36" i="23"/>
  <c r="AE35" i="23"/>
  <c r="AE34" i="23"/>
  <c r="AJ34" i="23"/>
  <c r="AE33" i="23"/>
  <c r="AD32" i="23"/>
  <c r="AE32" i="23"/>
  <c r="AJ32" i="23"/>
  <c r="AE31" i="23"/>
  <c r="AE30" i="23"/>
  <c r="AJ30" i="23"/>
  <c r="AD30" i="23"/>
  <c r="AE29" i="23"/>
  <c r="AE27" i="23"/>
  <c r="AE26" i="23"/>
  <c r="AE25" i="23"/>
  <c r="AE23" i="23"/>
  <c r="AE22" i="23"/>
  <c r="AJ16" i="23"/>
  <c r="AJ18" i="23"/>
  <c r="AJ20" i="23"/>
  <c r="AJ31" i="23"/>
  <c r="AJ35" i="23"/>
  <c r="AJ47" i="23"/>
  <c r="AJ51" i="23"/>
  <c r="AJ67" i="23"/>
  <c r="AJ71" i="23"/>
  <c r="AJ75" i="23"/>
  <c r="AJ79" i="23"/>
  <c r="AJ83" i="23"/>
  <c r="AJ87" i="23"/>
  <c r="AJ91" i="23"/>
  <c r="AJ95" i="23"/>
  <c r="AJ99" i="23"/>
  <c r="AJ103" i="23"/>
  <c r="AJ107" i="23"/>
  <c r="AJ111" i="23"/>
  <c r="AE66" i="23"/>
  <c r="AD65" i="23"/>
  <c r="AE65" i="23"/>
  <c r="AD64" i="23"/>
  <c r="AE64" i="23"/>
  <c r="AD63" i="23"/>
  <c r="AE63" i="23"/>
  <c r="AE62" i="23"/>
  <c r="AE61" i="23"/>
  <c r="AD60" i="23"/>
  <c r="AE60" i="23"/>
  <c r="AD59" i="23"/>
  <c r="AE59" i="23"/>
  <c r="AE58" i="23"/>
  <c r="AE57" i="23"/>
  <c r="AD56" i="23"/>
  <c r="AE56" i="23"/>
  <c r="AD55" i="23"/>
  <c r="AE55" i="23"/>
  <c r="AE54" i="23"/>
  <c r="AE45" i="23"/>
  <c r="AD44" i="23"/>
  <c r="AE44" i="23"/>
  <c r="AD43" i="23"/>
  <c r="AE43" i="23"/>
  <c r="AE42" i="23"/>
  <c r="AE41" i="23"/>
  <c r="AD40" i="23"/>
  <c r="AE40" i="23"/>
  <c r="AD39" i="23"/>
  <c r="AE39" i="23"/>
  <c r="AE38" i="23"/>
  <c r="AD28" i="23"/>
  <c r="AD27" i="23"/>
  <c r="AD24" i="23"/>
  <c r="AD23" i="23"/>
  <c r="AE24" i="23"/>
  <c r="AE28" i="23"/>
  <c r="AJ38" i="23"/>
  <c r="AJ40" i="23"/>
  <c r="AJ42" i="23"/>
  <c r="AJ44" i="23"/>
  <c r="AJ54" i="23"/>
  <c r="AJ56" i="23"/>
  <c r="AJ58" i="23"/>
  <c r="AJ60" i="23"/>
  <c r="AJ62" i="23"/>
  <c r="AJ64" i="23"/>
  <c r="AJ66" i="23"/>
  <c r="AE115" i="23"/>
  <c r="AD72" i="23"/>
  <c r="AD114" i="23"/>
  <c r="AD101" i="23"/>
  <c r="AD100" i="23"/>
  <c r="AD98" i="23"/>
  <c r="AD85" i="23"/>
  <c r="AD84" i="23"/>
  <c r="AD82" i="23"/>
  <c r="AD69" i="23"/>
  <c r="AD68" i="23"/>
  <c r="AD66" i="23"/>
  <c r="AD53" i="23"/>
  <c r="AD45" i="23"/>
  <c r="AD37" i="23"/>
  <c r="AD29" i="23"/>
  <c r="AD21" i="23"/>
  <c r="AD50" i="23"/>
  <c r="AD34" i="23"/>
  <c r="AD26" i="23"/>
  <c r="AD18" i="23"/>
  <c r="AD88" i="23"/>
  <c r="AD58" i="23"/>
  <c r="AD115" i="23"/>
  <c r="AD109" i="23"/>
  <c r="AD106" i="23"/>
  <c r="AD99" i="23"/>
  <c r="AD93" i="23"/>
  <c r="AD90" i="23"/>
  <c r="AD83" i="23"/>
  <c r="AD77" i="23"/>
  <c r="AD74" i="23"/>
  <c r="AD67" i="23"/>
  <c r="AD61" i="23"/>
  <c r="AD57" i="23"/>
  <c r="AD49" i="23"/>
  <c r="AD41" i="23"/>
  <c r="AD33" i="23"/>
  <c r="AD25" i="23"/>
  <c r="AD17" i="23"/>
  <c r="W17" i="26"/>
  <c r="W18" i="26"/>
  <c r="W19" i="26"/>
  <c r="W20" i="26"/>
  <c r="W21" i="26"/>
  <c r="W22" i="26"/>
  <c r="W23" i="26"/>
  <c r="W24" i="26"/>
  <c r="W25" i="26"/>
  <c r="W26" i="26"/>
  <c r="W27" i="26"/>
  <c r="W28" i="26"/>
  <c r="W29" i="26"/>
  <c r="W30" i="26"/>
  <c r="W31" i="26"/>
  <c r="W32" i="26"/>
  <c r="W33" i="26"/>
  <c r="W34" i="26"/>
  <c r="W35" i="26"/>
  <c r="W36" i="26"/>
  <c r="W37" i="26"/>
  <c r="W38" i="26"/>
  <c r="W39" i="26"/>
  <c r="W40" i="26"/>
  <c r="W41" i="26"/>
  <c r="W42" i="26"/>
  <c r="W43" i="26"/>
  <c r="W44" i="26"/>
  <c r="W45" i="26"/>
  <c r="W46" i="26"/>
  <c r="W47" i="26"/>
  <c r="W48" i="26"/>
  <c r="W49" i="26"/>
  <c r="W50" i="26"/>
  <c r="W16" i="26"/>
  <c r="W17" i="25"/>
  <c r="W18" i="25"/>
  <c r="W19" i="25"/>
  <c r="W20" i="25"/>
  <c r="W21" i="25"/>
  <c r="W22" i="25"/>
  <c r="W23" i="25"/>
  <c r="W24" i="25"/>
  <c r="W25" i="25"/>
  <c r="W26" i="25"/>
  <c r="W27" i="25"/>
  <c r="W28" i="25"/>
  <c r="W29" i="25"/>
  <c r="W30" i="25"/>
  <c r="W31" i="25"/>
  <c r="W32" i="25"/>
  <c r="W33" i="25"/>
  <c r="W34" i="25"/>
  <c r="W35" i="25"/>
  <c r="W36" i="25"/>
  <c r="W37" i="25"/>
  <c r="W38" i="25"/>
  <c r="W39" i="25"/>
  <c r="W40" i="25"/>
  <c r="W41" i="25"/>
  <c r="W42" i="25"/>
  <c r="W43" i="25"/>
  <c r="W44" i="25"/>
  <c r="W45" i="25"/>
  <c r="W46" i="25"/>
  <c r="W47" i="25"/>
  <c r="W48" i="25"/>
  <c r="W49" i="25"/>
  <c r="W50" i="25"/>
  <c r="W16" i="25"/>
  <c r="W17" i="24"/>
  <c r="W18" i="24"/>
  <c r="W19" i="24"/>
  <c r="W20" i="24"/>
  <c r="W21" i="24"/>
  <c r="W22" i="24"/>
  <c r="W23" i="24"/>
  <c r="W24" i="24"/>
  <c r="W25" i="24"/>
  <c r="W26" i="24"/>
  <c r="W27" i="24"/>
  <c r="W28" i="24"/>
  <c r="W29" i="24"/>
  <c r="W30" i="24"/>
  <c r="W31" i="24"/>
  <c r="W32" i="24"/>
  <c r="W33" i="24"/>
  <c r="W34" i="24"/>
  <c r="W35" i="24"/>
  <c r="W36" i="24"/>
  <c r="W37" i="24"/>
  <c r="W38" i="24"/>
  <c r="W39" i="24"/>
  <c r="W40" i="24"/>
  <c r="W41" i="24"/>
  <c r="W42" i="24"/>
  <c r="W43" i="24"/>
  <c r="W44" i="24"/>
  <c r="W45" i="24"/>
  <c r="W46" i="24"/>
  <c r="W47" i="24"/>
  <c r="W48" i="24"/>
  <c r="W49" i="24"/>
  <c r="W50" i="24"/>
  <c r="W51" i="24"/>
  <c r="W52" i="24"/>
  <c r="W53" i="24"/>
  <c r="W54" i="24"/>
  <c r="W55" i="24"/>
  <c r="W56" i="24"/>
  <c r="W57" i="24"/>
  <c r="W58" i="24"/>
  <c r="W59" i="24"/>
  <c r="W60" i="24"/>
  <c r="W61" i="24"/>
  <c r="W62" i="24"/>
  <c r="W63" i="24"/>
  <c r="W64" i="24"/>
  <c r="W65" i="24"/>
  <c r="W66" i="24"/>
  <c r="W67" i="24"/>
  <c r="W68" i="24"/>
  <c r="W69" i="24"/>
  <c r="W70" i="24"/>
  <c r="W71" i="24"/>
  <c r="W72" i="24"/>
  <c r="W73" i="24"/>
  <c r="W74" i="24"/>
  <c r="W75" i="24"/>
  <c r="W76" i="24"/>
  <c r="W77" i="24"/>
  <c r="W78" i="24"/>
  <c r="W79" i="24"/>
  <c r="W80" i="24"/>
  <c r="W81" i="24"/>
  <c r="W82" i="24"/>
  <c r="W83" i="24"/>
  <c r="W84" i="24"/>
  <c r="W85" i="24"/>
  <c r="W86" i="24"/>
  <c r="W87" i="24"/>
  <c r="W88" i="24"/>
  <c r="W89" i="24"/>
  <c r="W90" i="24"/>
  <c r="W16" i="24"/>
  <c r="W17" i="23"/>
  <c r="W18" i="23"/>
  <c r="W19" i="23"/>
  <c r="W20" i="23"/>
  <c r="W21" i="23"/>
  <c r="W22" i="23"/>
  <c r="W23" i="23"/>
  <c r="W24" i="23"/>
  <c r="W25" i="23"/>
  <c r="W26" i="23"/>
  <c r="W27" i="23"/>
  <c r="W28" i="23"/>
  <c r="W29" i="23"/>
  <c r="W30" i="23"/>
  <c r="W31" i="23"/>
  <c r="W32" i="23"/>
  <c r="W33" i="23"/>
  <c r="W34" i="23"/>
  <c r="W35" i="23"/>
  <c r="W36" i="23"/>
  <c r="W37" i="23"/>
  <c r="W38" i="23"/>
  <c r="W39" i="23"/>
  <c r="W40" i="23"/>
  <c r="W41" i="23"/>
  <c r="W42" i="23"/>
  <c r="W43" i="23"/>
  <c r="W44" i="23"/>
  <c r="W45" i="23"/>
  <c r="W46" i="23"/>
  <c r="W47" i="23"/>
  <c r="W48" i="23"/>
  <c r="W49" i="23"/>
  <c r="W50" i="23"/>
  <c r="W51" i="23"/>
  <c r="W52" i="23"/>
  <c r="W53" i="23"/>
  <c r="W54" i="23"/>
  <c r="W55" i="23"/>
  <c r="W56" i="23"/>
  <c r="W57" i="23"/>
  <c r="W58" i="23"/>
  <c r="W59" i="23"/>
  <c r="W60" i="23"/>
  <c r="W61" i="23"/>
  <c r="W62" i="23"/>
  <c r="W63" i="23"/>
  <c r="W64" i="23"/>
  <c r="W65" i="23"/>
  <c r="W66" i="23"/>
  <c r="W67" i="23"/>
  <c r="W68" i="23"/>
  <c r="W69" i="23"/>
  <c r="W70" i="23"/>
  <c r="W71" i="23"/>
  <c r="W72" i="23"/>
  <c r="W73" i="23"/>
  <c r="W74" i="23"/>
  <c r="W75" i="23"/>
  <c r="W76" i="23"/>
  <c r="W77" i="23"/>
  <c r="W78" i="23"/>
  <c r="W79" i="23"/>
  <c r="W80" i="23"/>
  <c r="W81" i="23"/>
  <c r="W82" i="23"/>
  <c r="W83" i="23"/>
  <c r="W84" i="23"/>
  <c r="W85" i="23"/>
  <c r="W86" i="23"/>
  <c r="W87" i="23"/>
  <c r="W88" i="23"/>
  <c r="W89" i="23"/>
  <c r="W90" i="23"/>
  <c r="W91" i="23"/>
  <c r="W92" i="23"/>
  <c r="W93" i="23"/>
  <c r="W94" i="23"/>
  <c r="W95" i="23"/>
  <c r="W96" i="23"/>
  <c r="W97" i="23"/>
  <c r="W98" i="23"/>
  <c r="W99" i="23"/>
  <c r="W100" i="23"/>
  <c r="W101" i="23"/>
  <c r="W102" i="23"/>
  <c r="W103" i="23"/>
  <c r="W104" i="23"/>
  <c r="W105" i="23"/>
  <c r="W106" i="23"/>
  <c r="W107" i="23"/>
  <c r="W108" i="23"/>
  <c r="W109" i="23"/>
  <c r="W110" i="23"/>
  <c r="W111" i="23"/>
  <c r="W112" i="23"/>
  <c r="W113" i="23"/>
  <c r="W114" i="23"/>
  <c r="W115" i="23"/>
  <c r="W16" i="23"/>
  <c r="W17" i="31"/>
  <c r="W18" i="31"/>
  <c r="W19" i="31"/>
  <c r="W20" i="31"/>
  <c r="W21" i="31"/>
  <c r="W22" i="31"/>
  <c r="W23" i="31"/>
  <c r="W24" i="31"/>
  <c r="W25" i="31"/>
  <c r="W26" i="31"/>
  <c r="W27" i="31"/>
  <c r="W28" i="31"/>
  <c r="W29" i="31"/>
  <c r="W30" i="31"/>
  <c r="W31" i="31"/>
  <c r="W32" i="31"/>
  <c r="W33" i="31"/>
  <c r="W34" i="31"/>
  <c r="W35" i="31"/>
  <c r="W36" i="31"/>
  <c r="W37" i="31"/>
  <c r="W38" i="31"/>
  <c r="W39" i="31"/>
  <c r="W40" i="31"/>
  <c r="W41" i="31"/>
  <c r="W42" i="31"/>
  <c r="W43" i="31"/>
  <c r="W44" i="31"/>
  <c r="W45" i="31"/>
  <c r="W46" i="31"/>
  <c r="W47" i="31"/>
  <c r="W48" i="31"/>
  <c r="W49" i="31"/>
  <c r="W50" i="31"/>
  <c r="W16" i="31"/>
  <c r="W17" i="22"/>
  <c r="W18" i="22"/>
  <c r="W19" i="22"/>
  <c r="W20" i="22"/>
  <c r="W21" i="22"/>
  <c r="W22" i="22"/>
  <c r="W23" i="22"/>
  <c r="W24" i="22"/>
  <c r="W25" i="22"/>
  <c r="W26" i="22"/>
  <c r="W27" i="22"/>
  <c r="W28" i="22"/>
  <c r="W29" i="22"/>
  <c r="W30" i="22"/>
  <c r="W31" i="22"/>
  <c r="W32" i="22"/>
  <c r="W33" i="22"/>
  <c r="W34" i="22"/>
  <c r="W35" i="22"/>
  <c r="W36" i="22"/>
  <c r="W37" i="22"/>
  <c r="W38" i="22"/>
  <c r="W39" i="22"/>
  <c r="W40" i="22"/>
  <c r="W41" i="22"/>
  <c r="W42" i="22"/>
  <c r="W43" i="22"/>
  <c r="W44" i="22"/>
  <c r="W45" i="22"/>
  <c r="W46" i="22"/>
  <c r="W47" i="22"/>
  <c r="W48" i="22"/>
  <c r="W49" i="22"/>
  <c r="W50" i="22"/>
  <c r="W51" i="22"/>
  <c r="W52" i="22"/>
  <c r="W53" i="22"/>
  <c r="W54" i="22"/>
  <c r="W55" i="22"/>
  <c r="W56" i="22"/>
  <c r="W57" i="22"/>
  <c r="W58" i="22"/>
  <c r="W59" i="22"/>
  <c r="W60" i="22"/>
  <c r="W61" i="22"/>
  <c r="W62" i="22"/>
  <c r="W63" i="22"/>
  <c r="W64" i="22"/>
  <c r="W65" i="22"/>
  <c r="W16" i="22"/>
  <c r="W66" i="30"/>
  <c r="W67" i="30"/>
  <c r="W68" i="30"/>
  <c r="W69" i="30"/>
  <c r="W70" i="30"/>
  <c r="W71" i="30"/>
  <c r="W72" i="30"/>
  <c r="W73" i="30"/>
  <c r="W74" i="30"/>
  <c r="W75" i="30"/>
  <c r="W65" i="30"/>
  <c r="W64" i="30"/>
  <c r="W63" i="30"/>
  <c r="W62" i="30"/>
  <c r="W61" i="30"/>
  <c r="W60" i="30"/>
  <c r="W59" i="30"/>
  <c r="W58" i="30"/>
  <c r="W57" i="30"/>
  <c r="W56" i="30"/>
  <c r="W55" i="30"/>
  <c r="W54" i="30"/>
  <c r="W53" i="30"/>
  <c r="W52" i="30"/>
  <c r="W51" i="30"/>
  <c r="W50" i="30"/>
  <c r="W49" i="30"/>
  <c r="W48" i="30"/>
  <c r="W47" i="30"/>
  <c r="W46" i="30"/>
  <c r="W45" i="30"/>
  <c r="W44" i="30"/>
  <c r="W43" i="30"/>
  <c r="W42" i="30"/>
  <c r="W41" i="30"/>
  <c r="W40" i="30"/>
  <c r="W39" i="30"/>
  <c r="W38" i="30"/>
  <c r="W37" i="30"/>
  <c r="W36" i="30"/>
  <c r="W35" i="30"/>
  <c r="W34" i="30"/>
  <c r="W33" i="30"/>
  <c r="W32" i="30"/>
  <c r="W31" i="30"/>
  <c r="W30" i="30"/>
  <c r="W29" i="30"/>
  <c r="W28" i="30"/>
  <c r="W27" i="30"/>
  <c r="W26" i="30"/>
  <c r="W25" i="30"/>
  <c r="W24" i="30"/>
  <c r="W23" i="30"/>
  <c r="W22" i="30"/>
  <c r="W21" i="30"/>
  <c r="W20" i="30"/>
  <c r="W19" i="30"/>
  <c r="W18" i="30"/>
  <c r="W17" i="30"/>
  <c r="W16" i="30"/>
  <c r="W17" i="21"/>
  <c r="W18" i="21"/>
  <c r="W19" i="21"/>
  <c r="W20" i="21"/>
  <c r="W21" i="21"/>
  <c r="W22" i="21"/>
  <c r="W23" i="21"/>
  <c r="W24" i="21"/>
  <c r="W25" i="21"/>
  <c r="W26" i="21"/>
  <c r="W27" i="21"/>
  <c r="W28" i="21"/>
  <c r="W29" i="21"/>
  <c r="W30" i="21"/>
  <c r="W31" i="21"/>
  <c r="W32" i="21"/>
  <c r="W33" i="21"/>
  <c r="W34" i="21"/>
  <c r="W35" i="21"/>
  <c r="W36" i="21"/>
  <c r="W37" i="21"/>
  <c r="W38" i="21"/>
  <c r="W39" i="21"/>
  <c r="W40" i="21"/>
  <c r="W41" i="21"/>
  <c r="W42" i="21"/>
  <c r="W43" i="21"/>
  <c r="W44" i="21"/>
  <c r="W45" i="21"/>
  <c r="W46" i="21"/>
  <c r="W47" i="21"/>
  <c r="W48" i="21"/>
  <c r="W49" i="21"/>
  <c r="W50" i="21"/>
  <c r="W51" i="21"/>
  <c r="W52" i="21"/>
  <c r="W53" i="21"/>
  <c r="W54" i="21"/>
  <c r="W55" i="21"/>
  <c r="W56" i="21"/>
  <c r="W57" i="21"/>
  <c r="W58" i="21"/>
  <c r="W59" i="21"/>
  <c r="W60" i="21"/>
  <c r="W61" i="21"/>
  <c r="W62" i="21"/>
  <c r="W63" i="21"/>
  <c r="W64" i="21"/>
  <c r="W65" i="21"/>
  <c r="W16" i="21"/>
  <c r="W16" i="19"/>
  <c r="W17" i="19"/>
  <c r="W18" i="19"/>
  <c r="W19" i="19"/>
  <c r="W20" i="19"/>
  <c r="W21" i="19"/>
  <c r="W22" i="19"/>
  <c r="W23" i="19"/>
  <c r="W24" i="19"/>
  <c r="W25" i="19"/>
  <c r="W26" i="19"/>
  <c r="W27" i="19"/>
  <c r="W28" i="19"/>
  <c r="W29" i="19"/>
  <c r="W30" i="19"/>
  <c r="W31" i="19"/>
  <c r="W32" i="19"/>
  <c r="W33" i="19"/>
  <c r="W34" i="19"/>
  <c r="W35" i="19"/>
  <c r="W36" i="19"/>
  <c r="W37" i="19"/>
  <c r="W38" i="19"/>
  <c r="W39" i="19"/>
  <c r="W40" i="19"/>
  <c r="W41" i="19"/>
  <c r="W42" i="19"/>
  <c r="W43" i="19"/>
  <c r="W44" i="19"/>
  <c r="W45" i="19"/>
  <c r="W46" i="19"/>
  <c r="W47" i="19"/>
  <c r="W48" i="19"/>
  <c r="W49" i="19"/>
  <c r="W50" i="19"/>
  <c r="W51" i="19"/>
  <c r="W52" i="19"/>
  <c r="W53" i="19"/>
  <c r="W54" i="19"/>
  <c r="W55" i="19"/>
  <c r="W56" i="19"/>
  <c r="W57" i="19"/>
  <c r="W58" i="19"/>
  <c r="W59" i="19"/>
  <c r="W60" i="19"/>
  <c r="W61" i="19"/>
  <c r="W62" i="19"/>
  <c r="W63" i="19"/>
  <c r="W64" i="19"/>
  <c r="W15" i="19"/>
  <c r="AF17" i="20"/>
  <c r="AG17" i="20"/>
  <c r="AH17" i="20"/>
  <c r="AI17" i="20"/>
  <c r="AF18" i="20"/>
  <c r="AG18" i="20"/>
  <c r="AH18" i="20"/>
  <c r="AI18" i="20"/>
  <c r="AF19" i="20"/>
  <c r="AG19" i="20"/>
  <c r="AH19" i="20"/>
  <c r="AI19" i="20"/>
  <c r="AF20" i="20"/>
  <c r="AG20" i="20"/>
  <c r="AH20" i="20"/>
  <c r="AI20" i="20"/>
  <c r="AF21" i="20"/>
  <c r="AG21" i="20"/>
  <c r="AH21" i="20"/>
  <c r="AI21" i="20"/>
  <c r="AF22" i="20"/>
  <c r="AG22" i="20"/>
  <c r="AH22" i="20"/>
  <c r="AI22" i="20"/>
  <c r="AF23" i="20"/>
  <c r="AG23" i="20"/>
  <c r="AH23" i="20"/>
  <c r="AI23" i="20"/>
  <c r="AF24" i="20"/>
  <c r="AG24" i="20"/>
  <c r="AH24" i="20"/>
  <c r="AI24" i="20"/>
  <c r="AF25" i="20"/>
  <c r="AG25" i="20"/>
  <c r="AH25" i="20"/>
  <c r="AI25" i="20"/>
  <c r="AF26" i="20"/>
  <c r="AG26" i="20"/>
  <c r="AH26" i="20"/>
  <c r="AI26" i="20"/>
  <c r="AF27" i="20"/>
  <c r="AG27" i="20"/>
  <c r="AH27" i="20"/>
  <c r="AI27" i="20"/>
  <c r="AF28" i="20"/>
  <c r="AG28" i="20"/>
  <c r="AH28" i="20"/>
  <c r="AI28" i="20"/>
  <c r="AF29" i="20"/>
  <c r="AG29" i="20"/>
  <c r="AH29" i="20"/>
  <c r="AI29" i="20"/>
  <c r="AF30" i="20"/>
  <c r="AG30" i="20"/>
  <c r="AH30" i="20"/>
  <c r="AI30" i="20"/>
  <c r="AF31" i="20"/>
  <c r="AG31" i="20"/>
  <c r="AH31" i="20"/>
  <c r="AI31" i="20"/>
  <c r="AF32" i="20"/>
  <c r="AG32" i="20"/>
  <c r="AH32" i="20"/>
  <c r="AI32" i="20"/>
  <c r="AF33" i="20"/>
  <c r="AG33" i="20"/>
  <c r="AH33" i="20"/>
  <c r="AI33" i="20"/>
  <c r="AF34" i="20"/>
  <c r="AG34" i="20"/>
  <c r="AH34" i="20"/>
  <c r="AI34" i="20"/>
  <c r="AF35" i="20"/>
  <c r="AG35" i="20"/>
  <c r="AH35" i="20"/>
  <c r="AI35" i="20"/>
  <c r="AF36" i="20"/>
  <c r="AG36" i="20"/>
  <c r="AH36" i="20"/>
  <c r="AI36" i="20"/>
  <c r="AF37" i="20"/>
  <c r="AG37" i="20"/>
  <c r="AH37" i="20"/>
  <c r="AI37" i="20"/>
  <c r="AF38" i="20"/>
  <c r="AG38" i="20"/>
  <c r="AH38" i="20"/>
  <c r="AI38" i="20"/>
  <c r="AF39" i="20"/>
  <c r="AG39" i="20"/>
  <c r="AH39" i="20"/>
  <c r="AI39" i="20"/>
  <c r="AF40" i="20"/>
  <c r="AG40" i="20"/>
  <c r="AH40" i="20"/>
  <c r="AI40" i="20"/>
  <c r="AF41" i="20"/>
  <c r="AG41" i="20"/>
  <c r="AH41" i="20"/>
  <c r="AI41" i="20"/>
  <c r="AF42" i="20"/>
  <c r="AG42" i="20"/>
  <c r="AH42" i="20"/>
  <c r="AI42" i="20"/>
  <c r="AF43" i="20"/>
  <c r="AG43" i="20"/>
  <c r="AH43" i="20"/>
  <c r="AI43" i="20"/>
  <c r="AF44" i="20"/>
  <c r="AG44" i="20"/>
  <c r="AH44" i="20"/>
  <c r="AI44" i="20"/>
  <c r="AF45" i="20"/>
  <c r="AG45" i="20"/>
  <c r="AH45" i="20"/>
  <c r="AI45" i="20"/>
  <c r="AF46" i="20"/>
  <c r="AG46" i="20"/>
  <c r="AH46" i="20"/>
  <c r="AI46" i="20"/>
  <c r="AF47" i="20"/>
  <c r="AG47" i="20"/>
  <c r="AH47" i="20"/>
  <c r="AI47" i="20"/>
  <c r="AF48" i="20"/>
  <c r="AG48" i="20"/>
  <c r="AH48" i="20"/>
  <c r="AI48" i="20"/>
  <c r="AF49" i="20"/>
  <c r="AG49" i="20"/>
  <c r="AH49" i="20"/>
  <c r="AI49" i="20"/>
  <c r="AF50" i="20"/>
  <c r="AG50" i="20"/>
  <c r="AH50" i="20"/>
  <c r="AI50" i="20"/>
  <c r="AF51" i="20"/>
  <c r="AG51" i="20"/>
  <c r="AH51" i="20"/>
  <c r="AI51" i="20"/>
  <c r="AF52" i="20"/>
  <c r="AG52" i="20"/>
  <c r="AH52" i="20"/>
  <c r="AI52" i="20"/>
  <c r="AF53" i="20"/>
  <c r="AG53" i="20"/>
  <c r="AH53" i="20"/>
  <c r="AI53" i="20"/>
  <c r="AF54" i="20"/>
  <c r="AG54" i="20"/>
  <c r="AH54" i="20"/>
  <c r="AI54" i="20"/>
  <c r="AF55" i="20"/>
  <c r="AG55" i="20"/>
  <c r="AH55" i="20"/>
  <c r="AI55" i="20"/>
  <c r="AF56" i="20"/>
  <c r="AG56" i="20"/>
  <c r="AH56" i="20"/>
  <c r="AI56" i="20"/>
  <c r="AF57" i="20"/>
  <c r="AG57" i="20"/>
  <c r="AH57" i="20"/>
  <c r="AI57" i="20"/>
  <c r="AF58" i="20"/>
  <c r="AG58" i="20"/>
  <c r="AH58" i="20"/>
  <c r="AI58" i="20"/>
  <c r="AF59" i="20"/>
  <c r="AG59" i="20"/>
  <c r="AH59" i="20"/>
  <c r="AI59" i="20"/>
  <c r="AF60" i="20"/>
  <c r="AG60" i="20"/>
  <c r="AH60" i="20"/>
  <c r="AI60" i="20"/>
  <c r="AF61" i="20"/>
  <c r="AG61" i="20"/>
  <c r="AH61" i="20"/>
  <c r="AI61" i="20"/>
  <c r="AF62" i="20"/>
  <c r="AG62" i="20"/>
  <c r="AH62" i="20"/>
  <c r="AI62" i="20"/>
  <c r="AF63" i="20"/>
  <c r="AG63" i="20"/>
  <c r="AH63" i="20"/>
  <c r="AI63" i="20"/>
  <c r="AF64" i="20"/>
  <c r="AG64" i="20"/>
  <c r="AH64" i="20"/>
  <c r="AI64" i="20"/>
  <c r="AF65" i="20"/>
  <c r="AG65" i="20"/>
  <c r="AH65" i="20"/>
  <c r="AI65" i="20"/>
  <c r="AF17" i="21"/>
  <c r="AG17" i="21"/>
  <c r="AH17" i="21"/>
  <c r="AI17" i="21"/>
  <c r="AF18" i="21"/>
  <c r="AG18" i="21"/>
  <c r="AH18" i="21"/>
  <c r="AI18" i="21"/>
  <c r="AF19" i="21"/>
  <c r="AG19" i="21"/>
  <c r="AH19" i="21"/>
  <c r="AI19" i="21"/>
  <c r="AE19" i="21" s="1"/>
  <c r="AF20" i="21"/>
  <c r="AG20" i="21"/>
  <c r="AH20" i="21"/>
  <c r="AI20" i="21"/>
  <c r="AF21" i="21"/>
  <c r="AG21" i="21"/>
  <c r="AH21" i="21"/>
  <c r="AI21" i="21"/>
  <c r="AF22" i="21"/>
  <c r="AG22" i="21"/>
  <c r="AH22" i="21"/>
  <c r="AI22" i="21"/>
  <c r="AF23" i="21"/>
  <c r="AG23" i="21"/>
  <c r="AH23" i="21"/>
  <c r="AI23" i="21"/>
  <c r="AE23" i="21" s="1"/>
  <c r="AF24" i="21"/>
  <c r="AG24" i="21"/>
  <c r="AH24" i="21"/>
  <c r="AI24" i="21"/>
  <c r="AF25" i="21"/>
  <c r="AG25" i="21"/>
  <c r="AH25" i="21"/>
  <c r="AI25" i="21"/>
  <c r="AF26" i="21"/>
  <c r="AG26" i="21"/>
  <c r="AH26" i="21"/>
  <c r="AI26" i="21"/>
  <c r="AF27" i="21"/>
  <c r="AG27" i="21"/>
  <c r="AH27" i="21"/>
  <c r="AI27" i="21"/>
  <c r="AJ27" i="21" s="1"/>
  <c r="AF28" i="21"/>
  <c r="AG28" i="21"/>
  <c r="AH28" i="21"/>
  <c r="AI28" i="21"/>
  <c r="AF29" i="21"/>
  <c r="AG29" i="21"/>
  <c r="AH29" i="21"/>
  <c r="AI29" i="21"/>
  <c r="AF30" i="21"/>
  <c r="AG30" i="21"/>
  <c r="AH30" i="21"/>
  <c r="AI30" i="21"/>
  <c r="AF31" i="21"/>
  <c r="AG31" i="21"/>
  <c r="AH31" i="21"/>
  <c r="AI31" i="21"/>
  <c r="AF32" i="21"/>
  <c r="AG32" i="21"/>
  <c r="AH32" i="21"/>
  <c r="AI32" i="21"/>
  <c r="AF33" i="21"/>
  <c r="AG33" i="21"/>
  <c r="AH33" i="21"/>
  <c r="AI33" i="21"/>
  <c r="AF34" i="21"/>
  <c r="AG34" i="21"/>
  <c r="AH34" i="21"/>
  <c r="AI34" i="21"/>
  <c r="AF35" i="21"/>
  <c r="AG35" i="21"/>
  <c r="AH35" i="21"/>
  <c r="AI35" i="21"/>
  <c r="AJ35" i="21" s="1"/>
  <c r="AF36" i="21"/>
  <c r="AG36" i="21"/>
  <c r="AH36" i="21"/>
  <c r="AI36" i="21"/>
  <c r="AF37" i="21"/>
  <c r="AG37" i="21"/>
  <c r="AH37" i="21"/>
  <c r="AI37" i="21"/>
  <c r="AF38" i="21"/>
  <c r="AG38" i="21"/>
  <c r="AH38" i="21"/>
  <c r="AI38" i="21"/>
  <c r="AF39" i="21"/>
  <c r="AG39" i="21"/>
  <c r="AH39" i="21"/>
  <c r="AI39" i="21"/>
  <c r="AJ39" i="21" s="1"/>
  <c r="AF40" i="21"/>
  <c r="AG40" i="21"/>
  <c r="AH40" i="21"/>
  <c r="AI40" i="21"/>
  <c r="AF41" i="21"/>
  <c r="AG41" i="21"/>
  <c r="AH41" i="21"/>
  <c r="AI41" i="21"/>
  <c r="AF42" i="21"/>
  <c r="AG42" i="21"/>
  <c r="AH42" i="21"/>
  <c r="AI42" i="21"/>
  <c r="AF43" i="21"/>
  <c r="AG43" i="21"/>
  <c r="AH43" i="21"/>
  <c r="AI43" i="21"/>
  <c r="AJ43" i="21" s="1"/>
  <c r="AF44" i="21"/>
  <c r="AG44" i="21"/>
  <c r="AH44" i="21"/>
  <c r="AI44" i="21"/>
  <c r="AF45" i="21"/>
  <c r="AG45" i="21"/>
  <c r="AH45" i="21"/>
  <c r="AI45" i="21"/>
  <c r="AF46" i="21"/>
  <c r="AG46" i="21"/>
  <c r="AH46" i="21"/>
  <c r="AI46" i="21"/>
  <c r="AF47" i="21"/>
  <c r="AG47" i="21"/>
  <c r="AH47" i="21"/>
  <c r="AI47" i="21"/>
  <c r="AJ47" i="21" s="1"/>
  <c r="AF48" i="21"/>
  <c r="AG48" i="21"/>
  <c r="AH48" i="21"/>
  <c r="AI48" i="21"/>
  <c r="AF49" i="21"/>
  <c r="AG49" i="21"/>
  <c r="AH49" i="21"/>
  <c r="AI49" i="21"/>
  <c r="AF50" i="21"/>
  <c r="AG50" i="21"/>
  <c r="AH50" i="21"/>
  <c r="AI50" i="21"/>
  <c r="AF51" i="21"/>
  <c r="AG51" i="21"/>
  <c r="AH51" i="21"/>
  <c r="AI51" i="21"/>
  <c r="AJ51" i="21" s="1"/>
  <c r="AF52" i="21"/>
  <c r="AG52" i="21"/>
  <c r="AH52" i="21"/>
  <c r="AI52" i="21"/>
  <c r="AF53" i="21"/>
  <c r="AG53" i="21"/>
  <c r="AH53" i="21"/>
  <c r="AI53" i="21"/>
  <c r="AF54" i="21"/>
  <c r="AG54" i="21"/>
  <c r="AH54" i="21"/>
  <c r="AI54" i="21"/>
  <c r="AF55" i="21"/>
  <c r="AG55" i="21"/>
  <c r="AH55" i="21"/>
  <c r="AI55" i="21"/>
  <c r="AJ55" i="21" s="1"/>
  <c r="AF56" i="21"/>
  <c r="AG56" i="21"/>
  <c r="AH56" i="21"/>
  <c r="AI56" i="21"/>
  <c r="AF57" i="21"/>
  <c r="AG57" i="21"/>
  <c r="AH57" i="21"/>
  <c r="AI57" i="21"/>
  <c r="AF58" i="21"/>
  <c r="AG58" i="21"/>
  <c r="AH58" i="21"/>
  <c r="AI58" i="21"/>
  <c r="AF59" i="21"/>
  <c r="AG59" i="21"/>
  <c r="AH59" i="21"/>
  <c r="AI59" i="21"/>
  <c r="AJ59" i="21" s="1"/>
  <c r="AF60" i="21"/>
  <c r="AG60" i="21"/>
  <c r="AH60" i="21"/>
  <c r="AI60" i="21"/>
  <c r="AF61" i="21"/>
  <c r="AG61" i="21"/>
  <c r="AH61" i="21"/>
  <c r="AI61" i="21"/>
  <c r="AF62" i="21"/>
  <c r="AG62" i="21"/>
  <c r="AH62" i="21"/>
  <c r="AI62" i="21"/>
  <c r="AF63" i="21"/>
  <c r="AG63" i="21"/>
  <c r="AH63" i="21"/>
  <c r="AI63" i="21"/>
  <c r="AJ63" i="21" s="1"/>
  <c r="AF64" i="21"/>
  <c r="AG64" i="21"/>
  <c r="AH64" i="21"/>
  <c r="AI64" i="21"/>
  <c r="AF65" i="21"/>
  <c r="AG65" i="21"/>
  <c r="AH65" i="21"/>
  <c r="AI65" i="21"/>
  <c r="AF17" i="30"/>
  <c r="AG17" i="30"/>
  <c r="AH17" i="30"/>
  <c r="AI17" i="30"/>
  <c r="AF18" i="30"/>
  <c r="AG18" i="30"/>
  <c r="AH18" i="30"/>
  <c r="AI18" i="30"/>
  <c r="AF19" i="30"/>
  <c r="AG19" i="30"/>
  <c r="AH19" i="30"/>
  <c r="AI19" i="30"/>
  <c r="AF20" i="30"/>
  <c r="AG20" i="30"/>
  <c r="AH20" i="30"/>
  <c r="AI20" i="30"/>
  <c r="AF21" i="30"/>
  <c r="AG21" i="30"/>
  <c r="AH21" i="30"/>
  <c r="AI21" i="30"/>
  <c r="AF22" i="30"/>
  <c r="AG22" i="30"/>
  <c r="AH22" i="30"/>
  <c r="AJ22" i="30" s="1"/>
  <c r="AI22" i="30"/>
  <c r="AF23" i="30"/>
  <c r="AG23" i="30"/>
  <c r="AH23" i="30"/>
  <c r="AI23" i="30"/>
  <c r="AF24" i="30"/>
  <c r="AG24" i="30"/>
  <c r="AH24" i="30"/>
  <c r="AI24" i="30"/>
  <c r="AJ24" i="30"/>
  <c r="AF25" i="30"/>
  <c r="AG25" i="30"/>
  <c r="AH25" i="30"/>
  <c r="AI25" i="30"/>
  <c r="AF26" i="30"/>
  <c r="AG26" i="30"/>
  <c r="AH26" i="30"/>
  <c r="AI26" i="30"/>
  <c r="AF27" i="30"/>
  <c r="AG27" i="30"/>
  <c r="AH27" i="30"/>
  <c r="AI27" i="30"/>
  <c r="AE27" i="30" s="1"/>
  <c r="AF28" i="30"/>
  <c r="AG28" i="30"/>
  <c r="AH28" i="30"/>
  <c r="AI28" i="30"/>
  <c r="AF29" i="30"/>
  <c r="AG29" i="30"/>
  <c r="AH29" i="30"/>
  <c r="AI29" i="30"/>
  <c r="AF30" i="30"/>
  <c r="AG30" i="30"/>
  <c r="AH30" i="30"/>
  <c r="AJ30" i="30" s="1"/>
  <c r="AI30" i="30"/>
  <c r="AF31" i="30"/>
  <c r="AG31" i="30"/>
  <c r="AH31" i="30"/>
  <c r="AI31" i="30"/>
  <c r="AF32" i="30"/>
  <c r="AG32" i="30"/>
  <c r="AH32" i="30"/>
  <c r="AI32" i="30"/>
  <c r="AF33" i="30"/>
  <c r="AG33" i="30"/>
  <c r="AH33" i="30"/>
  <c r="AI33" i="30"/>
  <c r="AF34" i="30"/>
  <c r="AG34" i="30"/>
  <c r="AH34" i="30"/>
  <c r="AJ34" i="30" s="1"/>
  <c r="AI34" i="30"/>
  <c r="AF35" i="30"/>
  <c r="AG35" i="30"/>
  <c r="AH35" i="30"/>
  <c r="AI35" i="30"/>
  <c r="AF36" i="30"/>
  <c r="AG36" i="30"/>
  <c r="AH36" i="30"/>
  <c r="AI36" i="30"/>
  <c r="AF37" i="30"/>
  <c r="AG37" i="30"/>
  <c r="AH37" i="30"/>
  <c r="AI37" i="30"/>
  <c r="AF38" i="30"/>
  <c r="AG38" i="30"/>
  <c r="AH38" i="30"/>
  <c r="AD38" i="30" s="1"/>
  <c r="AI38" i="30"/>
  <c r="AF39" i="30"/>
  <c r="AG39" i="30"/>
  <c r="AH39" i="30"/>
  <c r="AI39" i="30"/>
  <c r="AF40" i="30"/>
  <c r="AG40" i="30"/>
  <c r="AH40" i="30"/>
  <c r="AI40" i="30"/>
  <c r="AF41" i="30"/>
  <c r="AG41" i="30"/>
  <c r="AH41" i="30"/>
  <c r="AI41" i="30"/>
  <c r="AF42" i="30"/>
  <c r="AG42" i="30"/>
  <c r="AH42" i="30"/>
  <c r="AD42" i="30" s="1"/>
  <c r="AI42" i="30"/>
  <c r="AF43" i="30"/>
  <c r="AG43" i="30"/>
  <c r="AH43" i="30"/>
  <c r="AI43" i="30"/>
  <c r="AF44" i="30"/>
  <c r="AG44" i="30"/>
  <c r="AH44" i="30"/>
  <c r="AI44" i="30"/>
  <c r="AF45" i="30"/>
  <c r="AG45" i="30"/>
  <c r="AH45" i="30"/>
  <c r="AI45" i="30"/>
  <c r="AF46" i="30"/>
  <c r="AG46" i="30"/>
  <c r="AH46" i="30"/>
  <c r="AD46" i="30" s="1"/>
  <c r="AI46" i="30"/>
  <c r="AF47" i="30"/>
  <c r="AG47" i="30"/>
  <c r="AH47" i="30"/>
  <c r="AI47" i="30"/>
  <c r="AF48" i="30"/>
  <c r="AG48" i="30"/>
  <c r="AH48" i="30"/>
  <c r="AI48" i="30"/>
  <c r="AF49" i="30"/>
  <c r="AG49" i="30"/>
  <c r="AH49" i="30"/>
  <c r="AI49" i="30"/>
  <c r="AF50" i="30"/>
  <c r="AG50" i="30"/>
  <c r="AH50" i="30"/>
  <c r="AJ50" i="30" s="1"/>
  <c r="AI50" i="30"/>
  <c r="AF51" i="30"/>
  <c r="AG51" i="30"/>
  <c r="AH51" i="30"/>
  <c r="AI51" i="30"/>
  <c r="AF52" i="30"/>
  <c r="AG52" i="30"/>
  <c r="AH52" i="30"/>
  <c r="AI52" i="30"/>
  <c r="AF53" i="30"/>
  <c r="AG53" i="30"/>
  <c r="AH53" i="30"/>
  <c r="AI53" i="30"/>
  <c r="AF54" i="30"/>
  <c r="AG54" i="30"/>
  <c r="AH54" i="30"/>
  <c r="AD54" i="30" s="1"/>
  <c r="AI54" i="30"/>
  <c r="AF55" i="30"/>
  <c r="AG55" i="30"/>
  <c r="AH55" i="30"/>
  <c r="AI55" i="30"/>
  <c r="AF56" i="30"/>
  <c r="AG56" i="30"/>
  <c r="AH56" i="30"/>
  <c r="AI56" i="30"/>
  <c r="AF57" i="30"/>
  <c r="AG57" i="30"/>
  <c r="AH57" i="30"/>
  <c r="AI57" i="30"/>
  <c r="AF58" i="30"/>
  <c r="AG58" i="30"/>
  <c r="AH58" i="30"/>
  <c r="AD58" i="30" s="1"/>
  <c r="AI58" i="30"/>
  <c r="AF59" i="30"/>
  <c r="AG59" i="30"/>
  <c r="AH59" i="30"/>
  <c r="AI59" i="30"/>
  <c r="AF60" i="30"/>
  <c r="AG60" i="30"/>
  <c r="AH60" i="30"/>
  <c r="AI60" i="30"/>
  <c r="AF61" i="30"/>
  <c r="AG61" i="30"/>
  <c r="AH61" i="30"/>
  <c r="AI61" i="30"/>
  <c r="AF62" i="30"/>
  <c r="AG62" i="30"/>
  <c r="AH62" i="30"/>
  <c r="AJ62" i="30" s="1"/>
  <c r="AI62" i="30"/>
  <c r="AF63" i="30"/>
  <c r="AG63" i="30"/>
  <c r="AH63" i="30"/>
  <c r="AI63" i="30"/>
  <c r="AF64" i="30"/>
  <c r="AG64" i="30"/>
  <c r="AH64" i="30"/>
  <c r="AI64" i="30"/>
  <c r="AF65" i="30"/>
  <c r="AG65" i="30"/>
  <c r="AH65" i="30"/>
  <c r="AI65" i="30"/>
  <c r="AF66" i="30"/>
  <c r="AG66" i="30"/>
  <c r="AH66" i="30"/>
  <c r="AJ66" i="30" s="1"/>
  <c r="AI66" i="30"/>
  <c r="AF67" i="30"/>
  <c r="AG67" i="30"/>
  <c r="AH67" i="30"/>
  <c r="AI67" i="30"/>
  <c r="AF68" i="30"/>
  <c r="AG68" i="30"/>
  <c r="AH68" i="30"/>
  <c r="AI68" i="30"/>
  <c r="AF69" i="30"/>
  <c r="AG69" i="30"/>
  <c r="AH69" i="30"/>
  <c r="AI69" i="30"/>
  <c r="AF70" i="30"/>
  <c r="AG70" i="30"/>
  <c r="AH70" i="30"/>
  <c r="AJ70" i="30" s="1"/>
  <c r="AI70" i="30"/>
  <c r="AF71" i="30"/>
  <c r="AG71" i="30"/>
  <c r="AH71" i="30"/>
  <c r="AI71" i="30"/>
  <c r="AF72" i="30"/>
  <c r="AG72" i="30"/>
  <c r="AH72" i="30"/>
  <c r="AI72" i="30"/>
  <c r="AF73" i="30"/>
  <c r="AG73" i="30"/>
  <c r="AH73" i="30"/>
  <c r="AI73" i="30"/>
  <c r="AF74" i="30"/>
  <c r="AG74" i="30"/>
  <c r="AH74" i="30"/>
  <c r="AD74" i="30" s="1"/>
  <c r="AI74" i="30"/>
  <c r="AF75" i="30"/>
  <c r="AG75" i="30"/>
  <c r="AH75" i="30"/>
  <c r="AI75" i="30"/>
  <c r="AF17" i="22"/>
  <c r="AG17" i="22"/>
  <c r="AH17" i="22"/>
  <c r="AI17" i="22"/>
  <c r="AF18" i="22"/>
  <c r="AG18" i="22"/>
  <c r="AH18" i="22"/>
  <c r="AD18" i="22" s="1"/>
  <c r="AI18" i="22"/>
  <c r="AF19" i="22"/>
  <c r="AG19" i="22"/>
  <c r="AH19" i="22"/>
  <c r="AD19" i="22" s="1"/>
  <c r="AI19" i="22"/>
  <c r="AF20" i="22"/>
  <c r="AG20" i="22"/>
  <c r="AH20" i="22"/>
  <c r="AI20" i="22"/>
  <c r="AJ20" i="22"/>
  <c r="AF21" i="22"/>
  <c r="AG21" i="22"/>
  <c r="AH21" i="22"/>
  <c r="AI21" i="22"/>
  <c r="AF22" i="22"/>
  <c r="AG22" i="22"/>
  <c r="AH22" i="22"/>
  <c r="AI22" i="22"/>
  <c r="AF23" i="22"/>
  <c r="AG23" i="22"/>
  <c r="AH23" i="22"/>
  <c r="AI23" i="22"/>
  <c r="AE23" i="22" s="1"/>
  <c r="AF24" i="22"/>
  <c r="AG24" i="22"/>
  <c r="AH24" i="22"/>
  <c r="AI24" i="22"/>
  <c r="AF25" i="22"/>
  <c r="AD25" i="22" s="1"/>
  <c r="AG25" i="22"/>
  <c r="AH25" i="22"/>
  <c r="AI25" i="22"/>
  <c r="AF26" i="22"/>
  <c r="AG26" i="22"/>
  <c r="AH26" i="22"/>
  <c r="AD26" i="22" s="1"/>
  <c r="AI26" i="22"/>
  <c r="AF27" i="22"/>
  <c r="AG27" i="22"/>
  <c r="AH27" i="22"/>
  <c r="AI27" i="22"/>
  <c r="AF28" i="22"/>
  <c r="AG28" i="22"/>
  <c r="AH28" i="22"/>
  <c r="AI28" i="22"/>
  <c r="AF29" i="22"/>
  <c r="AG29" i="22"/>
  <c r="AH29" i="22"/>
  <c r="AI29" i="22"/>
  <c r="AF30" i="22"/>
  <c r="AE30" i="22" s="1"/>
  <c r="AG30" i="22"/>
  <c r="AH30" i="22"/>
  <c r="AJ30" i="22" s="1"/>
  <c r="AI30" i="22"/>
  <c r="AF31" i="22"/>
  <c r="AG31" i="22"/>
  <c r="AH31" i="22"/>
  <c r="AI31" i="22"/>
  <c r="AF32" i="22"/>
  <c r="AG32" i="22"/>
  <c r="AH32" i="22"/>
  <c r="AJ32" i="22" s="1"/>
  <c r="AI32" i="22"/>
  <c r="AF33" i="22"/>
  <c r="AG33" i="22"/>
  <c r="AD33" i="22" s="1"/>
  <c r="AH33" i="22"/>
  <c r="AI33" i="22"/>
  <c r="AF34" i="22"/>
  <c r="AG34" i="22"/>
  <c r="AH34" i="22"/>
  <c r="AI34" i="22"/>
  <c r="AF35" i="22"/>
  <c r="AG35" i="22"/>
  <c r="AH35" i="22"/>
  <c r="AI35" i="22"/>
  <c r="AJ35" i="22" s="1"/>
  <c r="AF36" i="22"/>
  <c r="AG36" i="22"/>
  <c r="AH36" i="22"/>
  <c r="AI36" i="22"/>
  <c r="AF37" i="22"/>
  <c r="AG37" i="22"/>
  <c r="AH37" i="22"/>
  <c r="AI37" i="22"/>
  <c r="AF38" i="22"/>
  <c r="AG38" i="22"/>
  <c r="AH38" i="22"/>
  <c r="AE38" i="22" s="1"/>
  <c r="AI38" i="22"/>
  <c r="AF39" i="22"/>
  <c r="AG39" i="22"/>
  <c r="AH39" i="22"/>
  <c r="AI39" i="22"/>
  <c r="AF40" i="22"/>
  <c r="AG40" i="22"/>
  <c r="AH40" i="22"/>
  <c r="AI40" i="22"/>
  <c r="AJ40" i="22"/>
  <c r="AF41" i="22"/>
  <c r="AG41" i="22"/>
  <c r="AH41" i="22"/>
  <c r="AI41" i="22"/>
  <c r="AF42" i="22"/>
  <c r="AG42" i="22"/>
  <c r="AH42" i="22"/>
  <c r="AI42" i="22"/>
  <c r="AF43" i="22"/>
  <c r="AG43" i="22"/>
  <c r="AH43" i="22"/>
  <c r="AI43" i="22"/>
  <c r="AJ43" i="22" s="1"/>
  <c r="AF44" i="22"/>
  <c r="AG44" i="22"/>
  <c r="AH44" i="22"/>
  <c r="AI44" i="22"/>
  <c r="AF45" i="22"/>
  <c r="AG45" i="22"/>
  <c r="AH45" i="22"/>
  <c r="AI45" i="22"/>
  <c r="AF46" i="22"/>
  <c r="AG46" i="22"/>
  <c r="AH46" i="22"/>
  <c r="AI46" i="22"/>
  <c r="AF47" i="22"/>
  <c r="AG47" i="22"/>
  <c r="AH47" i="22"/>
  <c r="AI47" i="22"/>
  <c r="AJ47" i="22" s="1"/>
  <c r="AF48" i="22"/>
  <c r="AG48" i="22"/>
  <c r="AH48" i="22"/>
  <c r="AI48" i="22"/>
  <c r="AF49" i="22"/>
  <c r="AG49" i="22"/>
  <c r="AH49" i="22"/>
  <c r="AI49" i="22"/>
  <c r="AF50" i="22"/>
  <c r="AG50" i="22"/>
  <c r="AH50" i="22"/>
  <c r="AI50" i="22"/>
  <c r="AF51" i="22"/>
  <c r="AG51" i="22"/>
  <c r="AH51" i="22"/>
  <c r="AI51" i="22"/>
  <c r="AJ51" i="22" s="1"/>
  <c r="AF52" i="22"/>
  <c r="AG52" i="22"/>
  <c r="AH52" i="22"/>
  <c r="AI52" i="22"/>
  <c r="AF53" i="22"/>
  <c r="AG53" i="22"/>
  <c r="AH53" i="22"/>
  <c r="AI53" i="22"/>
  <c r="AF54" i="22"/>
  <c r="AG54" i="22"/>
  <c r="AH54" i="22"/>
  <c r="AI54" i="22"/>
  <c r="AF55" i="22"/>
  <c r="AG55" i="22"/>
  <c r="AH55" i="22"/>
  <c r="AI55" i="22"/>
  <c r="AJ55" i="22" s="1"/>
  <c r="AF56" i="22"/>
  <c r="AG56" i="22"/>
  <c r="AH56" i="22"/>
  <c r="AI56" i="22"/>
  <c r="AF57" i="22"/>
  <c r="AG57" i="22"/>
  <c r="AH57" i="22"/>
  <c r="AI57" i="22"/>
  <c r="AF58" i="22"/>
  <c r="AG58" i="22"/>
  <c r="AH58" i="22"/>
  <c r="AE58" i="22" s="1"/>
  <c r="AI58" i="22"/>
  <c r="AF59" i="22"/>
  <c r="AG59" i="22"/>
  <c r="AH59" i="22"/>
  <c r="AI59" i="22"/>
  <c r="AF60" i="22"/>
  <c r="AG60" i="22"/>
  <c r="AH60" i="22"/>
  <c r="AJ60" i="22" s="1"/>
  <c r="AI60" i="22"/>
  <c r="AF61" i="22"/>
  <c r="AG61" i="22"/>
  <c r="AH61" i="22"/>
  <c r="AI61" i="22"/>
  <c r="AF62" i="22"/>
  <c r="AG62" i="22"/>
  <c r="AJ62" i="22" s="1"/>
  <c r="AH62" i="22"/>
  <c r="AI62" i="22"/>
  <c r="AF63" i="22"/>
  <c r="AG63" i="22"/>
  <c r="AH63" i="22"/>
  <c r="AI63" i="22"/>
  <c r="AJ63" i="22" s="1"/>
  <c r="AF64" i="22"/>
  <c r="AG64" i="22"/>
  <c r="AH64" i="22"/>
  <c r="AI64" i="22"/>
  <c r="AF65" i="22"/>
  <c r="AG65" i="22"/>
  <c r="AH65" i="22"/>
  <c r="AI65" i="22"/>
  <c r="AF17" i="31"/>
  <c r="AG17" i="31"/>
  <c r="AH17" i="31"/>
  <c r="AI17" i="31"/>
  <c r="AF18" i="31"/>
  <c r="AG18" i="31"/>
  <c r="AH18" i="31"/>
  <c r="AD18" i="31" s="1"/>
  <c r="AI18" i="31"/>
  <c r="AF19" i="31"/>
  <c r="AG19" i="31"/>
  <c r="AH19" i="31"/>
  <c r="AJ19" i="31" s="1"/>
  <c r="AI19" i="31"/>
  <c r="AF20" i="31"/>
  <c r="AG20" i="31"/>
  <c r="AH20" i="31"/>
  <c r="AI20" i="31"/>
  <c r="AJ20" i="31"/>
  <c r="AF21" i="31"/>
  <c r="AG21" i="31"/>
  <c r="AH21" i="31"/>
  <c r="AI21" i="31"/>
  <c r="AF22" i="31"/>
  <c r="AG22" i="31"/>
  <c r="AH22" i="31"/>
  <c r="AI22" i="31"/>
  <c r="AF23" i="31"/>
  <c r="AG23" i="31"/>
  <c r="AH23" i="31"/>
  <c r="AI23" i="31"/>
  <c r="AJ23" i="31" s="1"/>
  <c r="AF24" i="31"/>
  <c r="AG24" i="31"/>
  <c r="AH24" i="31"/>
  <c r="AI24" i="31"/>
  <c r="AF25" i="31"/>
  <c r="AG25" i="31"/>
  <c r="AH25" i="31"/>
  <c r="AI25" i="31"/>
  <c r="AF26" i="31"/>
  <c r="AE26" i="31" s="1"/>
  <c r="AG26" i="31"/>
  <c r="AH26" i="31"/>
  <c r="AD26" i="31" s="1"/>
  <c r="AI26" i="31"/>
  <c r="AF27" i="31"/>
  <c r="AD27" i="31" s="1"/>
  <c r="AG27" i="31"/>
  <c r="AH27" i="31"/>
  <c r="AI27" i="31"/>
  <c r="AF28" i="31"/>
  <c r="AG28" i="31"/>
  <c r="AH28" i="31"/>
  <c r="AI28" i="31"/>
  <c r="AJ28" i="31"/>
  <c r="AF29" i="31"/>
  <c r="AG29" i="31"/>
  <c r="AH29" i="31"/>
  <c r="AI29" i="31"/>
  <c r="AF30" i="31"/>
  <c r="AG30" i="31"/>
  <c r="AH30" i="31"/>
  <c r="AI30" i="31"/>
  <c r="AF31" i="31"/>
  <c r="AG31" i="31"/>
  <c r="AH31" i="31"/>
  <c r="AI31" i="31"/>
  <c r="AJ31" i="31" s="1"/>
  <c r="AF32" i="31"/>
  <c r="AG32" i="31"/>
  <c r="AH32" i="31"/>
  <c r="AI32" i="31"/>
  <c r="AF33" i="31"/>
  <c r="AG33" i="31"/>
  <c r="AH33" i="31"/>
  <c r="AI33" i="31"/>
  <c r="AF34" i="31"/>
  <c r="AG34" i="31"/>
  <c r="AH34" i="31"/>
  <c r="AD34" i="31" s="1"/>
  <c r="AI34" i="31"/>
  <c r="AF35" i="31"/>
  <c r="AG35" i="31"/>
  <c r="AH35" i="31"/>
  <c r="AI35" i="31"/>
  <c r="AF36" i="31"/>
  <c r="AG36" i="31"/>
  <c r="AH36" i="31"/>
  <c r="AI36" i="31"/>
  <c r="AJ36" i="31"/>
  <c r="AF37" i="31"/>
  <c r="AG37" i="31"/>
  <c r="AH37" i="31"/>
  <c r="AI37" i="31"/>
  <c r="AF38" i="31"/>
  <c r="AG38" i="31"/>
  <c r="AH38" i="31"/>
  <c r="AI38" i="31"/>
  <c r="AF39" i="31"/>
  <c r="AG39" i="31"/>
  <c r="AH39" i="31"/>
  <c r="AI39" i="31"/>
  <c r="AJ39" i="31" s="1"/>
  <c r="AF40" i="31"/>
  <c r="AG40" i="31"/>
  <c r="AH40" i="31"/>
  <c r="AI40" i="31"/>
  <c r="AJ40" i="31"/>
  <c r="AF41" i="31"/>
  <c r="AG41" i="31"/>
  <c r="AH41" i="31"/>
  <c r="AI41" i="31"/>
  <c r="AF42" i="31"/>
  <c r="AG42" i="31"/>
  <c r="AH42" i="31"/>
  <c r="AI42" i="31"/>
  <c r="AF43" i="31"/>
  <c r="AG43" i="31"/>
  <c r="AH43" i="31"/>
  <c r="AI43" i="31"/>
  <c r="AJ43" i="31" s="1"/>
  <c r="AF44" i="31"/>
  <c r="AG44" i="31"/>
  <c r="AH44" i="31"/>
  <c r="AI44" i="31"/>
  <c r="AF45" i="31"/>
  <c r="AG45" i="31"/>
  <c r="AH45" i="31"/>
  <c r="AI45" i="31"/>
  <c r="AF46" i="31"/>
  <c r="AG46" i="31"/>
  <c r="AH46" i="31"/>
  <c r="AI46" i="31"/>
  <c r="AF47" i="31"/>
  <c r="AG47" i="31"/>
  <c r="AH47" i="31"/>
  <c r="AI47" i="31"/>
  <c r="AJ47" i="31" s="1"/>
  <c r="AF48" i="31"/>
  <c r="AG48" i="31"/>
  <c r="AH48" i="31"/>
  <c r="AI48" i="31"/>
  <c r="AF49" i="31"/>
  <c r="AG49" i="31"/>
  <c r="AH49" i="31"/>
  <c r="AI49" i="31"/>
  <c r="AF50" i="31"/>
  <c r="AG50" i="31"/>
  <c r="AH50" i="31"/>
  <c r="AI50" i="31"/>
  <c r="AF17" i="24"/>
  <c r="AG17" i="24"/>
  <c r="AH17" i="24"/>
  <c r="AI17" i="24"/>
  <c r="AF18" i="24"/>
  <c r="AG18" i="24"/>
  <c r="AH18" i="24"/>
  <c r="AI18" i="24"/>
  <c r="AF19" i="24"/>
  <c r="AG19" i="24"/>
  <c r="AH19" i="24"/>
  <c r="AI19" i="24"/>
  <c r="AF20" i="24"/>
  <c r="AG20" i="24"/>
  <c r="AH20" i="24"/>
  <c r="AI20" i="24"/>
  <c r="AF21" i="24"/>
  <c r="AG21" i="24"/>
  <c r="AJ21" i="24" s="1"/>
  <c r="AH21" i="24"/>
  <c r="AI21" i="24"/>
  <c r="AF22" i="24"/>
  <c r="AG22" i="24"/>
  <c r="AH22" i="24"/>
  <c r="AI22" i="24"/>
  <c r="AF23" i="24"/>
  <c r="AG23" i="24"/>
  <c r="AH23" i="24"/>
  <c r="AI23" i="24"/>
  <c r="AJ23" i="24" s="1"/>
  <c r="AF24" i="24"/>
  <c r="AG24" i="24"/>
  <c r="AH24" i="24"/>
  <c r="AI24" i="24"/>
  <c r="AF25" i="24"/>
  <c r="AG25" i="24"/>
  <c r="AH25" i="24"/>
  <c r="AI25" i="24"/>
  <c r="AF26" i="24"/>
  <c r="AG26" i="24"/>
  <c r="AH26" i="24"/>
  <c r="AE26" i="24" s="1"/>
  <c r="AI26" i="24"/>
  <c r="AF27" i="24"/>
  <c r="AG27" i="24"/>
  <c r="AH27" i="24"/>
  <c r="AI27" i="24"/>
  <c r="AF28" i="24"/>
  <c r="AG28" i="24"/>
  <c r="AH28" i="24"/>
  <c r="AI28" i="24"/>
  <c r="AJ28" i="24"/>
  <c r="AF29" i="24"/>
  <c r="AG29" i="24"/>
  <c r="AH29" i="24"/>
  <c r="AI29" i="24"/>
  <c r="AF30" i="24"/>
  <c r="AG30" i="24"/>
  <c r="AH30" i="24"/>
  <c r="AI30" i="24"/>
  <c r="AF31" i="24"/>
  <c r="AG31" i="24"/>
  <c r="AH31" i="24"/>
  <c r="AI31" i="24"/>
  <c r="AJ31" i="24" s="1"/>
  <c r="AF32" i="24"/>
  <c r="AG32" i="24"/>
  <c r="AH32" i="24"/>
  <c r="AI32" i="24"/>
  <c r="AF33" i="24"/>
  <c r="AG33" i="24"/>
  <c r="AH33" i="24"/>
  <c r="AI33" i="24"/>
  <c r="AF34" i="24"/>
  <c r="AG34" i="24"/>
  <c r="AH34" i="24"/>
  <c r="AE34" i="24" s="1"/>
  <c r="AI34" i="24"/>
  <c r="AF35" i="24"/>
  <c r="AG35" i="24"/>
  <c r="AH35" i="24"/>
  <c r="AI35" i="24"/>
  <c r="AF36" i="24"/>
  <c r="AG36" i="24"/>
  <c r="AH36" i="24"/>
  <c r="AI36" i="24"/>
  <c r="AF37" i="24"/>
  <c r="AE37" i="24" s="1"/>
  <c r="AG37" i="24"/>
  <c r="AH37" i="24"/>
  <c r="AI37" i="24"/>
  <c r="AF38" i="24"/>
  <c r="AG38" i="24"/>
  <c r="AH38" i="24"/>
  <c r="AE38" i="24" s="1"/>
  <c r="AI38" i="24"/>
  <c r="AF39" i="24"/>
  <c r="AG39" i="24"/>
  <c r="AH39" i="24"/>
  <c r="AI39" i="24"/>
  <c r="AF40" i="24"/>
  <c r="AG40" i="24"/>
  <c r="AH40" i="24"/>
  <c r="AI40" i="24"/>
  <c r="AJ40" i="24"/>
  <c r="AF41" i="24"/>
  <c r="AG41" i="24"/>
  <c r="AH41" i="24"/>
  <c r="AI41" i="24"/>
  <c r="AF42" i="24"/>
  <c r="AG42" i="24"/>
  <c r="AH42" i="24"/>
  <c r="AI42" i="24"/>
  <c r="AF43" i="24"/>
  <c r="AG43" i="24"/>
  <c r="AH43" i="24"/>
  <c r="AI43" i="24"/>
  <c r="AJ43" i="24" s="1"/>
  <c r="AF44" i="24"/>
  <c r="AG44" i="24"/>
  <c r="AH44" i="24"/>
  <c r="AI44" i="24"/>
  <c r="AF45" i="24"/>
  <c r="AG45" i="24"/>
  <c r="AH45" i="24"/>
  <c r="AI45" i="24"/>
  <c r="AF46" i="24"/>
  <c r="AG46" i="24"/>
  <c r="AH46" i="24"/>
  <c r="AE46" i="24" s="1"/>
  <c r="AI46" i="24"/>
  <c r="AF47" i="24"/>
  <c r="AG47" i="24"/>
  <c r="AH47" i="24"/>
  <c r="AI47" i="24"/>
  <c r="AF48" i="24"/>
  <c r="AG48" i="24"/>
  <c r="AH48" i="24"/>
  <c r="AI48" i="24"/>
  <c r="AF49" i="24"/>
  <c r="AG49" i="24"/>
  <c r="AH49" i="24"/>
  <c r="AI49" i="24"/>
  <c r="AF50" i="24"/>
  <c r="AG50" i="24"/>
  <c r="AH50" i="24"/>
  <c r="AE50" i="24" s="1"/>
  <c r="AI50" i="24"/>
  <c r="AF51" i="24"/>
  <c r="AG51" i="24"/>
  <c r="AH51" i="24"/>
  <c r="AI51" i="24"/>
  <c r="AF52" i="24"/>
  <c r="AG52" i="24"/>
  <c r="AH52" i="24"/>
  <c r="AI52" i="24"/>
  <c r="AJ52" i="24"/>
  <c r="AF53" i="24"/>
  <c r="AG53" i="24"/>
  <c r="AH53" i="24"/>
  <c r="AI53" i="24"/>
  <c r="AF54" i="24"/>
  <c r="AG54" i="24"/>
  <c r="AH54" i="24"/>
  <c r="AI54" i="24"/>
  <c r="AF55" i="24"/>
  <c r="AG55" i="24"/>
  <c r="AH55" i="24"/>
  <c r="AI55" i="24"/>
  <c r="AJ55" i="24" s="1"/>
  <c r="AF56" i="24"/>
  <c r="AG56" i="24"/>
  <c r="AH56" i="24"/>
  <c r="AI56" i="24"/>
  <c r="AF57" i="24"/>
  <c r="AG57" i="24"/>
  <c r="AH57" i="24"/>
  <c r="AI57" i="24"/>
  <c r="AF58" i="24"/>
  <c r="AG58" i="24"/>
  <c r="AH58" i="24"/>
  <c r="AI58" i="24"/>
  <c r="AF59" i="24"/>
  <c r="AG59" i="24"/>
  <c r="AH59" i="24"/>
  <c r="AI59" i="24"/>
  <c r="AJ59" i="24" s="1"/>
  <c r="AF60" i="24"/>
  <c r="AG60" i="24"/>
  <c r="AH60" i="24"/>
  <c r="AI60" i="24"/>
  <c r="AF61" i="24"/>
  <c r="AG61" i="24"/>
  <c r="AH61" i="24"/>
  <c r="AI61" i="24"/>
  <c r="AF62" i="24"/>
  <c r="AG62" i="24"/>
  <c r="AH62" i="24"/>
  <c r="AE62" i="24" s="1"/>
  <c r="AI62" i="24"/>
  <c r="AF63" i="24"/>
  <c r="AG63" i="24"/>
  <c r="AE63" i="24" s="1"/>
  <c r="AH63" i="24"/>
  <c r="AI63" i="24"/>
  <c r="AJ63" i="24" s="1"/>
  <c r="AF64" i="24"/>
  <c r="AG64" i="24"/>
  <c r="AH64" i="24"/>
  <c r="AI64" i="24"/>
  <c r="AF65" i="24"/>
  <c r="AG65" i="24"/>
  <c r="AH65" i="24"/>
  <c r="AI65" i="24"/>
  <c r="AF66" i="24"/>
  <c r="AG66" i="24"/>
  <c r="AH66" i="24"/>
  <c r="AI66" i="24"/>
  <c r="AF67" i="24"/>
  <c r="AG67" i="24"/>
  <c r="AH67" i="24"/>
  <c r="AI67" i="24"/>
  <c r="AJ67" i="24" s="1"/>
  <c r="AF68" i="24"/>
  <c r="AG68" i="24"/>
  <c r="AJ68" i="24" s="1"/>
  <c r="AH68" i="24"/>
  <c r="AI68" i="24"/>
  <c r="AF69" i="24"/>
  <c r="AG69" i="24"/>
  <c r="AH69" i="24"/>
  <c r="AI69" i="24"/>
  <c r="AF70" i="24"/>
  <c r="AG70" i="24"/>
  <c r="AH70" i="24"/>
  <c r="AE70" i="24" s="1"/>
  <c r="AI70" i="24"/>
  <c r="AF71" i="24"/>
  <c r="AG71" i="24"/>
  <c r="AH71" i="24"/>
  <c r="AI71" i="24"/>
  <c r="AF72" i="24"/>
  <c r="AG72" i="24"/>
  <c r="AH72" i="24"/>
  <c r="AI72" i="24"/>
  <c r="AJ72" i="24"/>
  <c r="AF73" i="24"/>
  <c r="AG73" i="24"/>
  <c r="AH73" i="24"/>
  <c r="AI73" i="24"/>
  <c r="AF74" i="24"/>
  <c r="AG74" i="24"/>
  <c r="AH74" i="24"/>
  <c r="AI74" i="24"/>
  <c r="AF75" i="24"/>
  <c r="AG75" i="24"/>
  <c r="AH75" i="24"/>
  <c r="AI75" i="24"/>
  <c r="AJ75" i="24" s="1"/>
  <c r="AF76" i="24"/>
  <c r="AG76" i="24"/>
  <c r="AH76" i="24"/>
  <c r="AI76" i="24"/>
  <c r="AF77" i="24"/>
  <c r="AG77" i="24"/>
  <c r="AH77" i="24"/>
  <c r="AI77" i="24"/>
  <c r="AF78" i="24"/>
  <c r="AG78" i="24"/>
  <c r="AH78" i="24"/>
  <c r="AI78" i="24"/>
  <c r="AF79" i="24"/>
  <c r="AG79" i="24"/>
  <c r="AH79" i="24"/>
  <c r="AI79" i="24"/>
  <c r="AJ79" i="24" s="1"/>
  <c r="AF80" i="24"/>
  <c r="AG80" i="24"/>
  <c r="AJ80" i="24" s="1"/>
  <c r="AH80" i="24"/>
  <c r="AI80" i="24"/>
  <c r="AF81" i="24"/>
  <c r="AG81" i="24"/>
  <c r="AH81" i="24"/>
  <c r="AI81" i="24"/>
  <c r="AF82" i="24"/>
  <c r="AG82" i="24"/>
  <c r="AH82" i="24"/>
  <c r="AE82" i="24" s="1"/>
  <c r="AI82" i="24"/>
  <c r="AF83" i="24"/>
  <c r="AG83" i="24"/>
  <c r="AH83" i="24"/>
  <c r="AI83" i="24"/>
  <c r="AF84" i="24"/>
  <c r="AG84" i="24"/>
  <c r="AH84" i="24"/>
  <c r="AI84" i="24"/>
  <c r="AJ84" i="24"/>
  <c r="AF85" i="24"/>
  <c r="AG85" i="24"/>
  <c r="AH85" i="24"/>
  <c r="AI85" i="24"/>
  <c r="AF86" i="24"/>
  <c r="AG86" i="24"/>
  <c r="AH86" i="24"/>
  <c r="AI86" i="24"/>
  <c r="AF87" i="24"/>
  <c r="AG87" i="24"/>
  <c r="AH87" i="24"/>
  <c r="AI87" i="24"/>
  <c r="AJ87" i="24" s="1"/>
  <c r="AF88" i="24"/>
  <c r="AG88" i="24"/>
  <c r="AJ88" i="24" s="1"/>
  <c r="AH88" i="24"/>
  <c r="AI88" i="24"/>
  <c r="AF89" i="24"/>
  <c r="AG89" i="24"/>
  <c r="AH89" i="24"/>
  <c r="AI89" i="24"/>
  <c r="AF90" i="24"/>
  <c r="AG90" i="24"/>
  <c r="AH90" i="24"/>
  <c r="AE90" i="24" s="1"/>
  <c r="AI90" i="24"/>
  <c r="AF17" i="25"/>
  <c r="AG17" i="25"/>
  <c r="AH17" i="25"/>
  <c r="AI17" i="25"/>
  <c r="AJ17" i="25"/>
  <c r="AF18" i="25"/>
  <c r="AG18" i="25"/>
  <c r="AH18" i="25"/>
  <c r="AI18" i="25"/>
  <c r="AF19" i="25"/>
  <c r="AG19" i="25"/>
  <c r="AH19" i="25"/>
  <c r="AI19" i="25"/>
  <c r="AF20" i="25"/>
  <c r="AG20" i="25"/>
  <c r="AH20" i="25"/>
  <c r="AI20" i="25"/>
  <c r="AE20" i="25" s="1"/>
  <c r="AF21" i="25"/>
  <c r="AG21" i="25"/>
  <c r="AJ21" i="25" s="1"/>
  <c r="AH21" i="25"/>
  <c r="AI21" i="25"/>
  <c r="AF22" i="25"/>
  <c r="AG22" i="25"/>
  <c r="AH22" i="25"/>
  <c r="AI22" i="25"/>
  <c r="AF23" i="25"/>
  <c r="AG23" i="25"/>
  <c r="AH23" i="25"/>
  <c r="AJ23" i="25" s="1"/>
  <c r="AI23" i="25"/>
  <c r="AF24" i="25"/>
  <c r="AG24" i="25"/>
  <c r="AH24" i="25"/>
  <c r="AI24" i="25"/>
  <c r="AF25" i="25"/>
  <c r="AG25" i="25"/>
  <c r="AH25" i="25"/>
  <c r="AI25" i="25"/>
  <c r="AJ25" i="25"/>
  <c r="AF26" i="25"/>
  <c r="AG26" i="25"/>
  <c r="AH26" i="25"/>
  <c r="AI26" i="25"/>
  <c r="AF27" i="25"/>
  <c r="AG27" i="25"/>
  <c r="AH27" i="25"/>
  <c r="AI27" i="25"/>
  <c r="AF28" i="25"/>
  <c r="AG28" i="25"/>
  <c r="AH28" i="25"/>
  <c r="AI28" i="25"/>
  <c r="AE28" i="25" s="1"/>
  <c r="AF29" i="25"/>
  <c r="AG29" i="25"/>
  <c r="AJ29" i="25" s="1"/>
  <c r="AH29" i="25"/>
  <c r="AI29" i="25"/>
  <c r="AF30" i="25"/>
  <c r="AG30" i="25"/>
  <c r="AH30" i="25"/>
  <c r="AI30" i="25"/>
  <c r="AF31" i="25"/>
  <c r="AG31" i="25"/>
  <c r="AH31" i="25"/>
  <c r="AJ31" i="25" s="1"/>
  <c r="AI31" i="25"/>
  <c r="AF32" i="25"/>
  <c r="AG32" i="25"/>
  <c r="AH32" i="25"/>
  <c r="AI32" i="25"/>
  <c r="AF33" i="25"/>
  <c r="AG33" i="25"/>
  <c r="AH33" i="25"/>
  <c r="AI33" i="25"/>
  <c r="AJ33" i="25"/>
  <c r="AF34" i="25"/>
  <c r="AG34" i="25"/>
  <c r="AH34" i="25"/>
  <c r="AI34" i="25"/>
  <c r="AF35" i="25"/>
  <c r="AG35" i="25"/>
  <c r="AH35" i="25"/>
  <c r="AI35" i="25"/>
  <c r="AF36" i="25"/>
  <c r="AG36" i="25"/>
  <c r="AH36" i="25"/>
  <c r="AI36" i="25"/>
  <c r="AF37" i="25"/>
  <c r="AG37" i="25"/>
  <c r="AJ37" i="25" s="1"/>
  <c r="AH37" i="25"/>
  <c r="AI37" i="25"/>
  <c r="AF38" i="25"/>
  <c r="AE38" i="25" s="1"/>
  <c r="AG38" i="25"/>
  <c r="AH38" i="25"/>
  <c r="AI38" i="25"/>
  <c r="AF39" i="25"/>
  <c r="AG39" i="25"/>
  <c r="AH39" i="25"/>
  <c r="AJ39" i="25" s="1"/>
  <c r="AI39" i="25"/>
  <c r="AF40" i="25"/>
  <c r="AG40" i="25"/>
  <c r="AH40" i="25"/>
  <c r="AI40" i="25"/>
  <c r="AF41" i="25"/>
  <c r="AG41" i="25"/>
  <c r="AH41" i="25"/>
  <c r="AI41" i="25"/>
  <c r="AJ41" i="25"/>
  <c r="AF42" i="25"/>
  <c r="AG42" i="25"/>
  <c r="AH42" i="25"/>
  <c r="AI42" i="25"/>
  <c r="AF43" i="25"/>
  <c r="AG43" i="25"/>
  <c r="AH43" i="25"/>
  <c r="AI43" i="25"/>
  <c r="AF44" i="25"/>
  <c r="AG44" i="25"/>
  <c r="AH44" i="25"/>
  <c r="AI44" i="25"/>
  <c r="AF45" i="25"/>
  <c r="AG45" i="25"/>
  <c r="AH45" i="25"/>
  <c r="AI45" i="25"/>
  <c r="AF46" i="25"/>
  <c r="AG46" i="25"/>
  <c r="AH46" i="25"/>
  <c r="AI46" i="25"/>
  <c r="AF47" i="25"/>
  <c r="AG47" i="25"/>
  <c r="AH47" i="25"/>
  <c r="AI47" i="25"/>
  <c r="AF48" i="25"/>
  <c r="AG48" i="25"/>
  <c r="AH48" i="25"/>
  <c r="AI48" i="25"/>
  <c r="AF49" i="25"/>
  <c r="AG49" i="25"/>
  <c r="AH49" i="25"/>
  <c r="AI49" i="25"/>
  <c r="AF50" i="25"/>
  <c r="AG50" i="25"/>
  <c r="AJ50" i="25" s="1"/>
  <c r="AH50" i="25"/>
  <c r="AI50" i="25"/>
  <c r="AF17" i="26"/>
  <c r="AG17" i="26"/>
  <c r="AJ17" i="26" s="1"/>
  <c r="AH17" i="26"/>
  <c r="AI17" i="26"/>
  <c r="AF18" i="26"/>
  <c r="AE18" i="26" s="1"/>
  <c r="AG18" i="26"/>
  <c r="AH18" i="26"/>
  <c r="AI18" i="26"/>
  <c r="AF19" i="26"/>
  <c r="AG19" i="26"/>
  <c r="AH19" i="26"/>
  <c r="AD19" i="26" s="1"/>
  <c r="AI19" i="26"/>
  <c r="AF20" i="26"/>
  <c r="AG20" i="26"/>
  <c r="AH20" i="26"/>
  <c r="AI20" i="26"/>
  <c r="AF21" i="26"/>
  <c r="AG21" i="26"/>
  <c r="AH21" i="26"/>
  <c r="AI21" i="26"/>
  <c r="AJ21" i="26"/>
  <c r="AF22" i="26"/>
  <c r="AG22" i="26"/>
  <c r="AH22" i="26"/>
  <c r="AI22" i="26"/>
  <c r="AF23" i="26"/>
  <c r="AG23" i="26"/>
  <c r="AH23" i="26"/>
  <c r="AI23" i="26"/>
  <c r="AF24" i="26"/>
  <c r="AG24" i="26"/>
  <c r="AH24" i="26"/>
  <c r="AI24" i="26"/>
  <c r="AE24" i="26" s="1"/>
  <c r="AF25" i="26"/>
  <c r="AG25" i="26"/>
  <c r="AJ25" i="26" s="1"/>
  <c r="AH25" i="26"/>
  <c r="AI25" i="26"/>
  <c r="AF26" i="26"/>
  <c r="AG26" i="26"/>
  <c r="AH26" i="26"/>
  <c r="AI26" i="26"/>
  <c r="AF27" i="26"/>
  <c r="AG27" i="26"/>
  <c r="AH27" i="26"/>
  <c r="AJ27" i="26" s="1"/>
  <c r="AI27" i="26"/>
  <c r="AF28" i="26"/>
  <c r="AG28" i="26"/>
  <c r="AH28" i="26"/>
  <c r="AI28" i="26"/>
  <c r="AF29" i="26"/>
  <c r="AG29" i="26"/>
  <c r="AH29" i="26"/>
  <c r="AJ29" i="26" s="1"/>
  <c r="AI29" i="26"/>
  <c r="AF30" i="26"/>
  <c r="AG30" i="26"/>
  <c r="AH30" i="26"/>
  <c r="AI30" i="26"/>
  <c r="AF31" i="26"/>
  <c r="AG31" i="26"/>
  <c r="AH31" i="26"/>
  <c r="AI31" i="26"/>
  <c r="AF32" i="26"/>
  <c r="AG32" i="26"/>
  <c r="AH32" i="26"/>
  <c r="AI32" i="26"/>
  <c r="AE32" i="26" s="1"/>
  <c r="AF33" i="26"/>
  <c r="AG33" i="26"/>
  <c r="AJ33" i="26" s="1"/>
  <c r="AH33" i="26"/>
  <c r="AI33" i="26"/>
  <c r="AF34" i="26"/>
  <c r="AG34" i="26"/>
  <c r="AH34" i="26"/>
  <c r="AI34" i="26"/>
  <c r="AF35" i="26"/>
  <c r="AG35" i="26"/>
  <c r="AH35" i="26"/>
  <c r="AD35" i="26" s="1"/>
  <c r="AI35" i="26"/>
  <c r="AF36" i="26"/>
  <c r="AG36" i="26"/>
  <c r="AH36" i="26"/>
  <c r="AI36" i="26"/>
  <c r="AF37" i="26"/>
  <c r="AG37" i="26"/>
  <c r="AH37" i="26"/>
  <c r="AI37" i="26"/>
  <c r="AF38" i="26"/>
  <c r="AG38" i="26"/>
  <c r="AH38" i="26"/>
  <c r="AD38" i="26" s="1"/>
  <c r="AI38" i="26"/>
  <c r="AF39" i="26"/>
  <c r="AG39" i="26"/>
  <c r="AH39" i="26"/>
  <c r="AD39" i="26" s="1"/>
  <c r="AI39" i="26"/>
  <c r="AF40" i="26"/>
  <c r="AG40" i="26"/>
  <c r="AH40" i="26"/>
  <c r="AI40" i="26"/>
  <c r="AF41" i="26"/>
  <c r="AG41" i="26"/>
  <c r="AH41" i="26"/>
  <c r="AI41" i="26"/>
  <c r="AF42" i="26"/>
  <c r="AG42" i="26"/>
  <c r="AH42" i="26"/>
  <c r="AD42" i="26" s="1"/>
  <c r="AI42" i="26"/>
  <c r="AF43" i="26"/>
  <c r="AG43" i="26"/>
  <c r="AH43" i="26"/>
  <c r="AD43" i="26" s="1"/>
  <c r="AI43" i="26"/>
  <c r="AF44" i="26"/>
  <c r="AG44" i="26"/>
  <c r="AH44" i="26"/>
  <c r="AJ44" i="26" s="1"/>
  <c r="AI44" i="26"/>
  <c r="AF45" i="26"/>
  <c r="AG45" i="26"/>
  <c r="AH45" i="26"/>
  <c r="AI45" i="26"/>
  <c r="AF46" i="26"/>
  <c r="AG46" i="26"/>
  <c r="AH46" i="26"/>
  <c r="AI46" i="26"/>
  <c r="AF47" i="26"/>
  <c r="AG47" i="26"/>
  <c r="AJ47" i="26" s="1"/>
  <c r="AH47" i="26"/>
  <c r="AI47" i="26"/>
  <c r="AE47" i="26" s="1"/>
  <c r="AF48" i="26"/>
  <c r="AG48" i="26"/>
  <c r="AJ48" i="26" s="1"/>
  <c r="AH48" i="26"/>
  <c r="AI48" i="26"/>
  <c r="AF49" i="26"/>
  <c r="AG49" i="26"/>
  <c r="AH49" i="26"/>
  <c r="AI49" i="26"/>
  <c r="AF50" i="26"/>
  <c r="AG50" i="26"/>
  <c r="AH50" i="26"/>
  <c r="AD50" i="26" s="1"/>
  <c r="AI50" i="26"/>
  <c r="AI16" i="26"/>
  <c r="AH16" i="26"/>
  <c r="AG16" i="26"/>
  <c r="AE16" i="26" s="1"/>
  <c r="AF16" i="26"/>
  <c r="AI16" i="25"/>
  <c r="AH16" i="25"/>
  <c r="AG16" i="25"/>
  <c r="AE16" i="25" s="1"/>
  <c r="AF16" i="25"/>
  <c r="AI16" i="24"/>
  <c r="AH16" i="24"/>
  <c r="AG16" i="24"/>
  <c r="AE16" i="24" s="1"/>
  <c r="AF16" i="24"/>
  <c r="AI16" i="31"/>
  <c r="AH16" i="31"/>
  <c r="AG16" i="31"/>
  <c r="AE16" i="31" s="1"/>
  <c r="AF16" i="31"/>
  <c r="AI16" i="22"/>
  <c r="AH16" i="22"/>
  <c r="AG16" i="22"/>
  <c r="AF16" i="22"/>
  <c r="AI16" i="30"/>
  <c r="AH16" i="30"/>
  <c r="AG16" i="30"/>
  <c r="AE16" i="30" s="1"/>
  <c r="AF16" i="30"/>
  <c r="AI16" i="21"/>
  <c r="AH16" i="21"/>
  <c r="AG16" i="21"/>
  <c r="AE16" i="21" s="1"/>
  <c r="AF16" i="21"/>
  <c r="AI16" i="20"/>
  <c r="AF16" i="19"/>
  <c r="AG16" i="19"/>
  <c r="AH16" i="19"/>
  <c r="AI16" i="19"/>
  <c r="AF17" i="19"/>
  <c r="AG17" i="19"/>
  <c r="AH17" i="19"/>
  <c r="AI17" i="19"/>
  <c r="AF18" i="19"/>
  <c r="AG18" i="19"/>
  <c r="AH18" i="19"/>
  <c r="AI18" i="19"/>
  <c r="AF19" i="19"/>
  <c r="AG19" i="19"/>
  <c r="AH19" i="19"/>
  <c r="AI19" i="19"/>
  <c r="AF20" i="19"/>
  <c r="AG20" i="19"/>
  <c r="AH20" i="19"/>
  <c r="AI20" i="19"/>
  <c r="AF21" i="19"/>
  <c r="AG21" i="19"/>
  <c r="AH21" i="19"/>
  <c r="AI21" i="19"/>
  <c r="AF22" i="19"/>
  <c r="AG22" i="19"/>
  <c r="AH22" i="19"/>
  <c r="AI22" i="19"/>
  <c r="AF23" i="19"/>
  <c r="AG23" i="19"/>
  <c r="AH23" i="19"/>
  <c r="AI23" i="19"/>
  <c r="AF24" i="19"/>
  <c r="AG24" i="19"/>
  <c r="AH24" i="19"/>
  <c r="AI24" i="19"/>
  <c r="AF25" i="19"/>
  <c r="AG25" i="19"/>
  <c r="AH25" i="19"/>
  <c r="AI25" i="19"/>
  <c r="AF26" i="19"/>
  <c r="AG26" i="19"/>
  <c r="AH26" i="19"/>
  <c r="AI26" i="19"/>
  <c r="AF27" i="19"/>
  <c r="AG27" i="19"/>
  <c r="AH27" i="19"/>
  <c r="AI27" i="19"/>
  <c r="AF28" i="19"/>
  <c r="AG28" i="19"/>
  <c r="AH28" i="19"/>
  <c r="AI28" i="19"/>
  <c r="AF29" i="19"/>
  <c r="AG29" i="19"/>
  <c r="AH29" i="19"/>
  <c r="AI29" i="19"/>
  <c r="AF30" i="19"/>
  <c r="AG30" i="19"/>
  <c r="AH30" i="19"/>
  <c r="AI30" i="19"/>
  <c r="AF31" i="19"/>
  <c r="AG31" i="19"/>
  <c r="AH31" i="19"/>
  <c r="AI31" i="19"/>
  <c r="AF32" i="19"/>
  <c r="AG32" i="19"/>
  <c r="AH32" i="19"/>
  <c r="AI32" i="19"/>
  <c r="AF33" i="19"/>
  <c r="AG33" i="19"/>
  <c r="AH33" i="19"/>
  <c r="AI33" i="19"/>
  <c r="AF34" i="19"/>
  <c r="AG34" i="19"/>
  <c r="AH34" i="19"/>
  <c r="AI34" i="19"/>
  <c r="AF35" i="19"/>
  <c r="AG35" i="19"/>
  <c r="AH35" i="19"/>
  <c r="AI35" i="19"/>
  <c r="AF36" i="19"/>
  <c r="AG36" i="19"/>
  <c r="AH36" i="19"/>
  <c r="AI36" i="19"/>
  <c r="AF37" i="19"/>
  <c r="AG37" i="19"/>
  <c r="AH37" i="19"/>
  <c r="AI37" i="19"/>
  <c r="AF38" i="19"/>
  <c r="AG38" i="19"/>
  <c r="AH38" i="19"/>
  <c r="AI38" i="19"/>
  <c r="AF39" i="19"/>
  <c r="AG39" i="19"/>
  <c r="AH39" i="19"/>
  <c r="AI39" i="19"/>
  <c r="AF40" i="19"/>
  <c r="AG40" i="19"/>
  <c r="AH40" i="19"/>
  <c r="AI40" i="19"/>
  <c r="AF41" i="19"/>
  <c r="AG41" i="19"/>
  <c r="AH41" i="19"/>
  <c r="AI41" i="19"/>
  <c r="AF42" i="19"/>
  <c r="AG42" i="19"/>
  <c r="AH42" i="19"/>
  <c r="AI42" i="19"/>
  <c r="AF43" i="19"/>
  <c r="AG43" i="19"/>
  <c r="AH43" i="19"/>
  <c r="AI43" i="19"/>
  <c r="AF44" i="19"/>
  <c r="AG44" i="19"/>
  <c r="AH44" i="19"/>
  <c r="AI44" i="19"/>
  <c r="AF45" i="19"/>
  <c r="AG45" i="19"/>
  <c r="AH45" i="19"/>
  <c r="AI45" i="19"/>
  <c r="AF46" i="19"/>
  <c r="AG46" i="19"/>
  <c r="AH46" i="19"/>
  <c r="AI46" i="19"/>
  <c r="AF47" i="19"/>
  <c r="AG47" i="19"/>
  <c r="AH47" i="19"/>
  <c r="AI47" i="19"/>
  <c r="AF48" i="19"/>
  <c r="AG48" i="19"/>
  <c r="AH48" i="19"/>
  <c r="AI48" i="19"/>
  <c r="AF49" i="19"/>
  <c r="AG49" i="19"/>
  <c r="AH49" i="19"/>
  <c r="AI49" i="19"/>
  <c r="AF50" i="19"/>
  <c r="AG50" i="19"/>
  <c r="AH50" i="19"/>
  <c r="AI50" i="19"/>
  <c r="AF51" i="19"/>
  <c r="AG51" i="19"/>
  <c r="AH51" i="19"/>
  <c r="AI51" i="19"/>
  <c r="AF52" i="19"/>
  <c r="AG52" i="19"/>
  <c r="AH52" i="19"/>
  <c r="AI52" i="19"/>
  <c r="AF53" i="19"/>
  <c r="AG53" i="19"/>
  <c r="AH53" i="19"/>
  <c r="AI53" i="19"/>
  <c r="AF54" i="19"/>
  <c r="AG54" i="19"/>
  <c r="AH54" i="19"/>
  <c r="AI54" i="19"/>
  <c r="AF55" i="19"/>
  <c r="AG55" i="19"/>
  <c r="AH55" i="19"/>
  <c r="AI55" i="19"/>
  <c r="AF56" i="19"/>
  <c r="AG56" i="19"/>
  <c r="AH56" i="19"/>
  <c r="AI56" i="19"/>
  <c r="AF57" i="19"/>
  <c r="AG57" i="19"/>
  <c r="AH57" i="19"/>
  <c r="AI57" i="19"/>
  <c r="AF58" i="19"/>
  <c r="AG58" i="19"/>
  <c r="AH58" i="19"/>
  <c r="AI58" i="19"/>
  <c r="AF59" i="19"/>
  <c r="AG59" i="19"/>
  <c r="AH59" i="19"/>
  <c r="AI59" i="19"/>
  <c r="AF60" i="19"/>
  <c r="AG60" i="19"/>
  <c r="AH60" i="19"/>
  <c r="AI60" i="19"/>
  <c r="AF61" i="19"/>
  <c r="AG61" i="19"/>
  <c r="AH61" i="19"/>
  <c r="AI61" i="19"/>
  <c r="AF62" i="19"/>
  <c r="AG62" i="19"/>
  <c r="AH62" i="19"/>
  <c r="AI62" i="19"/>
  <c r="AF63" i="19"/>
  <c r="AG63" i="19"/>
  <c r="AH63" i="19"/>
  <c r="AI63" i="19"/>
  <c r="AF64" i="19"/>
  <c r="AG64" i="19"/>
  <c r="AH64" i="19"/>
  <c r="AI64" i="19"/>
  <c r="AH15" i="19"/>
  <c r="AG15" i="19"/>
  <c r="AQ18" i="1"/>
  <c r="BD3" i="18"/>
  <c r="AJ23" i="28"/>
  <c r="O12" i="28"/>
  <c r="AJ12" i="28" s="1"/>
  <c r="C21" i="28"/>
  <c r="C20" i="28"/>
  <c r="P20" i="28" s="1"/>
  <c r="AF6" i="15"/>
  <c r="O20" i="28" l="1"/>
  <c r="AJ20" i="28" s="1"/>
  <c r="AJ46" i="26"/>
  <c r="AE42" i="26"/>
  <c r="AJ40" i="26"/>
  <c r="AD37" i="26"/>
  <c r="AD36" i="26"/>
  <c r="AE34" i="26"/>
  <c r="AJ31" i="26"/>
  <c r="AJ30" i="26"/>
  <c r="AD29" i="26"/>
  <c r="AD28" i="26"/>
  <c r="AE26" i="26"/>
  <c r="AJ23" i="26"/>
  <c r="AJ22" i="26"/>
  <c r="AE19" i="26"/>
  <c r="AE48" i="25"/>
  <c r="AJ46" i="25"/>
  <c r="AD41" i="25"/>
  <c r="AJ35" i="25"/>
  <c r="AJ34" i="25"/>
  <c r="AE30" i="25"/>
  <c r="AD25" i="25"/>
  <c r="AE22" i="25"/>
  <c r="AJ20" i="25"/>
  <c r="AJ18" i="25"/>
  <c r="AD17" i="25"/>
  <c r="AD85" i="24"/>
  <c r="AE81" i="24"/>
  <c r="AD72" i="24"/>
  <c r="AD71" i="24"/>
  <c r="AE69" i="24"/>
  <c r="AD65" i="24"/>
  <c r="AD41" i="24"/>
  <c r="AD40" i="24"/>
  <c r="AD39" i="24"/>
  <c r="AD36" i="24"/>
  <c r="AD35" i="24"/>
  <c r="AJ18" i="24"/>
  <c r="AD49" i="31"/>
  <c r="AD29" i="31"/>
  <c r="AD28" i="31"/>
  <c r="AD61" i="22"/>
  <c r="AD60" i="22"/>
  <c r="AD59" i="22"/>
  <c r="AE57" i="22"/>
  <c r="AJ36" i="22"/>
  <c r="AD32" i="22"/>
  <c r="AD29" i="22"/>
  <c r="AJ28" i="22"/>
  <c r="AD27" i="22"/>
  <c r="AD64" i="19"/>
  <c r="AJ63" i="19"/>
  <c r="AD62" i="19"/>
  <c r="AE61" i="19"/>
  <c r="AD60" i="19"/>
  <c r="AJ59" i="19"/>
  <c r="AD58" i="19"/>
  <c r="AE57" i="19"/>
  <c r="AD56" i="19"/>
  <c r="AJ55" i="19"/>
  <c r="AD54" i="19"/>
  <c r="AD53" i="19"/>
  <c r="AD52" i="19"/>
  <c r="AJ51" i="19"/>
  <c r="AD50" i="19"/>
  <c r="AE49" i="19"/>
  <c r="AD48" i="19"/>
  <c r="AJ47" i="19"/>
  <c r="AD46" i="19"/>
  <c r="AD45" i="19"/>
  <c r="AD44" i="19"/>
  <c r="AJ43" i="19"/>
  <c r="AD42" i="19"/>
  <c r="AE41" i="19"/>
  <c r="AD40" i="19"/>
  <c r="AJ39" i="19"/>
  <c r="AD38" i="19"/>
  <c r="AD37" i="19"/>
  <c r="AD36" i="19"/>
  <c r="AJ35" i="19"/>
  <c r="AD34" i="19"/>
  <c r="AD33" i="19"/>
  <c r="AD32" i="19"/>
  <c r="AJ31" i="19"/>
  <c r="AD30" i="19"/>
  <c r="AE29" i="19"/>
  <c r="AD28" i="19"/>
  <c r="AJ27" i="19"/>
  <c r="AD26" i="19"/>
  <c r="AD25" i="19"/>
  <c r="AD24" i="19"/>
  <c r="AJ23" i="19"/>
  <c r="AD22" i="19"/>
  <c r="AD21" i="19"/>
  <c r="AD20" i="19"/>
  <c r="AJ19" i="19"/>
  <c r="AD18" i="19"/>
  <c r="AD17" i="19"/>
  <c r="AJ16" i="21"/>
  <c r="AJ16" i="30"/>
  <c r="AJ16" i="22"/>
  <c r="AJ16" i="31"/>
  <c r="AJ16" i="24"/>
  <c r="AJ16" i="25"/>
  <c r="AJ16" i="26"/>
  <c r="AJ50" i="26"/>
  <c r="AE48" i="26"/>
  <c r="AD47" i="26"/>
  <c r="AD46" i="26"/>
  <c r="AE46" i="26"/>
  <c r="AD45" i="26"/>
  <c r="AE43" i="26"/>
  <c r="AJ43" i="26"/>
  <c r="AJ42" i="26"/>
  <c r="AJ41" i="26"/>
  <c r="AE39" i="26"/>
  <c r="AJ39" i="26"/>
  <c r="AJ38" i="26"/>
  <c r="AJ37" i="26"/>
  <c r="AE36" i="26"/>
  <c r="AJ35" i="26"/>
  <c r="AJ34" i="26"/>
  <c r="AD33" i="26"/>
  <c r="AD32" i="26"/>
  <c r="AD31" i="26"/>
  <c r="AE30" i="26"/>
  <c r="AE28" i="26"/>
  <c r="AJ26" i="26"/>
  <c r="AD25" i="26"/>
  <c r="AD24" i="26"/>
  <c r="AD23" i="26"/>
  <c r="AE22" i="26"/>
  <c r="AE20" i="26"/>
  <c r="AJ20" i="26"/>
  <c r="AJ19" i="26"/>
  <c r="AJ18" i="26"/>
  <c r="AD17" i="26"/>
  <c r="AE50" i="25"/>
  <c r="AD49" i="25"/>
  <c r="AD48" i="25"/>
  <c r="AJ47" i="25"/>
  <c r="AE47" i="25"/>
  <c r="AE46" i="25"/>
  <c r="AD45" i="25"/>
  <c r="AD44" i="25"/>
  <c r="AJ43" i="25"/>
  <c r="AE43" i="25"/>
  <c r="AE42" i="25"/>
  <c r="AE40" i="25"/>
  <c r="AJ38" i="25"/>
  <c r="AD37" i="25"/>
  <c r="AD36" i="25"/>
  <c r="AD35" i="25"/>
  <c r="AE34" i="25"/>
  <c r="AE32" i="25"/>
  <c r="AJ30" i="25"/>
  <c r="AD29" i="25"/>
  <c r="AD28" i="25"/>
  <c r="AJ27" i="25"/>
  <c r="AE27" i="25"/>
  <c r="AE26" i="25"/>
  <c r="AE24" i="25"/>
  <c r="AJ24" i="25"/>
  <c r="AJ22" i="25"/>
  <c r="AD21" i="25"/>
  <c r="AD20" i="25"/>
  <c r="AJ19" i="25"/>
  <c r="AE19" i="25"/>
  <c r="AE18" i="25"/>
  <c r="AD89" i="24"/>
  <c r="AD88" i="24"/>
  <c r="AD87" i="24"/>
  <c r="AE86" i="24"/>
  <c r="AE85" i="24"/>
  <c r="AJ83" i="24"/>
  <c r="AD81" i="24"/>
  <c r="AD80" i="24"/>
  <c r="AD79" i="24"/>
  <c r="AE78" i="24"/>
  <c r="AE77" i="24"/>
  <c r="AD76" i="24"/>
  <c r="AD75" i="24"/>
  <c r="AE74" i="24"/>
  <c r="AE73" i="24"/>
  <c r="AJ71" i="24"/>
  <c r="AD69" i="24"/>
  <c r="AJ60" i="24"/>
  <c r="AJ58" i="24"/>
  <c r="AD57" i="24"/>
  <c r="AJ54" i="24"/>
  <c r="AD53" i="24"/>
  <c r="AD52" i="24"/>
  <c r="AD51" i="24"/>
  <c r="AE49" i="24"/>
  <c r="AD48" i="24"/>
  <c r="AD47" i="24"/>
  <c r="AE45" i="24"/>
  <c r="AJ32" i="24"/>
  <c r="AJ30" i="24"/>
  <c r="AD29" i="24"/>
  <c r="AD28" i="24"/>
  <c r="AD27" i="24"/>
  <c r="AE25" i="24"/>
  <c r="AE50" i="26"/>
  <c r="AD49" i="26"/>
  <c r="AE44" i="26"/>
  <c r="AD41" i="26"/>
  <c r="AE38" i="26"/>
  <c r="AD21" i="26"/>
  <c r="AD20" i="26"/>
  <c r="AE44" i="25"/>
  <c r="AJ42" i="25"/>
  <c r="AD40" i="25"/>
  <c r="AE36" i="25"/>
  <c r="AD33" i="25"/>
  <c r="AD32" i="25"/>
  <c r="AJ26" i="25"/>
  <c r="AD24" i="25"/>
  <c r="AE23" i="25"/>
  <c r="AE89" i="24"/>
  <c r="AD84" i="24"/>
  <c r="AD83" i="24"/>
  <c r="AD77" i="24"/>
  <c r="AD73" i="24"/>
  <c r="AE61" i="24"/>
  <c r="AJ44" i="24"/>
  <c r="AE33" i="24"/>
  <c r="AJ24" i="24"/>
  <c r="AE22" i="24"/>
  <c r="AE19" i="24"/>
  <c r="AJ17" i="24"/>
  <c r="AD45" i="31"/>
  <c r="AD41" i="31"/>
  <c r="AJ32" i="31"/>
  <c r="AJ64" i="22"/>
  <c r="AD31" i="22"/>
  <c r="AE26" i="22"/>
  <c r="AJ28" i="30"/>
  <c r="AJ25" i="30"/>
  <c r="AD24" i="30"/>
  <c r="AD23" i="30"/>
  <c r="AE22" i="30"/>
  <c r="AD21" i="30"/>
  <c r="AJ20" i="30"/>
  <c r="AE18" i="30"/>
  <c r="AD18" i="30"/>
  <c r="AD68" i="24"/>
  <c r="AD67" i="24"/>
  <c r="AE66" i="24"/>
  <c r="AE65" i="24"/>
  <c r="AD64" i="24"/>
  <c r="AD63" i="24"/>
  <c r="AJ62" i="24"/>
  <c r="AD61" i="24"/>
  <c r="AD60" i="24"/>
  <c r="AD59" i="24"/>
  <c r="AE58" i="24"/>
  <c r="AE57" i="24"/>
  <c r="AD56" i="24"/>
  <c r="AD55" i="24"/>
  <c r="AE54" i="24"/>
  <c r="AE53" i="24"/>
  <c r="AJ51" i="24"/>
  <c r="AD49" i="24"/>
  <c r="AJ47" i="24"/>
  <c r="AD45" i="24"/>
  <c r="AD44" i="24"/>
  <c r="AD43" i="24"/>
  <c r="AE42" i="24"/>
  <c r="AE41" i="24"/>
  <c r="AJ39" i="24"/>
  <c r="AD37" i="24"/>
  <c r="AJ35" i="24"/>
  <c r="AJ34" i="24"/>
  <c r="AD33" i="24"/>
  <c r="AD32" i="24"/>
  <c r="AD31" i="24"/>
  <c r="AE30" i="24"/>
  <c r="AE29" i="24"/>
  <c r="AJ27" i="24"/>
  <c r="AJ26" i="24"/>
  <c r="AD25" i="24"/>
  <c r="AD24" i="24"/>
  <c r="AD23" i="24"/>
  <c r="AD22" i="24"/>
  <c r="AD21" i="24"/>
  <c r="AD20" i="24"/>
  <c r="AJ19" i="24"/>
  <c r="AD18" i="24"/>
  <c r="AE18" i="24"/>
  <c r="AD17" i="24"/>
  <c r="AE50" i="31"/>
  <c r="AE49" i="31"/>
  <c r="AD48" i="31"/>
  <c r="AD47" i="31"/>
  <c r="AE46" i="31"/>
  <c r="AE45" i="31"/>
  <c r="AJ44" i="31"/>
  <c r="AD43" i="31"/>
  <c r="AE42" i="31"/>
  <c r="AE41" i="31"/>
  <c r="AD37" i="31"/>
  <c r="AD36" i="31"/>
  <c r="AD35" i="31"/>
  <c r="AE34" i="31"/>
  <c r="AE33" i="31"/>
  <c r="AJ24" i="31"/>
  <c r="AE22" i="31"/>
  <c r="AJ21" i="31"/>
  <c r="AD20" i="31"/>
  <c r="AD19" i="31"/>
  <c r="AE18" i="31"/>
  <c r="AD17" i="31"/>
  <c r="AE65" i="22"/>
  <c r="AJ56" i="22"/>
  <c r="AJ54" i="22"/>
  <c r="AD53" i="22"/>
  <c r="AD49" i="22"/>
  <c r="AD45" i="22"/>
  <c r="AD41" i="22"/>
  <c r="AD40" i="22"/>
  <c r="AD39" i="22"/>
  <c r="AE37" i="22"/>
  <c r="AJ24" i="22"/>
  <c r="AJ23" i="22"/>
  <c r="AJ22" i="22"/>
  <c r="AJ21" i="22"/>
  <c r="AD20" i="22"/>
  <c r="AE18" i="22"/>
  <c r="AD17" i="22"/>
  <c r="AD75" i="30"/>
  <c r="AE74" i="30"/>
  <c r="AD73" i="30"/>
  <c r="AD72" i="30"/>
  <c r="AD71" i="30"/>
  <c r="AE70" i="30"/>
  <c r="AD69" i="30"/>
  <c r="AD68" i="30"/>
  <c r="AD67" i="30"/>
  <c r="AE66" i="30"/>
  <c r="AD65" i="30"/>
  <c r="AJ64" i="30"/>
  <c r="AD63" i="30"/>
  <c r="AE62" i="30"/>
  <c r="AD61" i="30"/>
  <c r="AD60" i="30"/>
  <c r="AD59" i="30"/>
  <c r="AE58" i="30"/>
  <c r="AD57" i="30"/>
  <c r="AD56" i="30"/>
  <c r="AD55" i="30"/>
  <c r="AE54" i="30"/>
  <c r="AD53" i="30"/>
  <c r="AD52" i="30"/>
  <c r="AD51" i="30"/>
  <c r="AE50" i="30"/>
  <c r="AD49" i="30"/>
  <c r="AD48" i="30"/>
  <c r="AD47" i="30"/>
  <c r="AE46" i="30"/>
  <c r="AD45" i="30"/>
  <c r="AD44" i="30"/>
  <c r="AD43" i="30"/>
  <c r="AE42" i="30"/>
  <c r="AD41" i="30"/>
  <c r="AD40" i="30"/>
  <c r="AD39" i="30"/>
  <c r="AE38" i="30"/>
  <c r="AD37" i="30"/>
  <c r="AD36" i="30"/>
  <c r="AD35" i="30"/>
  <c r="AE34" i="30"/>
  <c r="AD33" i="30"/>
  <c r="AD32" i="30"/>
  <c r="AD31" i="30"/>
  <c r="AE30" i="30"/>
  <c r="AD29" i="30"/>
  <c r="AJ17" i="30"/>
  <c r="AD65" i="21"/>
  <c r="AD61" i="21"/>
  <c r="AD57" i="21"/>
  <c r="AD53" i="21"/>
  <c r="AD49" i="21"/>
  <c r="AJ46" i="21"/>
  <c r="AD45" i="21"/>
  <c r="AD41" i="21"/>
  <c r="AD37" i="21"/>
  <c r="AD33" i="21"/>
  <c r="AJ30" i="21"/>
  <c r="AD29" i="21"/>
  <c r="AE26" i="21"/>
  <c r="AJ25" i="21"/>
  <c r="AE22" i="21"/>
  <c r="AJ21" i="21"/>
  <c r="AJ18" i="21"/>
  <c r="AD65" i="20"/>
  <c r="AD61" i="20"/>
  <c r="AD57" i="20"/>
  <c r="AD53" i="20"/>
  <c r="AD49" i="20"/>
  <c r="AD45" i="20"/>
  <c r="AD41" i="20"/>
  <c r="AD37" i="20"/>
  <c r="AD33" i="20"/>
  <c r="AJ30" i="20"/>
  <c r="AD29" i="20"/>
  <c r="AJ26" i="20"/>
  <c r="AD25" i="20"/>
  <c r="AE22" i="20"/>
  <c r="AD21" i="20"/>
  <c r="AJ18" i="20"/>
  <c r="AD40" i="31"/>
  <c r="AD39" i="31"/>
  <c r="AJ38" i="31"/>
  <c r="AE38" i="31"/>
  <c r="AE37" i="31"/>
  <c r="AJ35" i="31"/>
  <c r="AD33" i="31"/>
  <c r="AD32" i="31"/>
  <c r="AD31" i="31"/>
  <c r="AJ30" i="31"/>
  <c r="AE30" i="31"/>
  <c r="AE29" i="31"/>
  <c r="AJ27" i="31"/>
  <c r="AD25" i="31"/>
  <c r="AD24" i="31"/>
  <c r="AD23" i="31"/>
  <c r="AD22" i="31"/>
  <c r="AD21" i="31"/>
  <c r="AE19" i="31"/>
  <c r="AJ18" i="31"/>
  <c r="AJ17" i="31"/>
  <c r="AD65" i="22"/>
  <c r="AD64" i="22"/>
  <c r="AD63" i="22"/>
  <c r="AE62" i="22"/>
  <c r="AE61" i="22"/>
  <c r="AJ59" i="22"/>
  <c r="AJ58" i="22"/>
  <c r="AD57" i="22"/>
  <c r="AD56" i="22"/>
  <c r="AD55" i="22"/>
  <c r="AE54" i="22"/>
  <c r="AE53" i="22"/>
  <c r="AJ52" i="22"/>
  <c r="AD51" i="22"/>
  <c r="AE50" i="22"/>
  <c r="AE49" i="22"/>
  <c r="AJ48" i="22"/>
  <c r="AD47" i="22"/>
  <c r="AE46" i="22"/>
  <c r="AE45" i="22"/>
  <c r="AJ44" i="22"/>
  <c r="AD43" i="22"/>
  <c r="AE42" i="22"/>
  <c r="AE41" i="22"/>
  <c r="AJ39" i="22"/>
  <c r="AD37" i="22"/>
  <c r="AD36" i="22"/>
  <c r="AD35" i="22"/>
  <c r="AE34" i="22"/>
  <c r="AE33" i="22"/>
  <c r="AJ31" i="22"/>
  <c r="AJ29" i="22"/>
  <c r="AE27" i="22"/>
  <c r="AJ27" i="22"/>
  <c r="AJ26" i="22"/>
  <c r="AJ25" i="22"/>
  <c r="AD24" i="22"/>
  <c r="AD22" i="22"/>
  <c r="AE22" i="22"/>
  <c r="AD21" i="22"/>
  <c r="AE19" i="22"/>
  <c r="AJ18" i="22"/>
  <c r="AJ17" i="22"/>
  <c r="AE75" i="30"/>
  <c r="AJ75" i="30"/>
  <c r="AJ73" i="30"/>
  <c r="AE71" i="30"/>
  <c r="AJ71" i="30"/>
  <c r="AJ69" i="30"/>
  <c r="AE67" i="30"/>
  <c r="AJ67" i="30"/>
  <c r="AJ65" i="30"/>
  <c r="AE63" i="30"/>
  <c r="AJ63" i="30"/>
  <c r="AJ61" i="30"/>
  <c r="AE59" i="30"/>
  <c r="AJ59" i="30"/>
  <c r="AJ57" i="30"/>
  <c r="AE55" i="30"/>
  <c r="AJ55" i="30"/>
  <c r="AJ54" i="30"/>
  <c r="AJ53" i="30"/>
  <c r="AE51" i="30"/>
  <c r="AJ51" i="30"/>
  <c r="AJ49" i="30"/>
  <c r="AE47" i="30"/>
  <c r="AJ47" i="30"/>
  <c r="AJ45" i="30"/>
  <c r="AE43" i="30"/>
  <c r="AJ43" i="30"/>
  <c r="AJ41" i="30"/>
  <c r="AE39" i="30"/>
  <c r="AJ39" i="30"/>
  <c r="AJ37" i="30"/>
  <c r="AE35" i="30"/>
  <c r="AJ35" i="30"/>
  <c r="AE33" i="30"/>
  <c r="AE31" i="30"/>
  <c r="AJ31" i="30"/>
  <c r="AE29" i="30"/>
  <c r="AD28" i="30"/>
  <c r="AD26" i="30"/>
  <c r="AE26" i="30"/>
  <c r="AD25" i="30"/>
  <c r="AJ23" i="30"/>
  <c r="AJ21" i="30"/>
  <c r="AE19" i="30"/>
  <c r="AJ19" i="30"/>
  <c r="AJ18" i="30"/>
  <c r="AD17" i="30"/>
  <c r="AE65" i="21"/>
  <c r="AJ64" i="21"/>
  <c r="AD63" i="21"/>
  <c r="AE62" i="21"/>
  <c r="AJ60" i="21"/>
  <c r="AD59" i="21"/>
  <c r="AE58" i="21"/>
  <c r="AE57" i="21"/>
  <c r="AD56" i="21"/>
  <c r="AD55" i="21"/>
  <c r="AE54" i="21"/>
  <c r="AE53" i="21"/>
  <c r="AD52" i="21"/>
  <c r="AD51" i="21"/>
  <c r="AE50" i="21"/>
  <c r="AE49" i="21"/>
  <c r="AJ48" i="21"/>
  <c r="AD47" i="21"/>
  <c r="AE46" i="21"/>
  <c r="AE45" i="21"/>
  <c r="AD44" i="21"/>
  <c r="AD43" i="21"/>
  <c r="AE42" i="21"/>
  <c r="AE41" i="21"/>
  <c r="AJ40" i="21"/>
  <c r="AD39" i="21"/>
  <c r="AE38" i="21"/>
  <c r="AE37" i="21"/>
  <c r="AD36" i="21"/>
  <c r="AD35" i="21"/>
  <c r="AE34" i="21"/>
  <c r="AE33" i="21"/>
  <c r="AD32" i="21"/>
  <c r="AE30" i="21"/>
  <c r="AE29" i="21"/>
  <c r="AD28" i="21"/>
  <c r="AD27" i="21"/>
  <c r="AD26" i="21"/>
  <c r="AD25" i="21"/>
  <c r="AJ24" i="21"/>
  <c r="AJ23" i="21"/>
  <c r="AD23" i="21"/>
  <c r="AD22" i="21"/>
  <c r="AD21" i="21"/>
  <c r="AJ20" i="21"/>
  <c r="AJ19" i="21"/>
  <c r="AD18" i="21"/>
  <c r="AE18" i="21"/>
  <c r="AD17" i="21"/>
  <c r="AJ31" i="21"/>
  <c r="AD31" i="21"/>
  <c r="AJ17" i="21"/>
  <c r="AE16" i="22"/>
  <c r="AJ17" i="20"/>
  <c r="AJ19" i="22"/>
  <c r="AE23" i="30"/>
  <c r="AJ27" i="30"/>
  <c r="AD27" i="30"/>
  <c r="AE65" i="20"/>
  <c r="AD63" i="20"/>
  <c r="AD60" i="20"/>
  <c r="AJ56" i="20"/>
  <c r="AE53" i="20"/>
  <c r="AD51" i="20"/>
  <c r="AE49" i="20"/>
  <c r="AD47" i="20"/>
  <c r="AD44" i="20"/>
  <c r="AE41" i="20"/>
  <c r="AD39" i="20"/>
  <c r="AD36" i="20"/>
  <c r="AE33" i="20"/>
  <c r="AD31" i="20"/>
  <c r="AD28" i="20"/>
  <c r="AE25" i="20"/>
  <c r="AD24" i="20"/>
  <c r="AE21" i="20"/>
  <c r="AD17" i="20"/>
  <c r="AJ63" i="20"/>
  <c r="AJ59" i="20"/>
  <c r="AJ55" i="20"/>
  <c r="AJ51" i="20"/>
  <c r="AJ47" i="20"/>
  <c r="AJ43" i="20"/>
  <c r="AJ39" i="20"/>
  <c r="AJ35" i="20"/>
  <c r="AJ31" i="20"/>
  <c r="AJ27" i="20"/>
  <c r="AJ23" i="20"/>
  <c r="AJ19" i="20"/>
  <c r="AD64" i="20"/>
  <c r="AE61" i="20"/>
  <c r="AD59" i="20"/>
  <c r="AE57" i="20"/>
  <c r="AD55" i="20"/>
  <c r="AD52" i="20"/>
  <c r="AJ48" i="20"/>
  <c r="AE45" i="20"/>
  <c r="AD43" i="20"/>
  <c r="AD40" i="20"/>
  <c r="AE37" i="20"/>
  <c r="AD35" i="20"/>
  <c r="AJ32" i="20"/>
  <c r="AE29" i="20"/>
  <c r="AD27" i="20"/>
  <c r="AD23" i="20"/>
  <c r="AD19" i="20"/>
  <c r="AE18" i="20"/>
  <c r="AE62" i="20"/>
  <c r="AE58" i="20"/>
  <c r="AE54" i="20"/>
  <c r="AE50" i="20"/>
  <c r="AE46" i="20"/>
  <c r="AE42" i="20"/>
  <c r="AE38" i="20"/>
  <c r="AE34" i="20"/>
  <c r="AE30" i="20"/>
  <c r="AE26" i="20"/>
  <c r="AD22" i="20"/>
  <c r="AD18" i="20"/>
  <c r="AE53" i="19"/>
  <c r="AE45" i="19"/>
  <c r="AE37" i="19"/>
  <c r="AE25" i="19"/>
  <c r="AE17" i="19"/>
  <c r="AD57" i="19"/>
  <c r="AD49" i="19"/>
  <c r="AD41" i="19"/>
  <c r="AD29" i="19"/>
  <c r="AE16" i="19"/>
  <c r="AE64" i="19"/>
  <c r="AE60" i="19"/>
  <c r="AE56" i="19"/>
  <c r="AE52" i="19"/>
  <c r="AE48" i="19"/>
  <c r="AE44" i="19"/>
  <c r="AE40" i="19"/>
  <c r="AE36" i="19"/>
  <c r="AE32" i="19"/>
  <c r="AE28" i="19"/>
  <c r="AE24" i="19"/>
  <c r="AE20" i="19"/>
  <c r="AE21" i="19"/>
  <c r="AD61" i="19"/>
  <c r="AJ64" i="19"/>
  <c r="AJ60" i="19"/>
  <c r="AJ56" i="19"/>
  <c r="AJ52" i="19"/>
  <c r="AJ48" i="19"/>
  <c r="AJ44" i="19"/>
  <c r="AJ40" i="19"/>
  <c r="AJ36" i="19"/>
  <c r="AJ32" i="19"/>
  <c r="AJ28" i="19"/>
  <c r="AJ24" i="19"/>
  <c r="AJ20" i="19"/>
  <c r="AJ16" i="19"/>
  <c r="AE63" i="19"/>
  <c r="AE59" i="19"/>
  <c r="AE55" i="19"/>
  <c r="AE51" i="19"/>
  <c r="AE47" i="19"/>
  <c r="AE43" i="19"/>
  <c r="AE39" i="19"/>
  <c r="AE35" i="19"/>
  <c r="AE31" i="19"/>
  <c r="AE27" i="19"/>
  <c r="AE23" i="19"/>
  <c r="AE19" i="19"/>
  <c r="AD63" i="19"/>
  <c r="AD59" i="19"/>
  <c r="AD55" i="19"/>
  <c r="AD51" i="19"/>
  <c r="AD47" i="19"/>
  <c r="AD43" i="19"/>
  <c r="AD39" i="19"/>
  <c r="AD35" i="19"/>
  <c r="AD31" i="19"/>
  <c r="AD27" i="19"/>
  <c r="AD23" i="19"/>
  <c r="AD19" i="19"/>
  <c r="AE33" i="19"/>
  <c r="AJ62" i="19"/>
  <c r="AJ61" i="19"/>
  <c r="AJ58" i="19"/>
  <c r="AJ57" i="19"/>
  <c r="AJ54" i="19"/>
  <c r="AJ53" i="19"/>
  <c r="AJ50" i="19"/>
  <c r="AJ49" i="19"/>
  <c r="AJ46" i="19"/>
  <c r="AJ45" i="19"/>
  <c r="AJ42" i="19"/>
  <c r="AJ41" i="19"/>
  <c r="AJ38" i="19"/>
  <c r="AJ37" i="19"/>
  <c r="AJ34" i="19"/>
  <c r="AJ33" i="19"/>
  <c r="AJ30" i="19"/>
  <c r="AJ29" i="19"/>
  <c r="AJ26" i="19"/>
  <c r="AJ25" i="19"/>
  <c r="AJ22" i="19"/>
  <c r="AJ21" i="19"/>
  <c r="AJ18" i="19"/>
  <c r="AJ17" i="19"/>
  <c r="AE62" i="19"/>
  <c r="AE58" i="19"/>
  <c r="AE54" i="19"/>
  <c r="AE50" i="19"/>
  <c r="AE46" i="19"/>
  <c r="AE42" i="19"/>
  <c r="AE38" i="19"/>
  <c r="AE34" i="19"/>
  <c r="AE30" i="19"/>
  <c r="AE26" i="19"/>
  <c r="AE22" i="19"/>
  <c r="AE18" i="19"/>
  <c r="AD20" i="20"/>
  <c r="AD16" i="19"/>
  <c r="AJ64" i="20"/>
  <c r="AE63" i="20"/>
  <c r="AD62" i="20"/>
  <c r="AJ52" i="20"/>
  <c r="AE47" i="20"/>
  <c r="AD46" i="20"/>
  <c r="AJ40" i="20"/>
  <c r="AE39" i="20"/>
  <c r="AJ36" i="20"/>
  <c r="AE35" i="20"/>
  <c r="AD34" i="20"/>
  <c r="AJ65" i="20"/>
  <c r="AE64" i="20"/>
  <c r="AJ61" i="20"/>
  <c r="AE60" i="20"/>
  <c r="AJ57" i="20"/>
  <c r="AE56" i="20"/>
  <c r="AJ53" i="20"/>
  <c r="AE52" i="20"/>
  <c r="AJ49" i="20"/>
  <c r="AE48" i="20"/>
  <c r="AJ45" i="20"/>
  <c r="AE44" i="20"/>
  <c r="AJ41" i="20"/>
  <c r="AE40" i="20"/>
  <c r="AJ37" i="20"/>
  <c r="AE36" i="20"/>
  <c r="AJ33" i="20"/>
  <c r="AE32" i="20"/>
  <c r="AJ29" i="20"/>
  <c r="AE28" i="20"/>
  <c r="AJ25" i="20"/>
  <c r="AE24" i="20"/>
  <c r="AJ21" i="20"/>
  <c r="AE20" i="20"/>
  <c r="AJ60" i="20"/>
  <c r="AE51" i="20"/>
  <c r="AD50" i="20"/>
  <c r="AJ44" i="20"/>
  <c r="AE31" i="20"/>
  <c r="AD30" i="20"/>
  <c r="AJ28" i="20"/>
  <c r="AJ24" i="20"/>
  <c r="AJ20" i="20"/>
  <c r="AE19" i="20"/>
  <c r="AJ62" i="20"/>
  <c r="AJ58" i="20"/>
  <c r="AD56" i="20"/>
  <c r="AJ54" i="20"/>
  <c r="AJ50" i="20"/>
  <c r="AD48" i="20"/>
  <c r="AJ46" i="20"/>
  <c r="AJ42" i="20"/>
  <c r="AJ38" i="20"/>
  <c r="AJ34" i="20"/>
  <c r="AD32" i="20"/>
  <c r="AJ22" i="20"/>
  <c r="AE17" i="20"/>
  <c r="AE59" i="20"/>
  <c r="AD58" i="20"/>
  <c r="AE55" i="20"/>
  <c r="AD54" i="20"/>
  <c r="AE43" i="20"/>
  <c r="AD42" i="20"/>
  <c r="AD38" i="20"/>
  <c r="AE27" i="20"/>
  <c r="AD26" i="20"/>
  <c r="AE23" i="20"/>
  <c r="AE63" i="21"/>
  <c r="AD62" i="21"/>
  <c r="AE59" i="21"/>
  <c r="AD58" i="21"/>
  <c r="AJ56" i="21"/>
  <c r="AE51" i="21"/>
  <c r="AD50" i="21"/>
  <c r="AJ44" i="21"/>
  <c r="AE39" i="21"/>
  <c r="AD38" i="21"/>
  <c r="AJ28" i="21"/>
  <c r="AE27" i="21"/>
  <c r="AJ65" i="21"/>
  <c r="AE64" i="21"/>
  <c r="AJ61" i="21"/>
  <c r="AE60" i="21"/>
  <c r="AJ57" i="21"/>
  <c r="AE56" i="21"/>
  <c r="AJ53" i="21"/>
  <c r="AE52" i="21"/>
  <c r="AJ49" i="21"/>
  <c r="AE48" i="21"/>
  <c r="AJ45" i="21"/>
  <c r="AE44" i="21"/>
  <c r="AJ41" i="21"/>
  <c r="AE40" i="21"/>
  <c r="AJ37" i="21"/>
  <c r="AE36" i="21"/>
  <c r="AJ33" i="21"/>
  <c r="AE32" i="21"/>
  <c r="AJ29" i="21"/>
  <c r="AE28" i="21"/>
  <c r="AE24" i="21"/>
  <c r="AE20" i="21"/>
  <c r="AD19" i="21"/>
  <c r="AJ52" i="21"/>
  <c r="AE43" i="21"/>
  <c r="AD42" i="21"/>
  <c r="AJ36" i="21"/>
  <c r="AD34" i="21"/>
  <c r="AJ32" i="21"/>
  <c r="AD64" i="21"/>
  <c r="AJ62" i="21"/>
  <c r="AE61" i="21"/>
  <c r="AD60" i="21"/>
  <c r="AJ58" i="21"/>
  <c r="AJ54" i="21"/>
  <c r="AJ50" i="21"/>
  <c r="AD48" i="21"/>
  <c r="AJ42" i="21"/>
  <c r="AD40" i="21"/>
  <c r="AJ38" i="21"/>
  <c r="AJ34" i="21"/>
  <c r="AJ26" i="21"/>
  <c r="AE25" i="21"/>
  <c r="AD24" i="21"/>
  <c r="AJ22" i="21"/>
  <c r="AK15" i="21" s="1"/>
  <c r="AE21" i="21"/>
  <c r="AD20" i="21"/>
  <c r="AE17" i="21"/>
  <c r="AE55" i="21"/>
  <c r="AD54" i="21"/>
  <c r="AE47" i="21"/>
  <c r="AD46" i="21"/>
  <c r="AE35" i="21"/>
  <c r="AE31" i="21"/>
  <c r="AD30" i="21"/>
  <c r="AJ72" i="30"/>
  <c r="AD70" i="30"/>
  <c r="AJ68" i="30"/>
  <c r="AD62" i="30"/>
  <c r="AJ56" i="30"/>
  <c r="AJ52" i="30"/>
  <c r="AD50" i="30"/>
  <c r="AJ44" i="30"/>
  <c r="AJ36" i="30"/>
  <c r="AD34" i="30"/>
  <c r="AD30" i="30"/>
  <c r="AD22" i="30"/>
  <c r="AE72" i="30"/>
  <c r="AE68" i="30"/>
  <c r="AE64" i="30"/>
  <c r="AE60" i="30"/>
  <c r="AE56" i="30"/>
  <c r="AE52" i="30"/>
  <c r="AE48" i="30"/>
  <c r="AE44" i="30"/>
  <c r="AE40" i="30"/>
  <c r="AE36" i="30"/>
  <c r="AJ33" i="30"/>
  <c r="AE32" i="30"/>
  <c r="AJ29" i="30"/>
  <c r="AE28" i="30"/>
  <c r="AE24" i="30"/>
  <c r="AE20" i="30"/>
  <c r="AD19" i="30"/>
  <c r="AD66" i="30"/>
  <c r="AJ60" i="30"/>
  <c r="AJ48" i="30"/>
  <c r="AJ40" i="30"/>
  <c r="AJ32" i="30"/>
  <c r="AJ74" i="30"/>
  <c r="AE73" i="30"/>
  <c r="AE69" i="30"/>
  <c r="AE65" i="30"/>
  <c r="AD64" i="30"/>
  <c r="AE61" i="30"/>
  <c r="AJ58" i="30"/>
  <c r="AE57" i="30"/>
  <c r="AE53" i="30"/>
  <c r="AE49" i="30"/>
  <c r="AJ46" i="30"/>
  <c r="AE45" i="30"/>
  <c r="AJ42" i="30"/>
  <c r="AE41" i="30"/>
  <c r="AJ38" i="30"/>
  <c r="AE37" i="30"/>
  <c r="AJ26" i="30"/>
  <c r="AE25" i="30"/>
  <c r="AE21" i="30"/>
  <c r="AD20" i="30"/>
  <c r="AE17" i="30"/>
  <c r="AJ65" i="22"/>
  <c r="AE64" i="22"/>
  <c r="AJ61" i="22"/>
  <c r="AE60" i="22"/>
  <c r="AJ57" i="22"/>
  <c r="AE56" i="22"/>
  <c r="AJ53" i="22"/>
  <c r="AE52" i="22"/>
  <c r="AJ49" i="22"/>
  <c r="AE48" i="22"/>
  <c r="AJ45" i="22"/>
  <c r="AE44" i="22"/>
  <c r="AJ41" i="22"/>
  <c r="AE40" i="22"/>
  <c r="AJ37" i="22"/>
  <c r="AE36" i="22"/>
  <c r="AJ33" i="22"/>
  <c r="AE32" i="22"/>
  <c r="AE28" i="22"/>
  <c r="AE24" i="22"/>
  <c r="AD23" i="22"/>
  <c r="AE20" i="22"/>
  <c r="AD54" i="22"/>
  <c r="AE51" i="22"/>
  <c r="AD50" i="22"/>
  <c r="AD46" i="22"/>
  <c r="AD42" i="22"/>
  <c r="AD38" i="22"/>
  <c r="AD34" i="22"/>
  <c r="AD30" i="22"/>
  <c r="AD52" i="22"/>
  <c r="AJ50" i="22"/>
  <c r="AD48" i="22"/>
  <c r="AJ46" i="22"/>
  <c r="AD44" i="22"/>
  <c r="AJ42" i="22"/>
  <c r="AJ38" i="22"/>
  <c r="AJ34" i="22"/>
  <c r="AE29" i="22"/>
  <c r="AD28" i="22"/>
  <c r="AE25" i="22"/>
  <c r="AE21" i="22"/>
  <c r="AE17" i="22"/>
  <c r="AE63" i="22"/>
  <c r="AD62" i="22"/>
  <c r="AE59" i="22"/>
  <c r="AD58" i="22"/>
  <c r="AE55" i="22"/>
  <c r="AE47" i="22"/>
  <c r="AE43" i="22"/>
  <c r="AE39" i="22"/>
  <c r="AE35" i="22"/>
  <c r="AE31" i="22"/>
  <c r="AD50" i="31"/>
  <c r="AJ48" i="31"/>
  <c r="AD38" i="31"/>
  <c r="AD30" i="31"/>
  <c r="AE23" i="31"/>
  <c r="AJ49" i="31"/>
  <c r="AE48" i="31"/>
  <c r="AJ45" i="31"/>
  <c r="AE44" i="31"/>
  <c r="AJ41" i="31"/>
  <c r="AE40" i="31"/>
  <c r="AJ37" i="31"/>
  <c r="AE36" i="31"/>
  <c r="AJ33" i="31"/>
  <c r="AE32" i="31"/>
  <c r="AJ29" i="31"/>
  <c r="AE28" i="31"/>
  <c r="AJ25" i="31"/>
  <c r="AE24" i="31"/>
  <c r="AE20" i="31"/>
  <c r="AE43" i="31"/>
  <c r="AD42" i="31"/>
  <c r="AE31" i="31"/>
  <c r="AJ50" i="31"/>
  <c r="AJ46" i="31"/>
  <c r="AD44" i="31"/>
  <c r="AJ42" i="31"/>
  <c r="AJ34" i="31"/>
  <c r="AJ26" i="31"/>
  <c r="AE25" i="31"/>
  <c r="AJ22" i="31"/>
  <c r="AE21" i="31"/>
  <c r="AE17" i="31"/>
  <c r="AE47" i="31"/>
  <c r="AD46" i="31"/>
  <c r="AE39" i="31"/>
  <c r="AE35" i="31"/>
  <c r="AE27" i="31"/>
  <c r="AK15" i="23"/>
  <c r="AD66" i="24"/>
  <c r="AD58" i="24"/>
  <c r="AD50" i="24"/>
  <c r="AE43" i="24"/>
  <c r="AD42" i="24"/>
  <c r="AE39" i="24"/>
  <c r="AJ36" i="24"/>
  <c r="AE35" i="24"/>
  <c r="AD34" i="24"/>
  <c r="AE31" i="24"/>
  <c r="AE27" i="24"/>
  <c r="AD26" i="24"/>
  <c r="AE23" i="24"/>
  <c r="AJ20" i="24"/>
  <c r="AJ89" i="24"/>
  <c r="AE88" i="24"/>
  <c r="AJ85" i="24"/>
  <c r="AE84" i="24"/>
  <c r="AJ81" i="24"/>
  <c r="AE80" i="24"/>
  <c r="AJ77" i="24"/>
  <c r="AE76" i="24"/>
  <c r="AJ73" i="24"/>
  <c r="AE72" i="24"/>
  <c r="AJ69" i="24"/>
  <c r="AE68" i="24"/>
  <c r="AJ65" i="24"/>
  <c r="AE64" i="24"/>
  <c r="AJ61" i="24"/>
  <c r="AE60" i="24"/>
  <c r="AJ57" i="24"/>
  <c r="AE56" i="24"/>
  <c r="AJ53" i="24"/>
  <c r="AE52" i="24"/>
  <c r="AJ49" i="24"/>
  <c r="AE48" i="24"/>
  <c r="AJ45" i="24"/>
  <c r="AE44" i="24"/>
  <c r="AJ41" i="24"/>
  <c r="AE40" i="24"/>
  <c r="AJ37" i="24"/>
  <c r="AE36" i="24"/>
  <c r="AJ33" i="24"/>
  <c r="AE32" i="24"/>
  <c r="AJ29" i="24"/>
  <c r="AE28" i="24"/>
  <c r="AJ25" i="24"/>
  <c r="AE24" i="24"/>
  <c r="AE20" i="24"/>
  <c r="AD19" i="24"/>
  <c r="AD90" i="24"/>
  <c r="AD82" i="24"/>
  <c r="AJ76" i="24"/>
  <c r="AE71" i="24"/>
  <c r="AD70" i="24"/>
  <c r="AE67" i="24"/>
  <c r="AJ64" i="24"/>
  <c r="AD62" i="24"/>
  <c r="AE59" i="24"/>
  <c r="AJ56" i="24"/>
  <c r="AE55" i="24"/>
  <c r="AD54" i="24"/>
  <c r="AE51" i="24"/>
  <c r="AJ48" i="24"/>
  <c r="AE47" i="24"/>
  <c r="AD46" i="24"/>
  <c r="AD38" i="24"/>
  <c r="AD30" i="24"/>
  <c r="AJ90" i="24"/>
  <c r="AJ86" i="24"/>
  <c r="AJ82" i="24"/>
  <c r="AJ78" i="24"/>
  <c r="AJ74" i="24"/>
  <c r="AJ70" i="24"/>
  <c r="AJ66" i="24"/>
  <c r="AJ50" i="24"/>
  <c r="AJ46" i="24"/>
  <c r="AJ42" i="24"/>
  <c r="AJ38" i="24"/>
  <c r="AJ22" i="24"/>
  <c r="AE21" i="24"/>
  <c r="AE17" i="24"/>
  <c r="AE87" i="24"/>
  <c r="AD86" i="24"/>
  <c r="AE83" i="24"/>
  <c r="AE79" i="24"/>
  <c r="AD78" i="24"/>
  <c r="AE75" i="24"/>
  <c r="AD74" i="24"/>
  <c r="AJ45" i="25"/>
  <c r="AD50" i="25"/>
  <c r="AJ48" i="25"/>
  <c r="AD46" i="25"/>
  <c r="AJ44" i="25"/>
  <c r="AD42" i="25"/>
  <c r="AJ40" i="25"/>
  <c r="AE39" i="25"/>
  <c r="AD38" i="25"/>
  <c r="AJ36" i="25"/>
  <c r="AE35" i="25"/>
  <c r="AD34" i="25"/>
  <c r="AJ32" i="25"/>
  <c r="AE31" i="25"/>
  <c r="AD30" i="25"/>
  <c r="AJ28" i="25"/>
  <c r="AD26" i="25"/>
  <c r="AD22" i="25"/>
  <c r="AD18" i="25"/>
  <c r="AD47" i="25"/>
  <c r="AD43" i="25"/>
  <c r="AD39" i="25"/>
  <c r="AD31" i="25"/>
  <c r="AD27" i="25"/>
  <c r="AD23" i="25"/>
  <c r="AD19" i="25"/>
  <c r="AE49" i="25"/>
  <c r="AE45" i="25"/>
  <c r="AE41" i="25"/>
  <c r="AE37" i="25"/>
  <c r="AE33" i="25"/>
  <c r="AE29" i="25"/>
  <c r="AE25" i="25"/>
  <c r="AE21" i="25"/>
  <c r="AE17" i="25"/>
  <c r="AJ49" i="25"/>
  <c r="AK15" i="25" s="1"/>
  <c r="AJ36" i="26"/>
  <c r="AE35" i="26"/>
  <c r="AD34" i="26"/>
  <c r="AJ32" i="26"/>
  <c r="AE31" i="26"/>
  <c r="AD30" i="26"/>
  <c r="AJ28" i="26"/>
  <c r="AE27" i="26"/>
  <c r="AD26" i="26"/>
  <c r="AJ24" i="26"/>
  <c r="AE23" i="26"/>
  <c r="AD22" i="26"/>
  <c r="AD18" i="26"/>
  <c r="AJ49" i="26"/>
  <c r="AJ45" i="26"/>
  <c r="AE40" i="26"/>
  <c r="AD27" i="26"/>
  <c r="AK15" i="26"/>
  <c r="AE49" i="26"/>
  <c r="AD48" i="26"/>
  <c r="AE45" i="26"/>
  <c r="AD44" i="26"/>
  <c r="AE41" i="26"/>
  <c r="AD40" i="26"/>
  <c r="AE37" i="26"/>
  <c r="AE33" i="26"/>
  <c r="AE29" i="26"/>
  <c r="AE25" i="26"/>
  <c r="AE21" i="26"/>
  <c r="AE17" i="26"/>
  <c r="AD16" i="26"/>
  <c r="AD16" i="25"/>
  <c r="AD16" i="24"/>
  <c r="AD16" i="23"/>
  <c r="AD16" i="31"/>
  <c r="AD16" i="22"/>
  <c r="AD16" i="30"/>
  <c r="AD16" i="21"/>
  <c r="AK15" i="22" l="1"/>
  <c r="AK15" i="30"/>
  <c r="AK15" i="24"/>
  <c r="AK15" i="31"/>
  <c r="P22" i="28"/>
  <c r="AJ37" i="28" l="1"/>
  <c r="AU7" i="1"/>
  <c r="AU18" i="1"/>
  <c r="AU21" i="1"/>
  <c r="AU23" i="1"/>
  <c r="AU11" i="1"/>
  <c r="AU8" i="1"/>
  <c r="AU9" i="1"/>
  <c r="AU10" i="1"/>
  <c r="AU24" i="1"/>
  <c r="AU25" i="1"/>
  <c r="AU26" i="1"/>
  <c r="AU27" i="1"/>
  <c r="AU28" i="1"/>
  <c r="AU29" i="1"/>
  <c r="AU20" i="1"/>
  <c r="AU19" i="1"/>
  <c r="AU17" i="1"/>
  <c r="AU16" i="1"/>
  <c r="AU15" i="1"/>
  <c r="AU14" i="1"/>
  <c r="AU13" i="1"/>
  <c r="AU12" i="1"/>
  <c r="AQ11" i="1"/>
  <c r="AV11" i="1" s="1"/>
  <c r="AQ23" i="1"/>
  <c r="C39" i="28"/>
  <c r="C38" i="28"/>
  <c r="C37" i="28"/>
  <c r="C36" i="28"/>
  <c r="AE25" i="28"/>
  <c r="AE24" i="28"/>
  <c r="AE23" i="28"/>
  <c r="D40" i="15"/>
  <c r="AB45" i="32"/>
  <c r="AA45" i="32"/>
  <c r="Z45" i="32"/>
  <c r="AC45" i="32" s="1"/>
  <c r="G45" i="32"/>
  <c r="AB44" i="32"/>
  <c r="AA44" i="32"/>
  <c r="Z44" i="32"/>
  <c r="AC44" i="32" s="1"/>
  <c r="G44" i="32"/>
  <c r="AB43" i="32"/>
  <c r="AA43" i="32"/>
  <c r="Z43" i="32"/>
  <c r="AC43" i="32" s="1"/>
  <c r="G43" i="32"/>
  <c r="AB42" i="32"/>
  <c r="AA42" i="32"/>
  <c r="Z42" i="32"/>
  <c r="AC42" i="32" s="1"/>
  <c r="G42" i="32"/>
  <c r="AB41" i="32"/>
  <c r="AA41" i="32"/>
  <c r="Z41" i="32"/>
  <c r="AC41" i="32" s="1"/>
  <c r="G41" i="32"/>
  <c r="AB40" i="32"/>
  <c r="AA40" i="32"/>
  <c r="Z40" i="32"/>
  <c r="AC40" i="32" s="1"/>
  <c r="G40" i="32"/>
  <c r="AB39" i="32"/>
  <c r="AA39" i="32"/>
  <c r="Z39" i="32"/>
  <c r="AC39" i="32" s="1"/>
  <c r="G39" i="32"/>
  <c r="AB38" i="32"/>
  <c r="AA38" i="32"/>
  <c r="Z38" i="32"/>
  <c r="AC38" i="32" s="1"/>
  <c r="G38" i="32"/>
  <c r="AB37" i="32"/>
  <c r="AA37" i="32"/>
  <c r="Z37" i="32"/>
  <c r="AC37" i="32" s="1"/>
  <c r="G37" i="32"/>
  <c r="AB36" i="32"/>
  <c r="AA36" i="32"/>
  <c r="Z36" i="32"/>
  <c r="AC36" i="32" s="1"/>
  <c r="G36" i="32"/>
  <c r="AB35" i="32"/>
  <c r="AA35" i="32"/>
  <c r="Z35" i="32"/>
  <c r="AC35" i="32" s="1"/>
  <c r="G35" i="32"/>
  <c r="AB34" i="32"/>
  <c r="AA34" i="32"/>
  <c r="Z34" i="32"/>
  <c r="AC34" i="32" s="1"/>
  <c r="G34" i="32"/>
  <c r="AB33" i="32"/>
  <c r="AA33" i="32"/>
  <c r="Z33" i="32"/>
  <c r="AC33" i="32" s="1"/>
  <c r="G33" i="32"/>
  <c r="AB32" i="32"/>
  <c r="AA32" i="32"/>
  <c r="Z32" i="32"/>
  <c r="AC32" i="32" s="1"/>
  <c r="G32" i="32"/>
  <c r="AB31" i="32"/>
  <c r="AA31" i="32"/>
  <c r="Z31" i="32"/>
  <c r="AC31" i="32" s="1"/>
  <c r="G31" i="32"/>
  <c r="AB30" i="32"/>
  <c r="AA30" i="32"/>
  <c r="Z30" i="32"/>
  <c r="AC30" i="32" s="1"/>
  <c r="G30" i="32"/>
  <c r="AB29" i="32"/>
  <c r="AA29" i="32"/>
  <c r="Z29" i="32"/>
  <c r="AC29" i="32" s="1"/>
  <c r="G29" i="32"/>
  <c r="AB28" i="32"/>
  <c r="AA28" i="32"/>
  <c r="Z28" i="32"/>
  <c r="AC28" i="32" s="1"/>
  <c r="G28" i="32"/>
  <c r="AB27" i="32"/>
  <c r="AA27" i="32"/>
  <c r="Z27" i="32"/>
  <c r="AC27" i="32" s="1"/>
  <c r="G27" i="32"/>
  <c r="AB26" i="32"/>
  <c r="AA26" i="32"/>
  <c r="Z26" i="32"/>
  <c r="AC26" i="32" s="1"/>
  <c r="G26" i="32"/>
  <c r="AB25" i="32"/>
  <c r="AA25" i="32"/>
  <c r="Z25" i="32"/>
  <c r="AC25" i="32" s="1"/>
  <c r="G25" i="32"/>
  <c r="AB24" i="32"/>
  <c r="AA24" i="32"/>
  <c r="Z24" i="32"/>
  <c r="AC24" i="32" s="1"/>
  <c r="G24" i="32"/>
  <c r="AB23" i="32"/>
  <c r="AA23" i="32"/>
  <c r="Z23" i="32"/>
  <c r="AC23" i="32" s="1"/>
  <c r="G23" i="32"/>
  <c r="AB22" i="32"/>
  <c r="AA22" i="32"/>
  <c r="Z22" i="32"/>
  <c r="AC22" i="32" s="1"/>
  <c r="G22" i="32"/>
  <c r="AB21" i="32"/>
  <c r="AA21" i="32"/>
  <c r="Z21" i="32"/>
  <c r="AC21" i="32" s="1"/>
  <c r="G21" i="32"/>
  <c r="AB20" i="32"/>
  <c r="AA20" i="32"/>
  <c r="Z20" i="32"/>
  <c r="AC20" i="32" s="1"/>
  <c r="G20" i="32"/>
  <c r="AB19" i="32"/>
  <c r="AA19" i="32"/>
  <c r="Z19" i="32"/>
  <c r="AC19" i="32" s="1"/>
  <c r="G19" i="32"/>
  <c r="AB18" i="32"/>
  <c r="AA18" i="32"/>
  <c r="Z18" i="32"/>
  <c r="AC18" i="32" s="1"/>
  <c r="G18" i="32"/>
  <c r="AB17" i="32"/>
  <c r="AA17" i="32"/>
  <c r="Z17" i="32"/>
  <c r="G17" i="32"/>
  <c r="AB16" i="32"/>
  <c r="AA16" i="32"/>
  <c r="Z16" i="32"/>
  <c r="AC16" i="32" s="1"/>
  <c r="G16" i="32"/>
  <c r="W14" i="32"/>
  <c r="W7" i="32"/>
  <c r="W6" i="32"/>
  <c r="X9" i="32" s="1"/>
  <c r="W5" i="32"/>
  <c r="W4" i="32"/>
  <c r="AC17" i="32" l="1"/>
  <c r="AD15" i="32" s="1"/>
  <c r="AT11" i="1"/>
  <c r="Y9" i="32"/>
  <c r="Y10" i="32"/>
  <c r="X10" i="32"/>
  <c r="AH72" i="32" s="1"/>
  <c r="X16" i="32"/>
  <c r="X17" i="32"/>
  <c r="J17" i="32" s="1"/>
  <c r="X18" i="32"/>
  <c r="J18" i="32" s="1"/>
  <c r="X19" i="32"/>
  <c r="J19" i="32" s="1"/>
  <c r="X20" i="32"/>
  <c r="J20" i="32" s="1"/>
  <c r="X21" i="32"/>
  <c r="J21" i="32" s="1"/>
  <c r="X22" i="32"/>
  <c r="J22" i="32" s="1"/>
  <c r="X23" i="32"/>
  <c r="J23" i="32" s="1"/>
  <c r="X24" i="32"/>
  <c r="J24" i="32" s="1"/>
  <c r="X25" i="32"/>
  <c r="J25" i="32" s="1"/>
  <c r="X26" i="32"/>
  <c r="J26" i="32" s="1"/>
  <c r="X27" i="32"/>
  <c r="J27" i="32" s="1"/>
  <c r="X28" i="32"/>
  <c r="J28" i="32" s="1"/>
  <c r="X29" i="32"/>
  <c r="J29" i="32" s="1"/>
  <c r="X30" i="32"/>
  <c r="J30" i="32" s="1"/>
  <c r="X31" i="32"/>
  <c r="J31" i="32" s="1"/>
  <c r="X32" i="32"/>
  <c r="J32" i="32" s="1"/>
  <c r="X33" i="32"/>
  <c r="J33" i="32" s="1"/>
  <c r="X34" i="32"/>
  <c r="J34" i="32" s="1"/>
  <c r="X35" i="32"/>
  <c r="J35" i="32" s="1"/>
  <c r="X36" i="32"/>
  <c r="J36" i="32" s="1"/>
  <c r="X37" i="32"/>
  <c r="J37" i="32" s="1"/>
  <c r="X38" i="32"/>
  <c r="J38" i="32" s="1"/>
  <c r="X39" i="32"/>
  <c r="J39" i="32" s="1"/>
  <c r="X40" i="32"/>
  <c r="J40" i="32" s="1"/>
  <c r="X41" i="32"/>
  <c r="J41" i="32" s="1"/>
  <c r="X42" i="32"/>
  <c r="J42" i="32" s="1"/>
  <c r="X43" i="32"/>
  <c r="J43" i="32" s="1"/>
  <c r="X44" i="32"/>
  <c r="J44" i="32" s="1"/>
  <c r="X45" i="32"/>
  <c r="J45" i="32" s="1"/>
  <c r="Y16" i="32"/>
  <c r="Y17" i="32"/>
  <c r="Y18" i="32"/>
  <c r="Y19" i="32"/>
  <c r="Y20" i="32"/>
  <c r="Y21" i="32"/>
  <c r="Y22" i="32"/>
  <c r="Y23" i="32"/>
  <c r="Y24" i="32"/>
  <c r="Y25" i="32"/>
  <c r="Y26" i="32"/>
  <c r="Y27" i="32"/>
  <c r="Y28" i="32"/>
  <c r="Y29" i="32"/>
  <c r="Y30" i="32"/>
  <c r="Y31" i="32"/>
  <c r="Y32" i="32"/>
  <c r="Y33" i="32"/>
  <c r="Y34" i="32"/>
  <c r="Y35" i="32"/>
  <c r="Y36" i="32"/>
  <c r="Y37" i="32"/>
  <c r="Y38" i="32"/>
  <c r="Y39" i="32"/>
  <c r="Y40" i="32"/>
  <c r="Y41" i="32"/>
  <c r="Y42" i="32"/>
  <c r="Y43" i="32"/>
  <c r="Y44" i="32"/>
  <c r="Y45" i="32"/>
  <c r="AH73" i="32" l="1"/>
  <c r="AJ72" i="32" s="1"/>
  <c r="J16" i="32"/>
  <c r="T4" i="32"/>
  <c r="AI72" i="32" l="1"/>
  <c r="E2" i="32" l="1"/>
  <c r="K18" i="1" s="1"/>
  <c r="O43" i="28"/>
  <c r="P43" i="28" s="1"/>
  <c r="AR18" i="1"/>
  <c r="AT18" i="1" l="1"/>
  <c r="AS18" i="1"/>
  <c r="E18" i="1"/>
  <c r="I18" i="1" s="1"/>
  <c r="G18" i="1"/>
  <c r="J18" i="1"/>
  <c r="AJ43" i="28"/>
  <c r="W29" i="20" l="1"/>
  <c r="W30" i="20"/>
  <c r="W31" i="20"/>
  <c r="W32" i="20"/>
  <c r="W33" i="20"/>
  <c r="W34" i="20"/>
  <c r="W35" i="20"/>
  <c r="W36" i="20"/>
  <c r="W37" i="20"/>
  <c r="W38" i="20"/>
  <c r="W39" i="20"/>
  <c r="W40" i="20"/>
  <c r="W41" i="20"/>
  <c r="W42" i="20"/>
  <c r="W43" i="20"/>
  <c r="W44" i="20"/>
  <c r="W45" i="20"/>
  <c r="W46" i="20"/>
  <c r="W47" i="20"/>
  <c r="W48" i="20"/>
  <c r="W49" i="20"/>
  <c r="W50" i="20"/>
  <c r="W51" i="20"/>
  <c r="W52" i="20"/>
  <c r="W53" i="20"/>
  <c r="W54" i="20"/>
  <c r="W55" i="20"/>
  <c r="W56" i="20"/>
  <c r="W57" i="20"/>
  <c r="W58" i="20"/>
  <c r="W59" i="20"/>
  <c r="W60" i="20"/>
  <c r="W61" i="20"/>
  <c r="W62" i="20"/>
  <c r="W63" i="20"/>
  <c r="W64" i="20"/>
  <c r="W65" i="20"/>
  <c r="W17" i="20"/>
  <c r="W18" i="20"/>
  <c r="W19" i="20"/>
  <c r="W20" i="20"/>
  <c r="W21" i="20"/>
  <c r="W22" i="20"/>
  <c r="W23" i="20"/>
  <c r="W24" i="20"/>
  <c r="W25" i="20"/>
  <c r="W26" i="20"/>
  <c r="W27" i="20"/>
  <c r="W28" i="20"/>
  <c r="W16" i="20"/>
  <c r="AA11" i="1" l="1"/>
  <c r="AF23" i="1"/>
  <c r="AF19" i="1"/>
  <c r="AF20" i="1"/>
  <c r="AF21" i="1"/>
  <c r="AF18" i="1"/>
  <c r="AW18" i="1" s="1"/>
  <c r="AF13" i="1"/>
  <c r="AW13" i="1" s="1"/>
  <c r="AG20" i="1" l="1"/>
  <c r="AW20" i="1"/>
  <c r="AG23" i="1"/>
  <c r="AW23" i="1"/>
  <c r="AG21" i="1"/>
  <c r="AW21" i="1"/>
  <c r="AG19" i="1"/>
  <c r="AW19" i="1"/>
  <c r="D10" i="20"/>
  <c r="B13" i="21"/>
  <c r="B3" i="26"/>
  <c r="B3" i="24"/>
  <c r="B3" i="23"/>
  <c r="B3" i="31"/>
  <c r="B3" i="22"/>
  <c r="B3" i="30"/>
  <c r="B3" i="21"/>
  <c r="B13" i="26"/>
  <c r="B13" i="25"/>
  <c r="B13" i="24"/>
  <c r="B13" i="23"/>
  <c r="B13" i="31"/>
  <c r="B13" i="22"/>
  <c r="B13" i="30"/>
  <c r="BB3" i="18" l="1"/>
  <c r="BA3" i="18"/>
  <c r="AZ3" i="18"/>
  <c r="AY3" i="18"/>
  <c r="AX3" i="18"/>
  <c r="AW3" i="18"/>
  <c r="AV3" i="18"/>
  <c r="L3" i="18" l="1"/>
  <c r="K3" i="18"/>
  <c r="J3" i="18"/>
  <c r="I3" i="18"/>
  <c r="H3" i="18"/>
  <c r="G3" i="18"/>
  <c r="F3" i="18"/>
  <c r="E3" i="18"/>
  <c r="D3" i="18"/>
  <c r="AQ8" i="1"/>
  <c r="AQ9" i="1"/>
  <c r="AQ10" i="1"/>
  <c r="AQ7" i="1"/>
  <c r="AQ24" i="1"/>
  <c r="AQ25" i="1"/>
  <c r="AQ26" i="1"/>
  <c r="AQ27" i="1"/>
  <c r="AQ28" i="1"/>
  <c r="AQ29" i="1"/>
  <c r="E16" i="1"/>
  <c r="E17" i="1"/>
  <c r="E19" i="1"/>
  <c r="H11" i="1"/>
  <c r="E20" i="1"/>
  <c r="H20" i="1"/>
  <c r="K20" i="1"/>
  <c r="H16" i="1"/>
  <c r="K16" i="1"/>
  <c r="K50" i="31"/>
  <c r="I50" i="31"/>
  <c r="K49" i="31"/>
  <c r="I49" i="31"/>
  <c r="K48" i="31"/>
  <c r="I48" i="31"/>
  <c r="K47" i="31"/>
  <c r="I47" i="31"/>
  <c r="K46" i="31"/>
  <c r="I46" i="31"/>
  <c r="K45" i="31"/>
  <c r="I45" i="31"/>
  <c r="K44" i="31"/>
  <c r="I44" i="31"/>
  <c r="K43" i="31"/>
  <c r="I43" i="31"/>
  <c r="K42" i="31"/>
  <c r="I42" i="31"/>
  <c r="K41" i="31"/>
  <c r="I41" i="31"/>
  <c r="K40" i="31"/>
  <c r="I40" i="31"/>
  <c r="K39" i="31"/>
  <c r="I39" i="31"/>
  <c r="K38" i="31"/>
  <c r="I38" i="31"/>
  <c r="K37" i="31"/>
  <c r="I37" i="31"/>
  <c r="K36" i="31"/>
  <c r="I36" i="31"/>
  <c r="K35" i="31"/>
  <c r="I35" i="31"/>
  <c r="K34" i="31"/>
  <c r="I34" i="31"/>
  <c r="K33" i="31"/>
  <c r="I33" i="31"/>
  <c r="K32" i="31"/>
  <c r="I32" i="31"/>
  <c r="K31" i="31"/>
  <c r="I31" i="31"/>
  <c r="L30" i="31"/>
  <c r="K30" i="31"/>
  <c r="I30" i="31"/>
  <c r="K29" i="31"/>
  <c r="I29" i="31"/>
  <c r="K28" i="31"/>
  <c r="I28" i="31"/>
  <c r="K27" i="31"/>
  <c r="I27" i="31"/>
  <c r="K26" i="31"/>
  <c r="I26" i="31"/>
  <c r="K25" i="31"/>
  <c r="I25" i="31"/>
  <c r="K24" i="31"/>
  <c r="I24" i="31"/>
  <c r="K23" i="31"/>
  <c r="I23" i="31"/>
  <c r="K22" i="31"/>
  <c r="I22" i="31"/>
  <c r="K21" i="31"/>
  <c r="I21" i="31"/>
  <c r="K20" i="31"/>
  <c r="I20" i="31"/>
  <c r="BP19" i="31"/>
  <c r="K19" i="31"/>
  <c r="I19" i="31"/>
  <c r="K18" i="31"/>
  <c r="I18" i="31"/>
  <c r="X17" i="31"/>
  <c r="K17" i="31"/>
  <c r="I17" i="31"/>
  <c r="I16" i="31"/>
  <c r="F10" i="31"/>
  <c r="D10" i="31"/>
  <c r="F9" i="31"/>
  <c r="K75" i="30"/>
  <c r="I75" i="30"/>
  <c r="K74" i="30"/>
  <c r="I74" i="30"/>
  <c r="K73" i="30"/>
  <c r="I73" i="30"/>
  <c r="K72" i="30"/>
  <c r="I72" i="30"/>
  <c r="K71" i="30"/>
  <c r="I71" i="30"/>
  <c r="K70" i="30"/>
  <c r="I70" i="30"/>
  <c r="K69" i="30"/>
  <c r="I69" i="30"/>
  <c r="K68" i="30"/>
  <c r="I68" i="30"/>
  <c r="K67" i="30"/>
  <c r="I67" i="30"/>
  <c r="K66" i="30"/>
  <c r="I66" i="30"/>
  <c r="K65" i="30"/>
  <c r="I65" i="30"/>
  <c r="K64" i="30"/>
  <c r="I64" i="30"/>
  <c r="K63" i="30"/>
  <c r="I63" i="30"/>
  <c r="K62" i="30"/>
  <c r="I62" i="30"/>
  <c r="K61" i="30"/>
  <c r="I61" i="30"/>
  <c r="K60" i="30"/>
  <c r="I60" i="30"/>
  <c r="K59" i="30"/>
  <c r="I59" i="30"/>
  <c r="K58" i="30"/>
  <c r="I58" i="30"/>
  <c r="K57" i="30"/>
  <c r="I57" i="30"/>
  <c r="K56" i="30"/>
  <c r="I56" i="30"/>
  <c r="K55" i="30"/>
  <c r="I55" i="30"/>
  <c r="K54" i="30"/>
  <c r="I54" i="30"/>
  <c r="K53" i="30"/>
  <c r="I53" i="30"/>
  <c r="K52" i="30"/>
  <c r="I52" i="30"/>
  <c r="K51" i="30"/>
  <c r="I51" i="30"/>
  <c r="K50" i="30"/>
  <c r="I50" i="30"/>
  <c r="K49" i="30"/>
  <c r="I49" i="30"/>
  <c r="K48" i="30"/>
  <c r="I48" i="30"/>
  <c r="K47" i="30"/>
  <c r="I47" i="30"/>
  <c r="K46" i="30"/>
  <c r="I46" i="30"/>
  <c r="K45" i="30"/>
  <c r="I45" i="30"/>
  <c r="K44" i="30"/>
  <c r="I44" i="30"/>
  <c r="K43" i="30"/>
  <c r="I43" i="30"/>
  <c r="K42" i="30"/>
  <c r="I42" i="30"/>
  <c r="K41" i="30"/>
  <c r="I41" i="30"/>
  <c r="K40" i="30"/>
  <c r="I40" i="30"/>
  <c r="K39" i="30"/>
  <c r="I39" i="30"/>
  <c r="K38" i="30"/>
  <c r="I38" i="30"/>
  <c r="K37" i="30"/>
  <c r="I37" i="30"/>
  <c r="K36" i="30"/>
  <c r="I36" i="30"/>
  <c r="K35" i="30"/>
  <c r="I35" i="30"/>
  <c r="K34" i="30"/>
  <c r="I34" i="30"/>
  <c r="K33" i="30"/>
  <c r="I33" i="30"/>
  <c r="K32" i="30"/>
  <c r="I32" i="30"/>
  <c r="K31" i="30"/>
  <c r="I31" i="30"/>
  <c r="K30" i="30"/>
  <c r="I30" i="30"/>
  <c r="K29" i="30"/>
  <c r="I29" i="30"/>
  <c r="K28" i="30"/>
  <c r="I28" i="30"/>
  <c r="K27" i="30"/>
  <c r="I27" i="30"/>
  <c r="K26" i="30"/>
  <c r="I26" i="30"/>
  <c r="K25" i="30"/>
  <c r="I25" i="30"/>
  <c r="K24" i="30"/>
  <c r="I24" i="30"/>
  <c r="K23" i="30"/>
  <c r="I23" i="30"/>
  <c r="K22" i="30"/>
  <c r="I22" i="30"/>
  <c r="K21" i="30"/>
  <c r="I21" i="30"/>
  <c r="K20" i="30"/>
  <c r="I20" i="30"/>
  <c r="BP19" i="30"/>
  <c r="AY19" i="30" s="1"/>
  <c r="K19" i="30"/>
  <c r="I19" i="30"/>
  <c r="K18" i="30"/>
  <c r="I18" i="30"/>
  <c r="X17" i="30"/>
  <c r="K17" i="30"/>
  <c r="I17" i="30"/>
  <c r="I16" i="30"/>
  <c r="K16" i="30" s="1"/>
  <c r="F10" i="30"/>
  <c r="D10" i="30"/>
  <c r="F9" i="30"/>
  <c r="F10" i="26"/>
  <c r="F10" i="25"/>
  <c r="F10" i="24"/>
  <c r="F10" i="23"/>
  <c r="F10" i="22"/>
  <c r="F10" i="21"/>
  <c r="F10" i="20"/>
  <c r="F9" i="26"/>
  <c r="F9" i="25"/>
  <c r="F9" i="24"/>
  <c r="F9" i="23"/>
  <c r="F9" i="22"/>
  <c r="F9" i="21"/>
  <c r="F9" i="20"/>
  <c r="D9" i="19"/>
  <c r="D8" i="19"/>
  <c r="O13" i="28"/>
  <c r="M13" i="28"/>
  <c r="F11" i="25" s="1"/>
  <c r="P12" i="28"/>
  <c r="K16" i="31" l="1"/>
  <c r="H10" i="31"/>
  <c r="K10" i="31" s="1"/>
  <c r="K25" i="1" s="1"/>
  <c r="P13" i="28"/>
  <c r="AJ13" i="28"/>
  <c r="L34" i="31"/>
  <c r="L28" i="31"/>
  <c r="L31" i="31"/>
  <c r="L26" i="31"/>
  <c r="L18" i="30"/>
  <c r="F11" i="20"/>
  <c r="F11" i="22"/>
  <c r="F11" i="24"/>
  <c r="F11" i="26"/>
  <c r="F11" i="30"/>
  <c r="L22" i="31"/>
  <c r="L24" i="31"/>
  <c r="L27" i="31"/>
  <c r="L32" i="31"/>
  <c r="L21" i="31"/>
  <c r="L23" i="31"/>
  <c r="L29" i="31"/>
  <c r="L33" i="31"/>
  <c r="L36" i="31"/>
  <c r="L40" i="31"/>
  <c r="L44" i="31"/>
  <c r="L48" i="31"/>
  <c r="H10" i="30"/>
  <c r="L20" i="30"/>
  <c r="L23" i="30"/>
  <c r="L25" i="30"/>
  <c r="L27" i="30"/>
  <c r="L29" i="30"/>
  <c r="L31" i="30"/>
  <c r="L33" i="30"/>
  <c r="L35" i="30"/>
  <c r="L37" i="30"/>
  <c r="L39" i="30"/>
  <c r="L41" i="30"/>
  <c r="L43" i="30"/>
  <c r="L45" i="30"/>
  <c r="L47" i="30"/>
  <c r="L49" i="30"/>
  <c r="L51" i="30"/>
  <c r="L53" i="30"/>
  <c r="L55" i="30"/>
  <c r="L57" i="30"/>
  <c r="L59" i="30"/>
  <c r="L61" i="30"/>
  <c r="L63" i="30"/>
  <c r="L65" i="30"/>
  <c r="L67" i="30"/>
  <c r="L69" i="30"/>
  <c r="L71" i="30"/>
  <c r="L73" i="30"/>
  <c r="D11" i="31"/>
  <c r="I25" i="1"/>
  <c r="E25" i="1" s="1"/>
  <c r="F11" i="31"/>
  <c r="L25" i="31"/>
  <c r="L35" i="31"/>
  <c r="L37" i="31"/>
  <c r="L38" i="31"/>
  <c r="L39" i="31"/>
  <c r="L41" i="31"/>
  <c r="L42" i="31"/>
  <c r="L43" i="31"/>
  <c r="L45" i="31"/>
  <c r="L46" i="31"/>
  <c r="L47" i="31"/>
  <c r="L49" i="31"/>
  <c r="L50" i="31"/>
  <c r="L75" i="30"/>
  <c r="D10" i="19"/>
  <c r="F11" i="21"/>
  <c r="F11" i="23"/>
  <c r="D11" i="30"/>
  <c r="I23" i="1"/>
  <c r="E23" i="1" s="1"/>
  <c r="AD7" i="30"/>
  <c r="L19" i="30"/>
  <c r="L22" i="30"/>
  <c r="L24" i="30"/>
  <c r="L26" i="30"/>
  <c r="L28" i="30"/>
  <c r="L30" i="30"/>
  <c r="L32" i="30"/>
  <c r="L34" i="30"/>
  <c r="L36" i="30"/>
  <c r="L38" i="30"/>
  <c r="L40" i="30"/>
  <c r="L42" i="30"/>
  <c r="L44" i="30"/>
  <c r="L46" i="30"/>
  <c r="L48" i="30"/>
  <c r="L50" i="30"/>
  <c r="L52" i="30"/>
  <c r="L54" i="30"/>
  <c r="L56" i="30"/>
  <c r="L58" i="30"/>
  <c r="L60" i="30"/>
  <c r="L62" i="30"/>
  <c r="L64" i="30"/>
  <c r="L66" i="30"/>
  <c r="L68" i="30"/>
  <c r="L70" i="30"/>
  <c r="L72" i="30"/>
  <c r="L74" i="30"/>
  <c r="F20" i="1"/>
  <c r="G20" i="1" s="1"/>
  <c r="L20" i="31"/>
  <c r="L17" i="30"/>
  <c r="L18" i="31"/>
  <c r="L19" i="31"/>
  <c r="AY19" i="31"/>
  <c r="L21" i="30"/>
  <c r="K10" i="30" l="1"/>
  <c r="K23" i="1" s="1"/>
  <c r="D23" i="1" s="1"/>
  <c r="D29" i="2"/>
  <c r="J25" i="1"/>
  <c r="O44" i="28"/>
  <c r="P44" i="28" s="1"/>
  <c r="AE7" i="30"/>
  <c r="L16" i="31"/>
  <c r="AD7" i="31"/>
  <c r="L16" i="30"/>
  <c r="L17" i="31"/>
  <c r="BP20" i="30"/>
  <c r="BQ19" i="30" s="1"/>
  <c r="D25" i="1"/>
  <c r="H25" i="1" s="1"/>
  <c r="BP20" i="31"/>
  <c r="J23" i="1" l="1"/>
  <c r="D25" i="2"/>
  <c r="AJ44" i="28"/>
  <c r="AE7" i="31"/>
  <c r="O46" i="28"/>
  <c r="P46" i="28" s="1"/>
  <c r="BR19" i="30"/>
  <c r="BD19" i="30"/>
  <c r="AR25" i="1"/>
  <c r="AS25" i="1" s="1"/>
  <c r="AR23" i="1"/>
  <c r="AS23" i="1" s="1"/>
  <c r="BD19" i="31"/>
  <c r="BR19" i="31"/>
  <c r="BQ19" i="31"/>
  <c r="AT25" i="1" l="1"/>
  <c r="AV25" i="1"/>
  <c r="AJ46" i="28"/>
  <c r="AV23" i="1"/>
  <c r="AT23" i="1"/>
  <c r="AQ21" i="1"/>
  <c r="AQ19" i="1"/>
  <c r="AT19" i="1" s="1"/>
  <c r="AQ16" i="1"/>
  <c r="AV16" i="1" s="1"/>
  <c r="AS16" i="1"/>
  <c r="AT16" i="1"/>
  <c r="AQ17" i="1"/>
  <c r="AQ15" i="1"/>
  <c r="AQ12" i="1"/>
  <c r="AQ13" i="1"/>
  <c r="AQ14" i="1"/>
  <c r="J3" i="2"/>
  <c r="B23" i="3"/>
  <c r="B12" i="3"/>
  <c r="N4" i="3"/>
  <c r="L44" i="3"/>
  <c r="W15" i="29" s="1"/>
  <c r="L45" i="3"/>
  <c r="W17" i="29" s="1"/>
  <c r="L43" i="3"/>
  <c r="W13" i="29" s="1"/>
  <c r="L42" i="3"/>
  <c r="AT20" i="1" l="1"/>
  <c r="AT12" i="1"/>
  <c r="AV12" i="1"/>
  <c r="AT14" i="1"/>
  <c r="AV14" i="1"/>
  <c r="AV20" i="1"/>
  <c r="AJ20" i="1"/>
  <c r="AS17" i="1"/>
  <c r="AV17" i="1"/>
  <c r="AJ17" i="1"/>
  <c r="AS21" i="1"/>
  <c r="AV21" i="1"/>
  <c r="AJ21" i="1"/>
  <c r="AS19" i="1"/>
  <c r="AV19" i="1"/>
  <c r="AJ19" i="1"/>
  <c r="AT15" i="1"/>
  <c r="AV15" i="1"/>
  <c r="AS13" i="1"/>
  <c r="AV13" i="1"/>
  <c r="AT13" i="1"/>
  <c r="AS14" i="1"/>
  <c r="AS12" i="1"/>
  <c r="AS15" i="1"/>
  <c r="AT17" i="1"/>
  <c r="AT21" i="1"/>
  <c r="AA23" i="1"/>
  <c r="C31" i="3"/>
  <c r="C18" i="3"/>
  <c r="C17" i="3"/>
  <c r="F10" i="35" s="1"/>
  <c r="L10" i="3"/>
  <c r="F9" i="35" s="1"/>
  <c r="L8" i="3"/>
  <c r="S9" i="29" s="1"/>
  <c r="BC3" i="18"/>
  <c r="AV31" i="29"/>
  <c r="AW31" i="29" s="1"/>
  <c r="AV30" i="29"/>
  <c r="AY30" i="29" s="1"/>
  <c r="AV29" i="29"/>
  <c r="AW29" i="29" s="1"/>
  <c r="AV28" i="29"/>
  <c r="AY28" i="29" s="1"/>
  <c r="AV26" i="29"/>
  <c r="AW26" i="29" s="1"/>
  <c r="AV25" i="29"/>
  <c r="AY25" i="29" s="1"/>
  <c r="AV24" i="29"/>
  <c r="AW24" i="29" s="1"/>
  <c r="AV23" i="29"/>
  <c r="AY23" i="29" s="1"/>
  <c r="N11" i="29"/>
  <c r="N9" i="29"/>
  <c r="N7" i="29"/>
  <c r="AE27" i="28"/>
  <c r="O22" i="28"/>
  <c r="P21" i="28"/>
  <c r="P19" i="28"/>
  <c r="O19" i="28"/>
  <c r="AJ19" i="28" s="1"/>
  <c r="P18" i="28"/>
  <c r="O18" i="28"/>
  <c r="AJ18" i="28" s="1"/>
  <c r="P17" i="28"/>
  <c r="O17" i="28"/>
  <c r="AJ17" i="28" s="1"/>
  <c r="P16" i="28"/>
  <c r="O16" i="28"/>
  <c r="AJ16" i="28" s="1"/>
  <c r="AJ15" i="28"/>
  <c r="P11" i="28"/>
  <c r="O11" i="28"/>
  <c r="AJ11" i="28" s="1"/>
  <c r="O9" i="28"/>
  <c r="AJ9" i="28" s="1"/>
  <c r="O8" i="28"/>
  <c r="P8" i="28" s="1"/>
  <c r="O7" i="28"/>
  <c r="AJ7" i="28" s="1"/>
  <c r="O6" i="28"/>
  <c r="P6" i="28" s="1"/>
  <c r="AE5" i="28"/>
  <c r="AE4" i="28"/>
  <c r="AE3" i="28"/>
  <c r="S11" i="29" l="1"/>
  <c r="AJ22" i="28"/>
  <c r="B36" i="3"/>
  <c r="AW22" i="29"/>
  <c r="AW25" i="29"/>
  <c r="AW30" i="29"/>
  <c r="P3" i="28"/>
  <c r="P9" i="28"/>
  <c r="AW23" i="29"/>
  <c r="AW28" i="29"/>
  <c r="P7" i="28"/>
  <c r="O21" i="28"/>
  <c r="AJ21" i="28" s="1"/>
  <c r="O3" i="28"/>
  <c r="Z11" i="15" s="1"/>
  <c r="P39" i="28" s="1"/>
  <c r="AJ6" i="28"/>
  <c r="AJ8" i="28"/>
  <c r="AY24" i="29"/>
  <c r="AY26" i="29"/>
  <c r="AY29" i="29"/>
  <c r="AY31" i="29"/>
  <c r="AV22" i="29"/>
  <c r="B14" i="3"/>
  <c r="Y11" i="15" l="1"/>
  <c r="O39" i="28" s="1"/>
  <c r="AQ3" i="18"/>
  <c r="AM3" i="18"/>
  <c r="AL3" i="18"/>
  <c r="AO3" i="18"/>
  <c r="L9" i="3"/>
  <c r="AJ10" i="28"/>
  <c r="AJ3" i="28"/>
  <c r="AY32" i="29"/>
  <c r="P10" i="28"/>
  <c r="O10" i="28"/>
  <c r="A2" i="15"/>
  <c r="A1" i="15"/>
  <c r="L4" i="1"/>
  <c r="H4" i="1"/>
  <c r="B2" i="1"/>
  <c r="B1" i="1"/>
  <c r="L25" i="2"/>
  <c r="L7" i="2"/>
  <c r="G5" i="2"/>
  <c r="E5" i="2"/>
  <c r="I4" i="2"/>
  <c r="B2" i="2"/>
  <c r="B1" i="2"/>
  <c r="C34" i="3"/>
  <c r="B33" i="3"/>
  <c r="C30" i="3"/>
  <c r="B29" i="3"/>
  <c r="B28" i="3"/>
  <c r="B27" i="3"/>
  <c r="B26" i="3"/>
  <c r="B25" i="3"/>
  <c r="B20" i="3"/>
  <c r="B21" i="3"/>
  <c r="B22" i="3"/>
  <c r="B19" i="3"/>
  <c r="AN3" i="18"/>
  <c r="AP3" i="18"/>
  <c r="H2" i="26" l="1"/>
  <c r="H2" i="24"/>
  <c r="H2" i="31"/>
  <c r="H2" i="30"/>
  <c r="H2" i="21"/>
  <c r="H2" i="20"/>
  <c r="H2" i="19"/>
  <c r="H2" i="25"/>
  <c r="H2" i="23"/>
  <c r="H2" i="22"/>
  <c r="S7" i="29"/>
  <c r="B3" i="3"/>
  <c r="E21" i="1" l="1"/>
  <c r="F21" i="1" s="1"/>
  <c r="G19" i="1"/>
  <c r="AF29" i="1"/>
  <c r="AF28" i="1"/>
  <c r="AF27" i="1"/>
  <c r="AF26" i="1"/>
  <c r="AF25" i="1"/>
  <c r="G25" i="1"/>
  <c r="H29" i="2" s="1"/>
  <c r="AJ24" i="1"/>
  <c r="AF24" i="1"/>
  <c r="K21" i="1"/>
  <c r="H21" i="1"/>
  <c r="K19" i="1"/>
  <c r="D21" i="2" s="1"/>
  <c r="F21" i="2" s="1"/>
  <c r="G21" i="2" s="1"/>
  <c r="I21" i="2" s="1"/>
  <c r="H19" i="1"/>
  <c r="K50" i="26"/>
  <c r="I50" i="26"/>
  <c r="K49" i="26"/>
  <c r="I49" i="26"/>
  <c r="K48" i="26"/>
  <c r="I48" i="26"/>
  <c r="K47" i="26"/>
  <c r="I47" i="26"/>
  <c r="K46" i="26"/>
  <c r="I46" i="26"/>
  <c r="K45" i="26"/>
  <c r="I45" i="26"/>
  <c r="K44" i="26"/>
  <c r="I44" i="26"/>
  <c r="K43" i="26"/>
  <c r="I43" i="26"/>
  <c r="K42" i="26"/>
  <c r="I42" i="26"/>
  <c r="K41" i="26"/>
  <c r="I41" i="26"/>
  <c r="K40" i="26"/>
  <c r="I40" i="26"/>
  <c r="K39" i="26"/>
  <c r="I39" i="26"/>
  <c r="K38" i="26"/>
  <c r="I38" i="26"/>
  <c r="K37" i="26"/>
  <c r="I37" i="26"/>
  <c r="K36" i="26"/>
  <c r="I36" i="26"/>
  <c r="K35" i="26"/>
  <c r="I35" i="26"/>
  <c r="K34" i="26"/>
  <c r="I34" i="26"/>
  <c r="K33" i="26"/>
  <c r="I33" i="26"/>
  <c r="K32" i="26"/>
  <c r="I32" i="26"/>
  <c r="K31" i="26"/>
  <c r="I31" i="26"/>
  <c r="K30" i="26"/>
  <c r="I30" i="26"/>
  <c r="K29" i="26"/>
  <c r="I29" i="26"/>
  <c r="K28" i="26"/>
  <c r="I28" i="26"/>
  <c r="K27" i="26"/>
  <c r="I27" i="26"/>
  <c r="K26" i="26"/>
  <c r="I26" i="26"/>
  <c r="K25" i="26"/>
  <c r="I25" i="26"/>
  <c r="K24" i="26"/>
  <c r="I24" i="26"/>
  <c r="K23" i="26"/>
  <c r="I23" i="26"/>
  <c r="K22" i="26"/>
  <c r="I22" i="26"/>
  <c r="K21" i="26"/>
  <c r="I21" i="26"/>
  <c r="K20" i="26"/>
  <c r="I20" i="26"/>
  <c r="K19" i="26"/>
  <c r="I19" i="26"/>
  <c r="K18" i="26"/>
  <c r="I18" i="26"/>
  <c r="X17" i="26"/>
  <c r="K17" i="26"/>
  <c r="I17" i="26"/>
  <c r="I16" i="26"/>
  <c r="D10" i="24"/>
  <c r="I27" i="1" s="1"/>
  <c r="D10" i="25"/>
  <c r="I28" i="1" s="1"/>
  <c r="K50" i="25"/>
  <c r="I50" i="25"/>
  <c r="K49" i="25"/>
  <c r="I49" i="25"/>
  <c r="K48" i="25"/>
  <c r="I48" i="25"/>
  <c r="K47" i="25"/>
  <c r="I47" i="25"/>
  <c r="K46" i="25"/>
  <c r="I46" i="25"/>
  <c r="K45" i="25"/>
  <c r="I45" i="25"/>
  <c r="K44" i="25"/>
  <c r="I44" i="25"/>
  <c r="K43" i="25"/>
  <c r="I43" i="25"/>
  <c r="K42" i="25"/>
  <c r="I42" i="25"/>
  <c r="K41" i="25"/>
  <c r="I41" i="25"/>
  <c r="K40" i="25"/>
  <c r="I40" i="25"/>
  <c r="K39" i="25"/>
  <c r="I39" i="25"/>
  <c r="K38" i="25"/>
  <c r="I38" i="25"/>
  <c r="K37" i="25"/>
  <c r="I37" i="25"/>
  <c r="K36" i="25"/>
  <c r="I36" i="25"/>
  <c r="K35" i="25"/>
  <c r="I35" i="25"/>
  <c r="K34" i="25"/>
  <c r="I34" i="25"/>
  <c r="K33" i="25"/>
  <c r="I33" i="25"/>
  <c r="K32" i="25"/>
  <c r="I32" i="25"/>
  <c r="K31" i="25"/>
  <c r="I31" i="25"/>
  <c r="K30" i="25"/>
  <c r="I30" i="25"/>
  <c r="K29" i="25"/>
  <c r="I29" i="25"/>
  <c r="K28" i="25"/>
  <c r="I28" i="25"/>
  <c r="K27" i="25"/>
  <c r="I27" i="25"/>
  <c r="K26" i="25"/>
  <c r="I26" i="25"/>
  <c r="K25" i="25"/>
  <c r="I25" i="25"/>
  <c r="K24" i="25"/>
  <c r="I24" i="25"/>
  <c r="K23" i="25"/>
  <c r="I23" i="25"/>
  <c r="K22" i="25"/>
  <c r="I22" i="25"/>
  <c r="K21" i="25"/>
  <c r="I21" i="25"/>
  <c r="K20" i="25"/>
  <c r="I20" i="25"/>
  <c r="K19" i="25"/>
  <c r="I19" i="25"/>
  <c r="K18" i="25"/>
  <c r="I18" i="25"/>
  <c r="X17" i="25"/>
  <c r="K17" i="25"/>
  <c r="I17" i="25"/>
  <c r="I16" i="25"/>
  <c r="H10" i="25" s="1"/>
  <c r="K90" i="24"/>
  <c r="I90" i="24"/>
  <c r="K89" i="24"/>
  <c r="I89" i="24"/>
  <c r="K88" i="24"/>
  <c r="I88" i="24"/>
  <c r="K87" i="24"/>
  <c r="I87" i="24"/>
  <c r="K86" i="24"/>
  <c r="I86" i="24"/>
  <c r="K85" i="24"/>
  <c r="I85" i="24"/>
  <c r="K84" i="24"/>
  <c r="I84" i="24"/>
  <c r="K83" i="24"/>
  <c r="I83" i="24"/>
  <c r="K82" i="24"/>
  <c r="I82" i="24"/>
  <c r="K81" i="24"/>
  <c r="I81" i="24"/>
  <c r="K80" i="24"/>
  <c r="I80" i="24"/>
  <c r="K79" i="24"/>
  <c r="I79" i="24"/>
  <c r="K78" i="24"/>
  <c r="I78" i="24"/>
  <c r="K77" i="24"/>
  <c r="I77" i="24"/>
  <c r="K76" i="24"/>
  <c r="I76" i="24"/>
  <c r="K75" i="24"/>
  <c r="I75" i="24"/>
  <c r="K74" i="24"/>
  <c r="I74" i="24"/>
  <c r="K73" i="24"/>
  <c r="I73" i="24"/>
  <c r="K72" i="24"/>
  <c r="I72" i="24"/>
  <c r="K71" i="24"/>
  <c r="I71" i="24"/>
  <c r="K70" i="24"/>
  <c r="I70" i="24"/>
  <c r="K69" i="24"/>
  <c r="I69" i="24"/>
  <c r="K68" i="24"/>
  <c r="I68" i="24"/>
  <c r="K67" i="24"/>
  <c r="I67" i="24"/>
  <c r="K66" i="24"/>
  <c r="I66" i="24"/>
  <c r="K65" i="24"/>
  <c r="I65" i="24"/>
  <c r="K64" i="24"/>
  <c r="I64" i="24"/>
  <c r="K63" i="24"/>
  <c r="I63" i="24"/>
  <c r="K62" i="24"/>
  <c r="I62" i="24"/>
  <c r="K61" i="24"/>
  <c r="I61" i="24"/>
  <c r="K60" i="24"/>
  <c r="I60" i="24"/>
  <c r="K59" i="24"/>
  <c r="I59" i="24"/>
  <c r="K58" i="24"/>
  <c r="I58" i="24"/>
  <c r="K57" i="24"/>
  <c r="I57" i="24"/>
  <c r="K56" i="24"/>
  <c r="I56" i="24"/>
  <c r="K55" i="24"/>
  <c r="I55" i="24"/>
  <c r="K54" i="24"/>
  <c r="I54" i="24"/>
  <c r="K53" i="24"/>
  <c r="I53" i="24"/>
  <c r="K52" i="24"/>
  <c r="I52" i="24"/>
  <c r="K51" i="24"/>
  <c r="I51" i="24"/>
  <c r="K50" i="24"/>
  <c r="I50" i="24"/>
  <c r="K49" i="24"/>
  <c r="I49" i="24"/>
  <c r="K48" i="24"/>
  <c r="I48" i="24"/>
  <c r="K47" i="24"/>
  <c r="I47" i="24"/>
  <c r="K46" i="24"/>
  <c r="I46" i="24"/>
  <c r="K45" i="24"/>
  <c r="I45" i="24"/>
  <c r="K44" i="24"/>
  <c r="I44" i="24"/>
  <c r="K43" i="24"/>
  <c r="I43" i="24"/>
  <c r="K42" i="24"/>
  <c r="I42" i="24"/>
  <c r="K41" i="24"/>
  <c r="I41" i="24"/>
  <c r="K40" i="24"/>
  <c r="I40" i="24"/>
  <c r="K39" i="24"/>
  <c r="I39" i="24"/>
  <c r="K38" i="24"/>
  <c r="I38" i="24"/>
  <c r="K37" i="24"/>
  <c r="I37" i="24"/>
  <c r="K36" i="24"/>
  <c r="I36" i="24"/>
  <c r="K35" i="24"/>
  <c r="I35" i="24"/>
  <c r="K34" i="24"/>
  <c r="I34" i="24"/>
  <c r="K33" i="24"/>
  <c r="I33" i="24"/>
  <c r="K32" i="24"/>
  <c r="I32" i="24"/>
  <c r="K31" i="24"/>
  <c r="I31" i="24"/>
  <c r="K30" i="24"/>
  <c r="I30" i="24"/>
  <c r="K29" i="24"/>
  <c r="I29" i="24"/>
  <c r="K28" i="24"/>
  <c r="I28" i="24"/>
  <c r="K27" i="24"/>
  <c r="I27" i="24"/>
  <c r="K26" i="24"/>
  <c r="I26" i="24"/>
  <c r="K25" i="24"/>
  <c r="I25" i="24"/>
  <c r="K24" i="24"/>
  <c r="I24" i="24"/>
  <c r="K23" i="24"/>
  <c r="I23" i="24"/>
  <c r="K22" i="24"/>
  <c r="I22" i="24"/>
  <c r="K21" i="24"/>
  <c r="I21" i="24"/>
  <c r="K20" i="24"/>
  <c r="I20" i="24"/>
  <c r="K19" i="24"/>
  <c r="I19" i="24"/>
  <c r="K18" i="24"/>
  <c r="I18" i="24"/>
  <c r="X17" i="24"/>
  <c r="K17" i="24"/>
  <c r="I17" i="24"/>
  <c r="I16" i="24"/>
  <c r="D11" i="24"/>
  <c r="D10" i="23"/>
  <c r="K115" i="23"/>
  <c r="I115" i="23"/>
  <c r="K114" i="23"/>
  <c r="I114" i="23"/>
  <c r="K113" i="23"/>
  <c r="I113" i="23"/>
  <c r="K112" i="23"/>
  <c r="I112" i="23"/>
  <c r="K111" i="23"/>
  <c r="I111" i="23"/>
  <c r="K110" i="23"/>
  <c r="I110" i="23"/>
  <c r="K109" i="23"/>
  <c r="I109" i="23"/>
  <c r="K108" i="23"/>
  <c r="I108" i="23"/>
  <c r="K107" i="23"/>
  <c r="I107" i="23"/>
  <c r="K106" i="23"/>
  <c r="I106" i="23"/>
  <c r="K105" i="23"/>
  <c r="I105" i="23"/>
  <c r="K104" i="23"/>
  <c r="I104" i="23"/>
  <c r="K103" i="23"/>
  <c r="I103" i="23"/>
  <c r="K102" i="23"/>
  <c r="I102" i="23"/>
  <c r="K101" i="23"/>
  <c r="I101" i="23"/>
  <c r="K100" i="23"/>
  <c r="I100" i="23"/>
  <c r="K99" i="23"/>
  <c r="I99" i="23"/>
  <c r="K98" i="23"/>
  <c r="I98" i="23"/>
  <c r="K97" i="23"/>
  <c r="I97" i="23"/>
  <c r="K96" i="23"/>
  <c r="I96" i="23"/>
  <c r="K95" i="23"/>
  <c r="I95" i="23"/>
  <c r="K94" i="23"/>
  <c r="I94" i="23"/>
  <c r="K93" i="23"/>
  <c r="I93" i="23"/>
  <c r="K92" i="23"/>
  <c r="I92" i="23"/>
  <c r="K91" i="23"/>
  <c r="I91" i="23"/>
  <c r="K90" i="23"/>
  <c r="I90" i="23"/>
  <c r="K89" i="23"/>
  <c r="I89" i="23"/>
  <c r="K88" i="23"/>
  <c r="I88" i="23"/>
  <c r="K87" i="23"/>
  <c r="I87" i="23"/>
  <c r="K86" i="23"/>
  <c r="I86" i="23"/>
  <c r="K85" i="23"/>
  <c r="I85" i="23"/>
  <c r="K84" i="23"/>
  <c r="I84" i="23"/>
  <c r="K83" i="23"/>
  <c r="I83" i="23"/>
  <c r="K82" i="23"/>
  <c r="I82" i="23"/>
  <c r="K81" i="23"/>
  <c r="I81" i="23"/>
  <c r="K80" i="23"/>
  <c r="I80" i="23"/>
  <c r="K79" i="23"/>
  <c r="I79" i="23"/>
  <c r="K78" i="23"/>
  <c r="I78" i="23"/>
  <c r="K77" i="23"/>
  <c r="I77" i="23"/>
  <c r="K76" i="23"/>
  <c r="I76" i="23"/>
  <c r="K75" i="23"/>
  <c r="I75" i="23"/>
  <c r="K74" i="23"/>
  <c r="I74" i="23"/>
  <c r="K73" i="23"/>
  <c r="I73" i="23"/>
  <c r="K72" i="23"/>
  <c r="I72" i="23"/>
  <c r="K71" i="23"/>
  <c r="I71" i="23"/>
  <c r="K70" i="23"/>
  <c r="I70" i="23"/>
  <c r="K69" i="23"/>
  <c r="I69" i="23"/>
  <c r="K68" i="23"/>
  <c r="I68" i="23"/>
  <c r="K67" i="23"/>
  <c r="I67" i="23"/>
  <c r="K66" i="23"/>
  <c r="I66" i="23"/>
  <c r="K65" i="23"/>
  <c r="I65" i="23"/>
  <c r="K64" i="23"/>
  <c r="I64" i="23"/>
  <c r="K63" i="23"/>
  <c r="I63" i="23"/>
  <c r="K62" i="23"/>
  <c r="I62" i="23"/>
  <c r="K61" i="23"/>
  <c r="I61" i="23"/>
  <c r="K60" i="23"/>
  <c r="I60" i="23"/>
  <c r="K59" i="23"/>
  <c r="I59" i="23"/>
  <c r="K58" i="23"/>
  <c r="I58" i="23"/>
  <c r="K57" i="23"/>
  <c r="I57" i="23"/>
  <c r="K56" i="23"/>
  <c r="I56" i="23"/>
  <c r="K55" i="23"/>
  <c r="I55" i="23"/>
  <c r="K54" i="23"/>
  <c r="I54" i="23"/>
  <c r="K53" i="23"/>
  <c r="I53" i="23"/>
  <c r="K52" i="23"/>
  <c r="I52" i="23"/>
  <c r="K51" i="23"/>
  <c r="I51" i="23"/>
  <c r="K50" i="23"/>
  <c r="I50" i="23"/>
  <c r="K49" i="23"/>
  <c r="I49" i="23"/>
  <c r="K48" i="23"/>
  <c r="I48" i="23"/>
  <c r="K47" i="23"/>
  <c r="I47" i="23"/>
  <c r="K46" i="23"/>
  <c r="I46" i="23"/>
  <c r="K45" i="23"/>
  <c r="I45" i="23"/>
  <c r="K44" i="23"/>
  <c r="I44" i="23"/>
  <c r="K43" i="23"/>
  <c r="I43" i="23"/>
  <c r="K42" i="23"/>
  <c r="I42" i="23"/>
  <c r="K41" i="23"/>
  <c r="I41" i="23"/>
  <c r="K40" i="23"/>
  <c r="I40" i="23"/>
  <c r="K39" i="23"/>
  <c r="I39" i="23"/>
  <c r="K38" i="23"/>
  <c r="I38" i="23"/>
  <c r="K37" i="23"/>
  <c r="I37" i="23"/>
  <c r="K36" i="23"/>
  <c r="I36" i="23"/>
  <c r="K35" i="23"/>
  <c r="I35" i="23"/>
  <c r="K34" i="23"/>
  <c r="I34" i="23"/>
  <c r="K33" i="23"/>
  <c r="I33" i="23"/>
  <c r="K32" i="23"/>
  <c r="I32" i="23"/>
  <c r="K31" i="23"/>
  <c r="I31" i="23"/>
  <c r="K30" i="23"/>
  <c r="I30" i="23"/>
  <c r="K29" i="23"/>
  <c r="I29" i="23"/>
  <c r="K28" i="23"/>
  <c r="I28" i="23"/>
  <c r="K27" i="23"/>
  <c r="I27" i="23"/>
  <c r="K26" i="23"/>
  <c r="I26" i="23"/>
  <c r="K25" i="23"/>
  <c r="I25" i="23"/>
  <c r="K24" i="23"/>
  <c r="I24" i="23"/>
  <c r="K23" i="23"/>
  <c r="I23" i="23"/>
  <c r="K22" i="23"/>
  <c r="I22" i="23"/>
  <c r="K21" i="23"/>
  <c r="I21" i="23"/>
  <c r="K20" i="23"/>
  <c r="I20" i="23"/>
  <c r="BP19" i="23"/>
  <c r="K19" i="23"/>
  <c r="I19" i="23"/>
  <c r="K18" i="23"/>
  <c r="I18" i="23"/>
  <c r="X17" i="23"/>
  <c r="K17" i="23"/>
  <c r="I17" i="23"/>
  <c r="I16" i="23"/>
  <c r="K65" i="22"/>
  <c r="I65" i="22"/>
  <c r="K64" i="22"/>
  <c r="I64" i="22"/>
  <c r="K63" i="22"/>
  <c r="I63" i="22"/>
  <c r="K62" i="22"/>
  <c r="I62" i="22"/>
  <c r="K61" i="22"/>
  <c r="I61" i="22"/>
  <c r="K60" i="22"/>
  <c r="I60" i="22"/>
  <c r="K59" i="22"/>
  <c r="I59" i="22"/>
  <c r="K58" i="22"/>
  <c r="I58" i="22"/>
  <c r="K57" i="22"/>
  <c r="I57" i="22"/>
  <c r="K56" i="22"/>
  <c r="I56" i="22"/>
  <c r="K55" i="22"/>
  <c r="I55" i="22"/>
  <c r="K54" i="22"/>
  <c r="I54" i="22"/>
  <c r="K53" i="22"/>
  <c r="I53" i="22"/>
  <c r="K52" i="22"/>
  <c r="I52" i="22"/>
  <c r="K51" i="22"/>
  <c r="I51" i="22"/>
  <c r="K50" i="22"/>
  <c r="I50" i="22"/>
  <c r="K49" i="22"/>
  <c r="I49" i="22"/>
  <c r="K48" i="22"/>
  <c r="I48" i="22"/>
  <c r="K47" i="22"/>
  <c r="I47" i="22"/>
  <c r="K46" i="22"/>
  <c r="I46" i="22"/>
  <c r="K45" i="22"/>
  <c r="I45" i="22"/>
  <c r="K44" i="22"/>
  <c r="I44" i="22"/>
  <c r="K43" i="22"/>
  <c r="I43" i="22"/>
  <c r="K42" i="22"/>
  <c r="I42" i="22"/>
  <c r="K41" i="22"/>
  <c r="I41" i="22"/>
  <c r="K40" i="22"/>
  <c r="I40" i="22"/>
  <c r="K39" i="22"/>
  <c r="I39" i="22"/>
  <c r="K38" i="22"/>
  <c r="I38" i="22"/>
  <c r="K37" i="22"/>
  <c r="I37" i="22"/>
  <c r="K36" i="22"/>
  <c r="I36" i="22"/>
  <c r="K35" i="22"/>
  <c r="I35" i="22"/>
  <c r="K34" i="22"/>
  <c r="I34" i="22"/>
  <c r="K33" i="22"/>
  <c r="I33" i="22"/>
  <c r="K32" i="22"/>
  <c r="I32" i="22"/>
  <c r="K31" i="22"/>
  <c r="I31" i="22"/>
  <c r="K30" i="22"/>
  <c r="I30" i="22"/>
  <c r="K29" i="22"/>
  <c r="I29" i="22"/>
  <c r="K28" i="22"/>
  <c r="I28" i="22"/>
  <c r="K27" i="22"/>
  <c r="I27" i="22"/>
  <c r="K26" i="22"/>
  <c r="I26" i="22"/>
  <c r="K25" i="22"/>
  <c r="I25" i="22"/>
  <c r="K24" i="22"/>
  <c r="I24" i="22"/>
  <c r="K23" i="22"/>
  <c r="I23" i="22"/>
  <c r="K22" i="22"/>
  <c r="I22" i="22"/>
  <c r="K21" i="22"/>
  <c r="I21" i="22"/>
  <c r="K20" i="22"/>
  <c r="I20" i="22"/>
  <c r="K19" i="22"/>
  <c r="I19" i="22"/>
  <c r="K18" i="22"/>
  <c r="I18" i="22"/>
  <c r="X17" i="22"/>
  <c r="K17" i="22"/>
  <c r="I17" i="22"/>
  <c r="I16" i="22"/>
  <c r="K16" i="22" s="1"/>
  <c r="D10" i="22"/>
  <c r="D10" i="21"/>
  <c r="K65" i="21"/>
  <c r="I65" i="21"/>
  <c r="K64" i="21"/>
  <c r="I64" i="21"/>
  <c r="K63" i="21"/>
  <c r="I63" i="21"/>
  <c r="K62" i="21"/>
  <c r="I62" i="21"/>
  <c r="K61" i="21"/>
  <c r="I61" i="21"/>
  <c r="K60" i="21"/>
  <c r="I60" i="21"/>
  <c r="K59" i="21"/>
  <c r="I59" i="21"/>
  <c r="K58" i="21"/>
  <c r="I58" i="21"/>
  <c r="K57" i="21"/>
  <c r="I57" i="21"/>
  <c r="K56" i="21"/>
  <c r="I56" i="21"/>
  <c r="K55" i="21"/>
  <c r="I55" i="21"/>
  <c r="K54" i="21"/>
  <c r="I54" i="21"/>
  <c r="K53" i="21"/>
  <c r="I53" i="21"/>
  <c r="K52" i="21"/>
  <c r="I52" i="21"/>
  <c r="K51" i="21"/>
  <c r="I51" i="21"/>
  <c r="K50" i="21"/>
  <c r="I50" i="21"/>
  <c r="K49" i="21"/>
  <c r="I49" i="21"/>
  <c r="K48" i="21"/>
  <c r="I48" i="21"/>
  <c r="K47" i="21"/>
  <c r="I47" i="21"/>
  <c r="K46" i="21"/>
  <c r="I46" i="21"/>
  <c r="K45" i="21"/>
  <c r="I45" i="21"/>
  <c r="K44" i="21"/>
  <c r="I44" i="21"/>
  <c r="K43" i="21"/>
  <c r="I43" i="21"/>
  <c r="K42" i="21"/>
  <c r="I42" i="21"/>
  <c r="K41" i="21"/>
  <c r="I41" i="21"/>
  <c r="K40" i="21"/>
  <c r="I40" i="21"/>
  <c r="K39" i="21"/>
  <c r="I39" i="21"/>
  <c r="K38" i="21"/>
  <c r="I38" i="21"/>
  <c r="K37" i="21"/>
  <c r="I37" i="21"/>
  <c r="K36" i="21"/>
  <c r="I36" i="21"/>
  <c r="K35" i="21"/>
  <c r="I35" i="21"/>
  <c r="K34" i="21"/>
  <c r="I34" i="21"/>
  <c r="K33" i="21"/>
  <c r="I33" i="21"/>
  <c r="K32" i="21"/>
  <c r="I32" i="21"/>
  <c r="K31" i="21"/>
  <c r="I31" i="21"/>
  <c r="K30" i="21"/>
  <c r="I30" i="21"/>
  <c r="K29" i="21"/>
  <c r="I29" i="21"/>
  <c r="K28" i="21"/>
  <c r="I28" i="21"/>
  <c r="K27" i="21"/>
  <c r="I27" i="21"/>
  <c r="K26" i="21"/>
  <c r="I26" i="21"/>
  <c r="K25" i="21"/>
  <c r="I25" i="21"/>
  <c r="L24" i="21"/>
  <c r="K24" i="21"/>
  <c r="I24" i="21"/>
  <c r="K23" i="21"/>
  <c r="I23" i="21"/>
  <c r="K22" i="21"/>
  <c r="I22" i="21"/>
  <c r="K21" i="21"/>
  <c r="I21" i="21"/>
  <c r="K20" i="21"/>
  <c r="I20" i="21"/>
  <c r="BP19" i="21"/>
  <c r="K19" i="21"/>
  <c r="I19" i="21"/>
  <c r="K18" i="21"/>
  <c r="I18" i="21"/>
  <c r="K17" i="21"/>
  <c r="I17" i="21"/>
  <c r="I16" i="21"/>
  <c r="K16" i="21" s="1"/>
  <c r="I8" i="1"/>
  <c r="K65" i="20"/>
  <c r="I65" i="20"/>
  <c r="K64" i="20"/>
  <c r="I64" i="20"/>
  <c r="K63" i="20"/>
  <c r="I63" i="20"/>
  <c r="K62" i="20"/>
  <c r="I62" i="20"/>
  <c r="K61" i="20"/>
  <c r="I61" i="20"/>
  <c r="K60" i="20"/>
  <c r="I60" i="20"/>
  <c r="K59" i="20"/>
  <c r="I59" i="20"/>
  <c r="K58" i="20"/>
  <c r="I58" i="20"/>
  <c r="K57" i="20"/>
  <c r="I57" i="20"/>
  <c r="K56" i="20"/>
  <c r="I56" i="20"/>
  <c r="K55" i="20"/>
  <c r="I55" i="20"/>
  <c r="K54" i="20"/>
  <c r="I54" i="20"/>
  <c r="K53" i="20"/>
  <c r="I53" i="20"/>
  <c r="K52" i="20"/>
  <c r="I52" i="20"/>
  <c r="K51" i="20"/>
  <c r="I51" i="20"/>
  <c r="K50" i="20"/>
  <c r="I50" i="20"/>
  <c r="K49" i="20"/>
  <c r="I49" i="20"/>
  <c r="K48" i="20"/>
  <c r="I48" i="20"/>
  <c r="K47" i="20"/>
  <c r="I47" i="20"/>
  <c r="K46" i="20"/>
  <c r="I46" i="20"/>
  <c r="K45" i="20"/>
  <c r="I45" i="20"/>
  <c r="K44" i="20"/>
  <c r="I44" i="20"/>
  <c r="K43" i="20"/>
  <c r="I43" i="20"/>
  <c r="K42" i="20"/>
  <c r="I42" i="20"/>
  <c r="K41" i="20"/>
  <c r="I41" i="20"/>
  <c r="K40" i="20"/>
  <c r="I40" i="20"/>
  <c r="K39" i="20"/>
  <c r="I39" i="20"/>
  <c r="K38" i="20"/>
  <c r="I38" i="20"/>
  <c r="K37" i="20"/>
  <c r="I37" i="20"/>
  <c r="K36" i="20"/>
  <c r="I36" i="20"/>
  <c r="K35" i="20"/>
  <c r="I35" i="20"/>
  <c r="K34" i="20"/>
  <c r="I34" i="20"/>
  <c r="K33" i="20"/>
  <c r="I33" i="20"/>
  <c r="K32" i="20"/>
  <c r="I32" i="20"/>
  <c r="K31" i="20"/>
  <c r="I31" i="20"/>
  <c r="K30" i="20"/>
  <c r="I30" i="20"/>
  <c r="K29" i="20"/>
  <c r="I29" i="20"/>
  <c r="K28" i="20"/>
  <c r="I28" i="20"/>
  <c r="K27" i="20"/>
  <c r="I27" i="20"/>
  <c r="K26" i="20"/>
  <c r="I26" i="20"/>
  <c r="K25" i="20"/>
  <c r="I25" i="20"/>
  <c r="K24" i="20"/>
  <c r="I24" i="20"/>
  <c r="K23" i="20"/>
  <c r="I23" i="20"/>
  <c r="K22" i="20"/>
  <c r="I22" i="20"/>
  <c r="K21" i="20"/>
  <c r="I21" i="20"/>
  <c r="K20" i="20"/>
  <c r="I20" i="20"/>
  <c r="BP19" i="20"/>
  <c r="K19" i="20"/>
  <c r="I19" i="20"/>
  <c r="K18" i="20"/>
  <c r="I18" i="20"/>
  <c r="K17" i="20"/>
  <c r="I17" i="20"/>
  <c r="AH16" i="20"/>
  <c r="AG16" i="20"/>
  <c r="AF16" i="20"/>
  <c r="I16" i="20"/>
  <c r="K16" i="20" s="1"/>
  <c r="I16" i="19"/>
  <c r="K16" i="19"/>
  <c r="I17" i="19"/>
  <c r="K17" i="19"/>
  <c r="I18" i="19"/>
  <c r="K18" i="19"/>
  <c r="I19" i="19"/>
  <c r="K19" i="19"/>
  <c r="I20" i="19"/>
  <c r="K20" i="19"/>
  <c r="I21" i="19"/>
  <c r="K21" i="19"/>
  <c r="I22" i="19"/>
  <c r="K22" i="19"/>
  <c r="I23" i="19"/>
  <c r="K23" i="19"/>
  <c r="I24" i="19"/>
  <c r="K24" i="19"/>
  <c r="I25" i="19"/>
  <c r="K25" i="19"/>
  <c r="I26" i="19"/>
  <c r="K26" i="19"/>
  <c r="I27" i="19"/>
  <c r="K27" i="19"/>
  <c r="I28" i="19"/>
  <c r="K28" i="19"/>
  <c r="I29" i="19"/>
  <c r="K29" i="19"/>
  <c r="I30" i="19"/>
  <c r="K30" i="19"/>
  <c r="I31" i="19"/>
  <c r="K31" i="19"/>
  <c r="I32" i="19"/>
  <c r="K32" i="19"/>
  <c r="I33" i="19"/>
  <c r="K33" i="19"/>
  <c r="I34" i="19"/>
  <c r="K34" i="19"/>
  <c r="I35" i="19"/>
  <c r="K35" i="19"/>
  <c r="I36" i="19"/>
  <c r="K36" i="19"/>
  <c r="I37" i="19"/>
  <c r="K37" i="19"/>
  <c r="I38" i="19"/>
  <c r="K38" i="19"/>
  <c r="I39" i="19"/>
  <c r="K39" i="19"/>
  <c r="I40" i="19"/>
  <c r="K40" i="19"/>
  <c r="I41" i="19"/>
  <c r="K41" i="19"/>
  <c r="I42" i="19"/>
  <c r="K42" i="19"/>
  <c r="I43" i="19"/>
  <c r="K43" i="19"/>
  <c r="I44" i="19"/>
  <c r="K44" i="19"/>
  <c r="I45" i="19"/>
  <c r="K45" i="19"/>
  <c r="I46" i="19"/>
  <c r="K46" i="19"/>
  <c r="I47" i="19"/>
  <c r="K47" i="19"/>
  <c r="I48" i="19"/>
  <c r="K48" i="19"/>
  <c r="I49" i="19"/>
  <c r="K49" i="19"/>
  <c r="I50" i="19"/>
  <c r="K50" i="19"/>
  <c r="I51" i="19"/>
  <c r="K51" i="19"/>
  <c r="I52" i="19"/>
  <c r="K52" i="19"/>
  <c r="I53" i="19"/>
  <c r="K53" i="19"/>
  <c r="I54" i="19"/>
  <c r="K54" i="19"/>
  <c r="I55" i="19"/>
  <c r="K55" i="19"/>
  <c r="I56" i="19"/>
  <c r="K56" i="19"/>
  <c r="I57" i="19"/>
  <c r="K57" i="19"/>
  <c r="I58" i="19"/>
  <c r="K58" i="19"/>
  <c r="I59" i="19"/>
  <c r="K59" i="19"/>
  <c r="I60" i="19"/>
  <c r="K60" i="19"/>
  <c r="I61" i="19"/>
  <c r="K61" i="19"/>
  <c r="I62" i="19"/>
  <c r="K62" i="19"/>
  <c r="I63" i="19"/>
  <c r="K63" i="19"/>
  <c r="I64" i="19"/>
  <c r="K64" i="19"/>
  <c r="AF15" i="19"/>
  <c r="I15" i="19"/>
  <c r="X16" i="19"/>
  <c r="BP18" i="19"/>
  <c r="H10" i="22" l="1"/>
  <c r="K10" i="22" s="1"/>
  <c r="K16" i="24"/>
  <c r="H10" i="24"/>
  <c r="K10" i="24" s="1"/>
  <c r="K27" i="1" s="1"/>
  <c r="J27" i="1" s="1"/>
  <c r="AG24" i="1"/>
  <c r="AW24" i="1"/>
  <c r="AG26" i="1"/>
  <c r="AW26" i="1"/>
  <c r="AG28" i="1"/>
  <c r="AW28" i="1"/>
  <c r="K16" i="23"/>
  <c r="H10" i="23"/>
  <c r="K10" i="23" s="1"/>
  <c r="K26" i="1" s="1"/>
  <c r="K16" i="26"/>
  <c r="H10" i="26"/>
  <c r="K10" i="26" s="1"/>
  <c r="K29" i="1" s="1"/>
  <c r="AG25" i="1"/>
  <c r="AW25" i="1"/>
  <c r="AG27" i="1"/>
  <c r="AW27" i="1"/>
  <c r="AG29" i="1"/>
  <c r="AW29" i="1"/>
  <c r="G21" i="1"/>
  <c r="AD16" i="20"/>
  <c r="L16" i="20" s="1"/>
  <c r="AE16" i="20"/>
  <c r="K15" i="19"/>
  <c r="AI15" i="19"/>
  <c r="AJ16" i="20"/>
  <c r="AK15" i="20" s="1"/>
  <c r="L23" i="26"/>
  <c r="L23" i="25"/>
  <c r="L35" i="22"/>
  <c r="L43" i="22"/>
  <c r="L47" i="22"/>
  <c r="L51" i="22"/>
  <c r="L55" i="22"/>
  <c r="L59" i="22"/>
  <c r="L20" i="21"/>
  <c r="L40" i="21"/>
  <c r="L56" i="21"/>
  <c r="J21" i="2"/>
  <c r="K21" i="2" s="1"/>
  <c r="L36" i="25"/>
  <c r="L39" i="25"/>
  <c r="L21" i="26"/>
  <c r="L40" i="26"/>
  <c r="L44" i="26"/>
  <c r="L48" i="26"/>
  <c r="L33" i="26"/>
  <c r="D11" i="25"/>
  <c r="L28" i="25"/>
  <c r="L31" i="25"/>
  <c r="L44" i="25"/>
  <c r="L47" i="25"/>
  <c r="L112" i="23"/>
  <c r="L36" i="23"/>
  <c r="L52" i="23"/>
  <c r="L76" i="23"/>
  <c r="L63" i="22"/>
  <c r="L23" i="22"/>
  <c r="L27" i="22"/>
  <c r="L31" i="22"/>
  <c r="L32" i="21"/>
  <c r="L34" i="21"/>
  <c r="L40" i="20"/>
  <c r="L20" i="20"/>
  <c r="L26" i="20"/>
  <c r="L34" i="20"/>
  <c r="L48" i="21"/>
  <c r="L50" i="21"/>
  <c r="D11" i="20"/>
  <c r="L39" i="22"/>
  <c r="D11" i="21"/>
  <c r="I10" i="1"/>
  <c r="E10" i="1" s="1"/>
  <c r="G10" i="1" s="1"/>
  <c r="D11" i="22"/>
  <c r="I24" i="1"/>
  <c r="D11" i="23"/>
  <c r="I26" i="1"/>
  <c r="E26" i="1" s="1"/>
  <c r="G26" i="1" s="1"/>
  <c r="H31" i="2" s="1"/>
  <c r="E27" i="1"/>
  <c r="G27" i="1" s="1"/>
  <c r="H33" i="2" s="1"/>
  <c r="L88" i="23"/>
  <c r="L18" i="24"/>
  <c r="L24" i="25"/>
  <c r="L27" i="25"/>
  <c r="L32" i="25"/>
  <c r="L35" i="25"/>
  <c r="L40" i="25"/>
  <c r="L43" i="25"/>
  <c r="L48" i="25"/>
  <c r="D11" i="26"/>
  <c r="I29" i="1"/>
  <c r="E29" i="1" s="1"/>
  <c r="G29" i="1" s="1"/>
  <c r="H37" i="2" s="1"/>
  <c r="L25" i="26"/>
  <c r="L27" i="26"/>
  <c r="L31" i="26"/>
  <c r="L36" i="26"/>
  <c r="L47" i="26"/>
  <c r="L20" i="22"/>
  <c r="L26" i="21"/>
  <c r="L58" i="21"/>
  <c r="L42" i="21"/>
  <c r="L62" i="20"/>
  <c r="E28" i="1"/>
  <c r="G28" i="1" s="1"/>
  <c r="H35" i="2" s="1"/>
  <c r="L58" i="19"/>
  <c r="L42" i="19"/>
  <c r="L34" i="19"/>
  <c r="L26" i="19"/>
  <c r="L38" i="23"/>
  <c r="L22" i="24"/>
  <c r="L26" i="24"/>
  <c r="L34" i="24"/>
  <c r="L38" i="24"/>
  <c r="L42" i="24"/>
  <c r="L46" i="24"/>
  <c r="L50" i="24"/>
  <c r="L54" i="24"/>
  <c r="L58" i="24"/>
  <c r="L62" i="24"/>
  <c r="L75" i="24"/>
  <c r="L79" i="24"/>
  <c r="L60" i="19"/>
  <c r="L44" i="19"/>
  <c r="L40" i="19"/>
  <c r="L36" i="19"/>
  <c r="L22" i="19"/>
  <c r="L57" i="22"/>
  <c r="L18" i="23"/>
  <c r="L109" i="23"/>
  <c r="L101" i="23"/>
  <c r="L93" i="23"/>
  <c r="L85" i="23"/>
  <c r="L77" i="23"/>
  <c r="L75" i="23"/>
  <c r="L73" i="23"/>
  <c r="L71" i="23"/>
  <c r="L69" i="23"/>
  <c r="L67" i="23"/>
  <c r="L61" i="23"/>
  <c r="L53" i="23"/>
  <c r="L45" i="23"/>
  <c r="L37" i="23"/>
  <c r="L29" i="23"/>
  <c r="L21" i="23"/>
  <c r="L24" i="19"/>
  <c r="L20" i="19"/>
  <c r="L42" i="20"/>
  <c r="L50" i="20"/>
  <c r="L58" i="20"/>
  <c r="H10" i="21"/>
  <c r="K10" i="21" s="1"/>
  <c r="K10" i="1" s="1"/>
  <c r="J10" i="1" s="1"/>
  <c r="L19" i="21"/>
  <c r="L28" i="21"/>
  <c r="L36" i="21"/>
  <c r="L44" i="21"/>
  <c r="L52" i="21"/>
  <c r="L108" i="23"/>
  <c r="L110" i="23"/>
  <c r="L102" i="23"/>
  <c r="L86" i="23"/>
  <c r="L78" i="23"/>
  <c r="L70" i="23"/>
  <c r="L62" i="23"/>
  <c r="L54" i="23"/>
  <c r="L46" i="23"/>
  <c r="L20" i="23"/>
  <c r="K16" i="25"/>
  <c r="K10" i="25" s="1"/>
  <c r="K28" i="1" s="1"/>
  <c r="J28" i="1" s="1"/>
  <c r="AD7" i="26"/>
  <c r="AE7" i="26" s="1"/>
  <c r="L20" i="24"/>
  <c r="L24" i="24"/>
  <c r="L28" i="24"/>
  <c r="L31" i="24"/>
  <c r="L36" i="24"/>
  <c r="L40" i="24"/>
  <c r="L44" i="24"/>
  <c r="L48" i="24"/>
  <c r="L52" i="24"/>
  <c r="L56" i="24"/>
  <c r="L60" i="24"/>
  <c r="L64" i="24"/>
  <c r="L73" i="24"/>
  <c r="L77" i="24"/>
  <c r="L82" i="24"/>
  <c r="L83" i="24"/>
  <c r="L84" i="24"/>
  <c r="L86" i="24"/>
  <c r="L88" i="24"/>
  <c r="L18" i="25"/>
  <c r="L21" i="25"/>
  <c r="L25" i="25"/>
  <c r="L29" i="25"/>
  <c r="L33" i="25"/>
  <c r="L37" i="25"/>
  <c r="L38" i="25"/>
  <c r="L41" i="25"/>
  <c r="L42" i="25"/>
  <c r="L45" i="25"/>
  <c r="L49" i="25"/>
  <c r="L35" i="26"/>
  <c r="L43" i="26"/>
  <c r="G23" i="1"/>
  <c r="H25" i="2" s="1"/>
  <c r="L29" i="26"/>
  <c r="L39" i="26"/>
  <c r="H23" i="1"/>
  <c r="AA25" i="1"/>
  <c r="AJ23" i="1"/>
  <c r="AJ25" i="1"/>
  <c r="L20" i="26"/>
  <c r="L32" i="26"/>
  <c r="L22" i="26"/>
  <c r="L26" i="26"/>
  <c r="L30" i="26"/>
  <c r="L34" i="26"/>
  <c r="L24" i="26"/>
  <c r="L28" i="26"/>
  <c r="L18" i="26"/>
  <c r="L19" i="26"/>
  <c r="L38" i="26"/>
  <c r="L42" i="26"/>
  <c r="L46" i="26"/>
  <c r="L50" i="26"/>
  <c r="L37" i="26"/>
  <c r="L41" i="26"/>
  <c r="L45" i="26"/>
  <c r="L49" i="26"/>
  <c r="L19" i="25"/>
  <c r="L30" i="25"/>
  <c r="L50" i="25"/>
  <c r="L22" i="25"/>
  <c r="L26" i="25"/>
  <c r="L34" i="25"/>
  <c r="L46" i="25"/>
  <c r="L20" i="25"/>
  <c r="L17" i="24"/>
  <c r="L22" i="21"/>
  <c r="L30" i="21"/>
  <c r="L38" i="21"/>
  <c r="L46" i="21"/>
  <c r="L54" i="21"/>
  <c r="L32" i="24"/>
  <c r="L81" i="24"/>
  <c r="L85" i="24"/>
  <c r="L89" i="24"/>
  <c r="L66" i="24"/>
  <c r="L68" i="24"/>
  <c r="L70" i="24"/>
  <c r="L72" i="24"/>
  <c r="L30" i="24"/>
  <c r="L87" i="24"/>
  <c r="L19" i="24"/>
  <c r="L67" i="24"/>
  <c r="L69" i="24"/>
  <c r="L71" i="24"/>
  <c r="L74" i="24"/>
  <c r="L78" i="24"/>
  <c r="L21" i="24"/>
  <c r="L23" i="24"/>
  <c r="L25" i="24"/>
  <c r="L27" i="24"/>
  <c r="L29" i="24"/>
  <c r="L33" i="24"/>
  <c r="L35" i="24"/>
  <c r="L37" i="24"/>
  <c r="L39" i="24"/>
  <c r="L41" i="24"/>
  <c r="L43" i="24"/>
  <c r="L45" i="24"/>
  <c r="L47" i="24"/>
  <c r="L49" i="24"/>
  <c r="L51" i="24"/>
  <c r="L53" i="24"/>
  <c r="L55" i="24"/>
  <c r="L57" i="24"/>
  <c r="L59" i="24"/>
  <c r="L61" i="24"/>
  <c r="L63" i="24"/>
  <c r="L65" i="24"/>
  <c r="L76" i="24"/>
  <c r="L80" i="24"/>
  <c r="L90" i="24"/>
  <c r="L79" i="23"/>
  <c r="L81" i="23"/>
  <c r="L83" i="23"/>
  <c r="L87" i="23"/>
  <c r="L89" i="23"/>
  <c r="L91" i="23"/>
  <c r="L35" i="23"/>
  <c r="L39" i="23"/>
  <c r="L41" i="23"/>
  <c r="L43" i="23"/>
  <c r="L47" i="23"/>
  <c r="L49" i="23"/>
  <c r="L100" i="23"/>
  <c r="L51" i="23"/>
  <c r="L55" i="23"/>
  <c r="L57" i="23"/>
  <c r="L59" i="23"/>
  <c r="L63" i="23"/>
  <c r="L65" i="23"/>
  <c r="L16" i="23"/>
  <c r="L114" i="23"/>
  <c r="L98" i="23"/>
  <c r="L106" i="23"/>
  <c r="L17" i="23"/>
  <c r="L22" i="23"/>
  <c r="L24" i="23"/>
  <c r="L26" i="23"/>
  <c r="L28" i="23"/>
  <c r="L30" i="23"/>
  <c r="L32" i="23"/>
  <c r="L34" i="23"/>
  <c r="L96" i="23"/>
  <c r="L104" i="23"/>
  <c r="L42" i="23"/>
  <c r="L50" i="23"/>
  <c r="L58" i="23"/>
  <c r="L66" i="23"/>
  <c r="L74" i="23"/>
  <c r="L82" i="23"/>
  <c r="L90" i="23"/>
  <c r="L94" i="23"/>
  <c r="L19" i="23"/>
  <c r="L23" i="23"/>
  <c r="L25" i="23"/>
  <c r="L27" i="23"/>
  <c r="L31" i="23"/>
  <c r="L33" i="23"/>
  <c r="L40" i="23"/>
  <c r="L44" i="23"/>
  <c r="L48" i="23"/>
  <c r="L56" i="23"/>
  <c r="L60" i="23"/>
  <c r="L64" i="23"/>
  <c r="L68" i="23"/>
  <c r="L72" i="23"/>
  <c r="L80" i="23"/>
  <c r="L84" i="23"/>
  <c r="L92" i="23"/>
  <c r="L95" i="23"/>
  <c r="L97" i="23"/>
  <c r="L99" i="23"/>
  <c r="L103" i="23"/>
  <c r="L105" i="23"/>
  <c r="L107" i="23"/>
  <c r="L111" i="23"/>
  <c r="L113" i="23"/>
  <c r="L115" i="23"/>
  <c r="L28" i="22"/>
  <c r="L36" i="22"/>
  <c r="L44" i="22"/>
  <c r="L56" i="22"/>
  <c r="L64" i="22"/>
  <c r="L21" i="22"/>
  <c r="L22" i="22"/>
  <c r="L25" i="22"/>
  <c r="L26" i="22"/>
  <c r="L29" i="22"/>
  <c r="L30" i="22"/>
  <c r="L33" i="22"/>
  <c r="L34" i="22"/>
  <c r="L37" i="22"/>
  <c r="L38" i="22"/>
  <c r="L41" i="22"/>
  <c r="L42" i="22"/>
  <c r="L45" i="22"/>
  <c r="L46" i="22"/>
  <c r="L49" i="22"/>
  <c r="L50" i="22"/>
  <c r="L53" i="22"/>
  <c r="L54" i="22"/>
  <c r="L58" i="22"/>
  <c r="L61" i="22"/>
  <c r="L62" i="22"/>
  <c r="L65" i="22"/>
  <c r="L24" i="22"/>
  <c r="L32" i="22"/>
  <c r="L40" i="22"/>
  <c r="L48" i="22"/>
  <c r="L52" i="22"/>
  <c r="L60" i="22"/>
  <c r="L18" i="22"/>
  <c r="L19" i="22"/>
  <c r="L18" i="21"/>
  <c r="L60" i="21"/>
  <c r="L61" i="21"/>
  <c r="L64" i="21"/>
  <c r="L65" i="21"/>
  <c r="AY19" i="21"/>
  <c r="L21" i="21"/>
  <c r="L23" i="21"/>
  <c r="L25" i="21"/>
  <c r="L27" i="21"/>
  <c r="L29" i="21"/>
  <c r="L31" i="21"/>
  <c r="L33" i="21"/>
  <c r="L35" i="21"/>
  <c r="L37" i="21"/>
  <c r="L39" i="21"/>
  <c r="L41" i="21"/>
  <c r="L43" i="21"/>
  <c r="L45" i="21"/>
  <c r="L47" i="21"/>
  <c r="L49" i="21"/>
  <c r="L51" i="21"/>
  <c r="L53" i="21"/>
  <c r="L55" i="21"/>
  <c r="L57" i="21"/>
  <c r="L59" i="21"/>
  <c r="L62" i="21"/>
  <c r="L63" i="21"/>
  <c r="L30" i="20"/>
  <c r="L46" i="20"/>
  <c r="L24" i="20"/>
  <c r="L56" i="20"/>
  <c r="L38" i="20"/>
  <c r="L54" i="20"/>
  <c r="L32" i="20"/>
  <c r="L48" i="20"/>
  <c r="L64" i="20"/>
  <c r="L28" i="20"/>
  <c r="L44" i="20"/>
  <c r="L60" i="20"/>
  <c r="L36" i="20"/>
  <c r="L52" i="20"/>
  <c r="L22" i="20"/>
  <c r="L19" i="20"/>
  <c r="H10" i="20"/>
  <c r="L18" i="20"/>
  <c r="AY19" i="20"/>
  <c r="L21" i="20"/>
  <c r="L23" i="20"/>
  <c r="L25" i="20"/>
  <c r="L27" i="20"/>
  <c r="L29" i="20"/>
  <c r="L31" i="20"/>
  <c r="L33" i="20"/>
  <c r="L35" i="20"/>
  <c r="L37" i="20"/>
  <c r="L39" i="20"/>
  <c r="L41" i="20"/>
  <c r="L43" i="20"/>
  <c r="L45" i="20"/>
  <c r="L47" i="20"/>
  <c r="L49" i="20"/>
  <c r="L51" i="20"/>
  <c r="L53" i="20"/>
  <c r="L55" i="20"/>
  <c r="L57" i="20"/>
  <c r="L59" i="20"/>
  <c r="L61" i="20"/>
  <c r="L63" i="20"/>
  <c r="L65" i="20"/>
  <c r="L64" i="19"/>
  <c r="L62" i="19"/>
  <c r="H9" i="19"/>
  <c r="L63" i="19"/>
  <c r="L59" i="19"/>
  <c r="L57" i="19"/>
  <c r="L55" i="19"/>
  <c r="L51" i="19"/>
  <c r="L47" i="19"/>
  <c r="L45" i="19"/>
  <c r="L43" i="19"/>
  <c r="L41" i="19"/>
  <c r="L39" i="19"/>
  <c r="L35" i="19"/>
  <c r="L31" i="19"/>
  <c r="L29" i="19"/>
  <c r="L27" i="19"/>
  <c r="L23" i="19"/>
  <c r="L21" i="19"/>
  <c r="L17" i="19"/>
  <c r="L18" i="19"/>
  <c r="L46" i="19"/>
  <c r="L38" i="19"/>
  <c r="L50" i="19"/>
  <c r="L54" i="19"/>
  <c r="L30" i="19"/>
  <c r="L56" i="19"/>
  <c r="L48" i="19"/>
  <c r="L32" i="19"/>
  <c r="L19" i="19"/>
  <c r="L53" i="19"/>
  <c r="L37" i="19"/>
  <c r="L28" i="19"/>
  <c r="L25" i="19"/>
  <c r="L49" i="19"/>
  <c r="L33" i="19"/>
  <c r="L61" i="19"/>
  <c r="L52" i="19"/>
  <c r="AY18" i="19"/>
  <c r="F29" i="2"/>
  <c r="G29" i="2" s="1"/>
  <c r="I29" i="2" s="1"/>
  <c r="J29" i="2" s="1"/>
  <c r="K29" i="2" s="1"/>
  <c r="X3" i="18" s="1"/>
  <c r="F25" i="2"/>
  <c r="U3" i="18" l="1"/>
  <c r="E24" i="1"/>
  <c r="G24" i="1" s="1"/>
  <c r="P23" i="28"/>
  <c r="K24" i="1"/>
  <c r="K9" i="19"/>
  <c r="K7" i="1" s="1"/>
  <c r="J7" i="1" s="1"/>
  <c r="K10" i="20"/>
  <c r="K8" i="1" s="1"/>
  <c r="AD15" i="19"/>
  <c r="L15" i="19" s="1"/>
  <c r="AE15" i="19"/>
  <c r="AJ15" i="19"/>
  <c r="AK14" i="19" s="1"/>
  <c r="D37" i="2"/>
  <c r="G37" i="2" s="1"/>
  <c r="I37" i="2" s="1"/>
  <c r="J37" i="2" s="1"/>
  <c r="K37" i="2" s="1"/>
  <c r="AB3" i="18" s="1"/>
  <c r="J29" i="1"/>
  <c r="D31" i="2"/>
  <c r="F31" i="2" s="1"/>
  <c r="G31" i="2" s="1"/>
  <c r="I31" i="2" s="1"/>
  <c r="J31" i="2" s="1"/>
  <c r="K31" i="2" s="1"/>
  <c r="Y3" i="18" s="1"/>
  <c r="J26" i="1"/>
  <c r="D27" i="2"/>
  <c r="J24" i="1"/>
  <c r="O50" i="28"/>
  <c r="P50" i="28" s="1"/>
  <c r="AD7" i="25"/>
  <c r="AE7" i="25" s="1"/>
  <c r="L16" i="24"/>
  <c r="AD7" i="24"/>
  <c r="AD7" i="23"/>
  <c r="L16" i="22"/>
  <c r="AD7" i="22"/>
  <c r="AD7" i="21"/>
  <c r="AE7" i="21" s="1"/>
  <c r="J8" i="1"/>
  <c r="D9" i="2"/>
  <c r="D28" i="1"/>
  <c r="H28" i="1" s="1"/>
  <c r="D35" i="2"/>
  <c r="F35" i="2" s="1"/>
  <c r="G35" i="2" s="1"/>
  <c r="I35" i="2" s="1"/>
  <c r="J35" i="2" s="1"/>
  <c r="K35" i="2" s="1"/>
  <c r="AA3" i="18" s="1"/>
  <c r="D27" i="1"/>
  <c r="D33" i="2"/>
  <c r="F33" i="2" s="1"/>
  <c r="G33" i="2" s="1"/>
  <c r="I33" i="2" s="1"/>
  <c r="J33" i="2" s="1"/>
  <c r="K33" i="2" s="1"/>
  <c r="Z3" i="18" s="1"/>
  <c r="D10" i="1"/>
  <c r="D13" i="2"/>
  <c r="AD7" i="20"/>
  <c r="AE7" i="20" s="1"/>
  <c r="L16" i="25"/>
  <c r="L16" i="26"/>
  <c r="L17" i="26"/>
  <c r="D24" i="1"/>
  <c r="H24" i="1" s="1"/>
  <c r="D29" i="1"/>
  <c r="H29" i="1" s="1"/>
  <c r="D26" i="1"/>
  <c r="L17" i="22"/>
  <c r="L17" i="25"/>
  <c r="L17" i="20"/>
  <c r="BP20" i="23"/>
  <c r="BP20" i="21"/>
  <c r="L16" i="21"/>
  <c r="L17" i="21"/>
  <c r="BP20" i="20"/>
  <c r="L16" i="19"/>
  <c r="G25" i="2"/>
  <c r="AV5" i="4"/>
  <c r="F27" i="2" l="1"/>
  <c r="D39" i="2"/>
  <c r="H27" i="2"/>
  <c r="H39" i="2" s="1"/>
  <c r="G30" i="1"/>
  <c r="D7" i="2"/>
  <c r="F7" i="2" s="1"/>
  <c r="E7" i="1"/>
  <c r="I7" i="1" s="1"/>
  <c r="AD7" i="19"/>
  <c r="AE7" i="19" s="1"/>
  <c r="D7" i="1"/>
  <c r="BP19" i="19"/>
  <c r="BD18" i="19" s="1"/>
  <c r="O45" i="28"/>
  <c r="P45" i="28" s="1"/>
  <c r="AE7" i="22"/>
  <c r="D8" i="1"/>
  <c r="F8" i="1"/>
  <c r="AJ50" i="28"/>
  <c r="O49" i="28"/>
  <c r="P49" i="28" s="1"/>
  <c r="AE7" i="24"/>
  <c r="O48" i="28"/>
  <c r="P48" i="28" s="1"/>
  <c r="AE7" i="23"/>
  <c r="O47" i="28"/>
  <c r="P47" i="28" s="1"/>
  <c r="O41" i="28"/>
  <c r="P41" i="28" s="1"/>
  <c r="I25" i="2"/>
  <c r="AR26" i="1"/>
  <c r="AS26" i="1" s="1"/>
  <c r="AR29" i="1"/>
  <c r="AS29" i="1" s="1"/>
  <c r="AR24" i="1"/>
  <c r="AS24" i="1" s="1"/>
  <c r="AR10" i="1"/>
  <c r="AS10" i="1" s="1"/>
  <c r="AR8" i="1"/>
  <c r="AS8" i="1" s="1"/>
  <c r="AR28" i="1"/>
  <c r="AS28" i="1" s="1"/>
  <c r="AR27" i="1"/>
  <c r="AS27" i="1" s="1"/>
  <c r="BR19" i="23"/>
  <c r="BQ19" i="23"/>
  <c r="BD19" i="21"/>
  <c r="BQ19" i="21"/>
  <c r="BR19" i="21"/>
  <c r="BD19" i="20"/>
  <c r="BQ19" i="20"/>
  <c r="BR19" i="20"/>
  <c r="G27" i="2" l="1"/>
  <c r="F39" i="2"/>
  <c r="G7" i="1"/>
  <c r="H7" i="2" s="1"/>
  <c r="AR7" i="1"/>
  <c r="O40" i="28"/>
  <c r="P40" i="28" s="1"/>
  <c r="BQ18" i="19"/>
  <c r="BR18" i="19"/>
  <c r="AJ45" i="28"/>
  <c r="AT29" i="1"/>
  <c r="AA29" i="1" s="1"/>
  <c r="AV29" i="1"/>
  <c r="AT28" i="1"/>
  <c r="AV28" i="1"/>
  <c r="AJ49" i="28"/>
  <c r="AV27" i="1"/>
  <c r="AT27" i="1"/>
  <c r="AJ48" i="28"/>
  <c r="AV26" i="1"/>
  <c r="AT26" i="1"/>
  <c r="AJ47" i="28"/>
  <c r="AT24" i="1"/>
  <c r="AA24" i="1" s="1"/>
  <c r="AV24" i="1"/>
  <c r="AT10" i="1"/>
  <c r="AV10" i="1"/>
  <c r="AJ41" i="28"/>
  <c r="AT8" i="1"/>
  <c r="AV8" i="1"/>
  <c r="AT7" i="1"/>
  <c r="J25" i="2"/>
  <c r="AJ29" i="1"/>
  <c r="AC41" i="4"/>
  <c r="AB41" i="4"/>
  <c r="AC40" i="4"/>
  <c r="Z40" i="4" s="1"/>
  <c r="AB40" i="4"/>
  <c r="AC39" i="4"/>
  <c r="AB39" i="4"/>
  <c r="AC38" i="4"/>
  <c r="AB38" i="4"/>
  <c r="AC37" i="4"/>
  <c r="AB37" i="4"/>
  <c r="AC36" i="4"/>
  <c r="Z36" i="4" s="1"/>
  <c r="AB36" i="4"/>
  <c r="AA36" i="4"/>
  <c r="AC35" i="4"/>
  <c r="AB35" i="4"/>
  <c r="AA35" i="4" s="1"/>
  <c r="AC34" i="4"/>
  <c r="AB34" i="4"/>
  <c r="AA34" i="4" s="1"/>
  <c r="AC33" i="4"/>
  <c r="AB33" i="4"/>
  <c r="AC32" i="4"/>
  <c r="AB32" i="4"/>
  <c r="AC31" i="4"/>
  <c r="AB31" i="4"/>
  <c r="AC30" i="4"/>
  <c r="AB30" i="4"/>
  <c r="AC29" i="4"/>
  <c r="AB29" i="4"/>
  <c r="AC28" i="4"/>
  <c r="AB28" i="4"/>
  <c r="AC27" i="4"/>
  <c r="AB27" i="4"/>
  <c r="AC26" i="4"/>
  <c r="AB26" i="4"/>
  <c r="AC25" i="4"/>
  <c r="AB25" i="4"/>
  <c r="AC24" i="4"/>
  <c r="AB24" i="4"/>
  <c r="AC23" i="4"/>
  <c r="AB23" i="4"/>
  <c r="AC22" i="4"/>
  <c r="AB22" i="4"/>
  <c r="AC21" i="4"/>
  <c r="AB21" i="4"/>
  <c r="AC20" i="4"/>
  <c r="AB20" i="4"/>
  <c r="AC19" i="4"/>
  <c r="AB19" i="4"/>
  <c r="AC18" i="4"/>
  <c r="AB18" i="4"/>
  <c r="AC17" i="4"/>
  <c r="AB17" i="4"/>
  <c r="AC16" i="4"/>
  <c r="AB16" i="4"/>
  <c r="AC15" i="4"/>
  <c r="AB15" i="4"/>
  <c r="AC14" i="4"/>
  <c r="AB14" i="4"/>
  <c r="AC13" i="4"/>
  <c r="AB13" i="4"/>
  <c r="AC12" i="4"/>
  <c r="AB12" i="4"/>
  <c r="AC11" i="4"/>
  <c r="AB11" i="4"/>
  <c r="AC10" i="4"/>
  <c r="AB10" i="4"/>
  <c r="AA10" i="4" s="1"/>
  <c r="AJ15" i="1"/>
  <c r="AJ7" i="1"/>
  <c r="AF8" i="1"/>
  <c r="AF10" i="1"/>
  <c r="AF15" i="1"/>
  <c r="AF17" i="1"/>
  <c r="AF9" i="1"/>
  <c r="AF11" i="1"/>
  <c r="AF12" i="1"/>
  <c r="AG13" i="1"/>
  <c r="AF14" i="1"/>
  <c r="AG18" i="1"/>
  <c r="AF7" i="1"/>
  <c r="I27" i="2" l="1"/>
  <c r="G39" i="2"/>
  <c r="AG11" i="1"/>
  <c r="AW11" i="1"/>
  <c r="AG10" i="1"/>
  <c r="AW10" i="1"/>
  <c r="AG7" i="1"/>
  <c r="AG14" i="1"/>
  <c r="AW14" i="1"/>
  <c r="AG12" i="1"/>
  <c r="AW12" i="1"/>
  <c r="AG9" i="1"/>
  <c r="AW9" i="1"/>
  <c r="AG15" i="1"/>
  <c r="AW15" i="1"/>
  <c r="AG8" i="1"/>
  <c r="AW8" i="1"/>
  <c r="AA24" i="4"/>
  <c r="AA25" i="4"/>
  <c r="AA38" i="4"/>
  <c r="AA39" i="4"/>
  <c r="AV7" i="1"/>
  <c r="AS7" i="1"/>
  <c r="AG17" i="1"/>
  <c r="AW17" i="1"/>
  <c r="AA28" i="4"/>
  <c r="AA23" i="4"/>
  <c r="Z24" i="4"/>
  <c r="Z32" i="4"/>
  <c r="AA29" i="4"/>
  <c r="AA31" i="4"/>
  <c r="AJ40" i="28"/>
  <c r="Z10" i="4"/>
  <c r="AA14" i="4"/>
  <c r="Z18" i="4"/>
  <c r="AA20" i="4"/>
  <c r="AA22" i="4"/>
  <c r="AA26" i="4"/>
  <c r="AA33" i="4"/>
  <c r="Z34" i="4"/>
  <c r="AA32" i="4"/>
  <c r="AA40" i="4"/>
  <c r="Z41" i="4"/>
  <c r="Z11" i="4"/>
  <c r="Z13" i="4"/>
  <c r="Z15" i="4"/>
  <c r="AA17" i="4"/>
  <c r="AA19" i="4"/>
  <c r="Z21" i="4"/>
  <c r="Z28" i="4"/>
  <c r="Z30" i="4"/>
  <c r="AA37" i="4"/>
  <c r="Z38" i="4"/>
  <c r="K25" i="2"/>
  <c r="AA30" i="4"/>
  <c r="Z23" i="4"/>
  <c r="Z26" i="4"/>
  <c r="AA27" i="4"/>
  <c r="Z29" i="4"/>
  <c r="Z31" i="4"/>
  <c r="Z33" i="4"/>
  <c r="Z35" i="4"/>
  <c r="Z37" i="4"/>
  <c r="Z39" i="4"/>
  <c r="AA11" i="4"/>
  <c r="AA13" i="4"/>
  <c r="AA15" i="4"/>
  <c r="AA18" i="4"/>
  <c r="AA21" i="4"/>
  <c r="AD10" i="4"/>
  <c r="AD11" i="4"/>
  <c r="AD12" i="4"/>
  <c r="AD13" i="4"/>
  <c r="Z14" i="4"/>
  <c r="AD14" i="4"/>
  <c r="AD15" i="4"/>
  <c r="AD16" i="4"/>
  <c r="AA16" i="4"/>
  <c r="Z16" i="4"/>
  <c r="Z17" i="4"/>
  <c r="AD17" i="4"/>
  <c r="AD18" i="4"/>
  <c r="Z19" i="4"/>
  <c r="AD19" i="4"/>
  <c r="Z20" i="4"/>
  <c r="AD20" i="4"/>
  <c r="AD21" i="4"/>
  <c r="Z22" i="4"/>
  <c r="AD22" i="4"/>
  <c r="AD23" i="4"/>
  <c r="AD24" i="4"/>
  <c r="Z25" i="4"/>
  <c r="AD25" i="4"/>
  <c r="AD26" i="4"/>
  <c r="Z27" i="4"/>
  <c r="AD27" i="4"/>
  <c r="AD28" i="4"/>
  <c r="AD29" i="4"/>
  <c r="AD30" i="4"/>
  <c r="AD31" i="4"/>
  <c r="AD32" i="4"/>
  <c r="AD33" i="4"/>
  <c r="AD34" i="4"/>
  <c r="AD35" i="4"/>
  <c r="AD36" i="4"/>
  <c r="AD37" i="4"/>
  <c r="AD38" i="4"/>
  <c r="AD39" i="4"/>
  <c r="AD40" i="4"/>
  <c r="AD41" i="4"/>
  <c r="AJ10" i="1"/>
  <c r="AJ12" i="1"/>
  <c r="AJ13" i="1"/>
  <c r="AJ11" i="1"/>
  <c r="AJ8" i="1"/>
  <c r="AJ14" i="1"/>
  <c r="AA12" i="4"/>
  <c r="Z12" i="4"/>
  <c r="AA41" i="4"/>
  <c r="AS11" i="1"/>
  <c r="J27" i="2" l="1"/>
  <c r="I39" i="2"/>
  <c r="J4" i="2"/>
  <c r="C3" i="18" s="1"/>
  <c r="AI14" i="28"/>
  <c r="AG14" i="28"/>
  <c r="AH14" i="28"/>
  <c r="B3" i="18"/>
  <c r="AV6" i="4"/>
  <c r="AX5" i="4" s="1"/>
  <c r="AE9" i="4"/>
  <c r="V3" i="18"/>
  <c r="K27" i="2" l="1"/>
  <c r="J39" i="2"/>
  <c r="AW5" i="4"/>
  <c r="O42" i="28" s="1"/>
  <c r="AL5" i="4"/>
  <c r="D38" i="15"/>
  <c r="W3" i="18" l="1"/>
  <c r="K39" i="2"/>
  <c r="AR9" i="1"/>
  <c r="AS9" i="1" s="1"/>
  <c r="P42" i="28"/>
  <c r="AJ42" i="28"/>
  <c r="E11" i="1"/>
  <c r="AT9" i="1" l="1"/>
  <c r="AV9" i="1"/>
  <c r="H13" i="2"/>
  <c r="AA17" i="1" l="1"/>
  <c r="AA14" i="1" l="1"/>
  <c r="AA12" i="1"/>
  <c r="AA13" i="1"/>
  <c r="AA10" i="1"/>
  <c r="AA15" i="1"/>
  <c r="AA8" i="1"/>
  <c r="AA7" i="1"/>
  <c r="H16" i="4"/>
  <c r="H20" i="4"/>
  <c r="H24" i="4"/>
  <c r="H28" i="4"/>
  <c r="H32" i="4"/>
  <c r="H14" i="4"/>
  <c r="H11" i="4"/>
  <c r="H12" i="4"/>
  <c r="H15" i="4"/>
  <c r="H17" i="4"/>
  <c r="H18" i="4"/>
  <c r="H19" i="4"/>
  <c r="H21" i="4"/>
  <c r="H22" i="4"/>
  <c r="H23" i="4"/>
  <c r="H25" i="4"/>
  <c r="H26" i="4"/>
  <c r="H27" i="4"/>
  <c r="H29" i="4"/>
  <c r="H30" i="4"/>
  <c r="H31" i="4"/>
  <c r="H34" i="4"/>
  <c r="H35" i="4"/>
  <c r="H36" i="4"/>
  <c r="H37" i="4"/>
  <c r="H38" i="4"/>
  <c r="H39" i="4"/>
  <c r="H40" i="4"/>
  <c r="H41" i="4"/>
  <c r="H33"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10" i="4"/>
  <c r="D6" i="4"/>
  <c r="H8" i="1"/>
  <c r="H10" i="1"/>
  <c r="H15" i="1"/>
  <c r="H17" i="1"/>
  <c r="H12" i="1"/>
  <c r="H13" i="1"/>
  <c r="H14" i="1"/>
  <c r="H7" i="1"/>
  <c r="E2" i="4" l="1"/>
  <c r="I9" i="1"/>
  <c r="AG5" i="4"/>
  <c r="E9" i="1"/>
  <c r="K9" i="1"/>
  <c r="D19" i="2"/>
  <c r="Y42" i="4"/>
  <c r="H10" i="4"/>
  <c r="H13" i="4"/>
  <c r="J9" i="1" l="1"/>
  <c r="F19" i="2"/>
  <c r="G19" i="2" s="1"/>
  <c r="D9" i="1"/>
  <c r="H9" i="1" s="1"/>
  <c r="D11" i="2"/>
  <c r="D18" i="1"/>
  <c r="H18" i="1" s="1"/>
  <c r="H19" i="2"/>
  <c r="F18" i="1"/>
  <c r="G9" i="1"/>
  <c r="H11" i="2" s="1"/>
  <c r="I19" i="2" l="1"/>
  <c r="J19" i="2" s="1"/>
  <c r="K19" i="2" s="1"/>
  <c r="T3" i="18" s="1"/>
  <c r="AV18" i="1" l="1"/>
  <c r="AV2" i="1" s="1"/>
  <c r="AJ18" i="1"/>
  <c r="AA18" i="1"/>
  <c r="E41" i="2" l="1"/>
  <c r="K12" i="1"/>
  <c r="K11" i="1"/>
  <c r="K14" i="1" l="1"/>
  <c r="K13" i="1"/>
  <c r="E14" i="1"/>
  <c r="F14" i="1" s="1"/>
  <c r="E13" i="1"/>
  <c r="E12" i="1"/>
  <c r="F12" i="1" s="1"/>
  <c r="K17" i="1"/>
  <c r="D17" i="2"/>
  <c r="F17" i="2" s="1"/>
  <c r="G17" i="2" s="1"/>
  <c r="E8" i="1"/>
  <c r="G8" i="1" s="1"/>
  <c r="H9" i="2" s="1"/>
  <c r="D15" i="2" l="1"/>
  <c r="G11" i="1"/>
  <c r="F13" i="1"/>
  <c r="G13" i="1" s="1"/>
  <c r="G14" i="1"/>
  <c r="H17" i="2"/>
  <c r="G12" i="1"/>
  <c r="D23" i="2" l="1"/>
  <c r="D41" i="2" s="1"/>
  <c r="I17" i="2"/>
  <c r="J17" i="2" s="1"/>
  <c r="K17" i="2" s="1"/>
  <c r="S3" i="18" s="1"/>
  <c r="H15" i="2"/>
  <c r="H23" i="2" s="1"/>
  <c r="G22" i="1"/>
  <c r="G31" i="1" s="1"/>
  <c r="H41" i="2" l="1"/>
  <c r="F13" i="2"/>
  <c r="G13" i="2" s="1"/>
  <c r="I13" i="2" s="1"/>
  <c r="G7" i="2" l="1"/>
  <c r="I7" i="2" s="1"/>
  <c r="J13" i="2"/>
  <c r="K13" i="2" s="1"/>
  <c r="Q3" i="18" s="1"/>
  <c r="F15" i="2"/>
  <c r="G15" i="2" s="1"/>
  <c r="I15" i="2" s="1"/>
  <c r="J15" i="2" s="1"/>
  <c r="K15" i="2" s="1"/>
  <c r="R3" i="18" s="1"/>
  <c r="J7" i="2" l="1"/>
  <c r="K7" i="2" l="1"/>
  <c r="AJ39" i="28"/>
  <c r="N3" i="18" l="1"/>
  <c r="AJ9" i="1"/>
  <c r="K22" i="1" l="1"/>
  <c r="AS30" i="1" l="1"/>
  <c r="F11" i="2"/>
  <c r="AA9" i="1"/>
  <c r="U9" i="1"/>
  <c r="F9" i="2"/>
  <c r="G11" i="2" l="1"/>
  <c r="F23" i="2"/>
  <c r="G9" i="2"/>
  <c r="I11" i="2" l="1"/>
  <c r="G23" i="2"/>
  <c r="G41" i="2" s="1"/>
  <c r="I9" i="2"/>
  <c r="F41" i="2"/>
  <c r="J11" i="2" l="1"/>
  <c r="I23" i="2"/>
  <c r="J9" i="2"/>
  <c r="K11" i="2" l="1"/>
  <c r="J23" i="2"/>
  <c r="K9" i="2"/>
  <c r="O3" i="18" s="1"/>
  <c r="I41" i="2"/>
  <c r="H26" i="1"/>
  <c r="H27" i="1"/>
  <c r="AJ26" i="1"/>
  <c r="K23" i="2" l="1"/>
  <c r="P3" i="18"/>
  <c r="J41" i="2"/>
  <c r="AA27" i="1"/>
  <c r="K30" i="1"/>
  <c r="K31" i="1" s="1"/>
  <c r="AA28" i="1"/>
  <c r="AJ28" i="1"/>
  <c r="AJ27" i="1"/>
  <c r="AS2" i="1" l="1"/>
  <c r="P14" i="28" s="1"/>
  <c r="K41" i="2"/>
  <c r="AA26" i="1"/>
  <c r="U25" i="1"/>
  <c r="O14" i="28" l="1"/>
  <c r="AT2" i="1"/>
  <c r="T3" i="1"/>
  <c r="O38" i="28"/>
  <c r="P38" i="28" s="1"/>
  <c r="AJ14" i="28" l="1"/>
  <c r="AJ27" i="28" s="1"/>
  <c r="F27" i="28"/>
  <c r="AJ38" i="28"/>
  <c r="G27" i="28" l="1"/>
  <c r="P34" i="28" s="1"/>
  <c r="O34" i="28"/>
  <c r="O36" i="28" l="1"/>
  <c r="F31" i="28" s="1"/>
  <c r="AJ34" i="28"/>
  <c r="BF3" i="18"/>
  <c r="G20" i="3" l="1"/>
  <c r="G22" i="3" s="1"/>
  <c r="P36" i="28"/>
  <c r="AJ36" i="28"/>
  <c r="G31" i="28" s="1"/>
  <c r="M3" i="18" l="1"/>
  <c r="A19" i="35"/>
  <c r="A20" i="29"/>
</calcChain>
</file>

<file path=xl/comments1.xml><?xml version="1.0" encoding="utf-8"?>
<comments xmlns="http://schemas.openxmlformats.org/spreadsheetml/2006/main">
  <authors>
    <author>oa</author>
  </authors>
  <commentList>
    <comment ref="G5" authorId="0" shapeId="0">
      <text>
        <r>
          <rPr>
            <b/>
            <sz val="9"/>
            <color indexed="81"/>
            <rFont val="MS P ゴシック"/>
            <family val="3"/>
            <charset val="128"/>
          </rPr>
          <t>様式1-1の（E）欄と一致</t>
        </r>
      </text>
    </comment>
    <comment ref="K5" authorId="0" shapeId="0">
      <text>
        <r>
          <rPr>
            <b/>
            <sz val="9"/>
            <color indexed="81"/>
            <rFont val="MS P ゴシック"/>
            <family val="3"/>
            <charset val="128"/>
          </rPr>
          <t>様式1-1の（A）欄と一致</t>
        </r>
      </text>
    </comment>
  </commentList>
</comments>
</file>

<file path=xl/sharedStrings.xml><?xml version="1.0" encoding="utf-8"?>
<sst xmlns="http://schemas.openxmlformats.org/spreadsheetml/2006/main" count="2305" uniqueCount="752">
  <si>
    <t>員数</t>
    <phoneticPr fontId="1"/>
  </si>
  <si>
    <t>数量</t>
    <phoneticPr fontId="1"/>
  </si>
  <si>
    <t>個人防護具</t>
    <phoneticPr fontId="1"/>
  </si>
  <si>
    <t>簡易ベッド</t>
    <phoneticPr fontId="1"/>
  </si>
  <si>
    <t>円</t>
    <rPh sb="0" eb="1">
      <t>エン</t>
    </rPh>
    <phoneticPr fontId="1"/>
  </si>
  <si>
    <t>県補助額
(G)×10/10
(H)</t>
    <phoneticPr fontId="1"/>
  </si>
  <si>
    <t>差引事業費
(A)―(B)
（C）</t>
    <phoneticPr fontId="1"/>
  </si>
  <si>
    <t>合計</t>
    <rPh sb="0" eb="2">
      <t>ゴウケイ</t>
    </rPh>
    <phoneticPr fontId="1"/>
  </si>
  <si>
    <t>注１「県補助額」(H)には、１，０００円未満を切り捨てた額を記入すること。</t>
    <phoneticPr fontId="1"/>
  </si>
  <si>
    <t>個人防護具</t>
    <rPh sb="0" eb="2">
      <t>コジン</t>
    </rPh>
    <rPh sb="2" eb="4">
      <t>ボウゴ</t>
    </rPh>
    <rPh sb="4" eb="5">
      <t>グ</t>
    </rPh>
    <phoneticPr fontId="1"/>
  </si>
  <si>
    <t>補助事業者名</t>
    <rPh sb="0" eb="2">
      <t>ホジョ</t>
    </rPh>
    <rPh sb="2" eb="4">
      <t>ジギョウ</t>
    </rPh>
    <rPh sb="4" eb="5">
      <t>シャ</t>
    </rPh>
    <rPh sb="5" eb="6">
      <t>メイ</t>
    </rPh>
    <phoneticPr fontId="1"/>
  </si>
  <si>
    <t>代表者氏名</t>
    <rPh sb="0" eb="3">
      <t>ダイヒョウシャ</t>
    </rPh>
    <rPh sb="3" eb="5">
      <t>シメイ</t>
    </rPh>
    <phoneticPr fontId="1"/>
  </si>
  <si>
    <t>　愛　知　県　知　事　殿</t>
    <phoneticPr fontId="1"/>
  </si>
  <si>
    <t>代表者役職</t>
    <rPh sb="0" eb="3">
      <t>ダイヒョウシャ</t>
    </rPh>
    <rPh sb="3" eb="5">
      <t>ヤクショク</t>
    </rPh>
    <phoneticPr fontId="1"/>
  </si>
  <si>
    <t>記</t>
    <rPh sb="0" eb="1">
      <t>キ</t>
    </rPh>
    <phoneticPr fontId="1"/>
  </si>
  <si>
    <t>提出日</t>
    <rPh sb="0" eb="2">
      <t>テイシュツ</t>
    </rPh>
    <rPh sb="2" eb="3">
      <t>ビ</t>
    </rPh>
    <phoneticPr fontId="1"/>
  </si>
  <si>
    <t>文書番号</t>
    <rPh sb="0" eb="2">
      <t>ブンショ</t>
    </rPh>
    <rPh sb="2" eb="4">
      <t>バンゴウ</t>
    </rPh>
    <phoneticPr fontId="1"/>
  </si>
  <si>
    <t>担当部署</t>
    <rPh sb="0" eb="2">
      <t>タントウ</t>
    </rPh>
    <rPh sb="2" eb="4">
      <t>ブショ</t>
    </rPh>
    <phoneticPr fontId="1"/>
  </si>
  <si>
    <t>担当者名</t>
    <rPh sb="0" eb="2">
      <t>タントウ</t>
    </rPh>
    <rPh sb="2" eb="3">
      <t>シャ</t>
    </rPh>
    <rPh sb="3" eb="4">
      <t>メイ</t>
    </rPh>
    <phoneticPr fontId="1"/>
  </si>
  <si>
    <t>電話番号</t>
    <rPh sb="0" eb="2">
      <t>デンワ</t>
    </rPh>
    <rPh sb="2" eb="4">
      <t>バンゴウ</t>
    </rPh>
    <phoneticPr fontId="1"/>
  </si>
  <si>
    <t>Mailｱﾄﾞﾚｽ</t>
    <phoneticPr fontId="1"/>
  </si>
  <si>
    <t>所在地</t>
    <rPh sb="0" eb="3">
      <t>ショザイチ</t>
    </rPh>
    <phoneticPr fontId="1"/>
  </si>
  <si>
    <t>数量</t>
    <rPh sb="0" eb="2">
      <t>スウリョウ</t>
    </rPh>
    <phoneticPr fontId="1"/>
  </si>
  <si>
    <t>添付書類
番号</t>
    <rPh sb="0" eb="2">
      <t>テンプ</t>
    </rPh>
    <rPh sb="2" eb="4">
      <t>ショルイ</t>
    </rPh>
    <rPh sb="5" eb="7">
      <t>バンゴウ</t>
    </rPh>
    <phoneticPr fontId="1"/>
  </si>
  <si>
    <t>合計</t>
    <rPh sb="0" eb="1">
      <t>ゴウ</t>
    </rPh>
    <phoneticPr fontId="1"/>
  </si>
  <si>
    <t>歳入</t>
    <rPh sb="0" eb="2">
      <t>サイニュウ</t>
    </rPh>
    <phoneticPr fontId="5"/>
  </si>
  <si>
    <t>款</t>
    <rPh sb="0" eb="1">
      <t>カン</t>
    </rPh>
    <phoneticPr fontId="5"/>
  </si>
  <si>
    <t>項</t>
    <rPh sb="0" eb="1">
      <t>コウ</t>
    </rPh>
    <phoneticPr fontId="5"/>
  </si>
  <si>
    <t>目</t>
    <rPh sb="0" eb="1">
      <t>モク</t>
    </rPh>
    <phoneticPr fontId="5"/>
  </si>
  <si>
    <t>予算現額</t>
    <rPh sb="0" eb="2">
      <t>ヨサン</t>
    </rPh>
    <rPh sb="2" eb="3">
      <t>ウツツ</t>
    </rPh>
    <rPh sb="3" eb="4">
      <t>ガク</t>
    </rPh>
    <phoneticPr fontId="5"/>
  </si>
  <si>
    <t>節</t>
    <rPh sb="0" eb="1">
      <t>セツ</t>
    </rPh>
    <phoneticPr fontId="5"/>
  </si>
  <si>
    <t>備考</t>
    <rPh sb="0" eb="2">
      <t>ビコウ</t>
    </rPh>
    <phoneticPr fontId="5"/>
  </si>
  <si>
    <t>区分</t>
    <rPh sb="0" eb="2">
      <t>クブン</t>
    </rPh>
    <phoneticPr fontId="5"/>
  </si>
  <si>
    <t>金額</t>
    <rPh sb="0" eb="2">
      <t>キンガク</t>
    </rPh>
    <phoneticPr fontId="5"/>
  </si>
  <si>
    <t>円</t>
    <rPh sb="0" eb="1">
      <t>エン</t>
    </rPh>
    <phoneticPr fontId="5"/>
  </si>
  <si>
    <t>歳出</t>
    <rPh sb="0" eb="2">
      <t>サイシュツ</t>
    </rPh>
    <phoneticPr fontId="5"/>
  </si>
  <si>
    <t>　　　原本と相違ないことを証明します。</t>
    <rPh sb="3" eb="5">
      <t>ゲンポン</t>
    </rPh>
    <rPh sb="6" eb="8">
      <t>ソウイ</t>
    </rPh>
    <rPh sb="13" eb="15">
      <t>ショウメイ</t>
    </rPh>
    <phoneticPr fontId="5"/>
  </si>
  <si>
    <t>代表者職氏名</t>
    <rPh sb="0" eb="3">
      <t>ダイヒョウシャ</t>
    </rPh>
    <rPh sb="3" eb="4">
      <t>ショク</t>
    </rPh>
    <rPh sb="4" eb="6">
      <t>シメイ</t>
    </rPh>
    <phoneticPr fontId="1"/>
  </si>
  <si>
    <t>１　施設の名称及び所在地</t>
    <phoneticPr fontId="1"/>
  </si>
  <si>
    <t>施設所在地</t>
    <rPh sb="0" eb="5">
      <t>シセツショザイチ</t>
    </rPh>
    <phoneticPr fontId="1"/>
  </si>
  <si>
    <t>(注）節の金額が他の事業を含む場合は、当該補助対象事業分を備考欄に記入すること。</t>
    <rPh sb="1" eb="2">
      <t>チュウ</t>
    </rPh>
    <rPh sb="3" eb="4">
      <t>セツ</t>
    </rPh>
    <rPh sb="5" eb="7">
      <t>キンガク</t>
    </rPh>
    <rPh sb="8" eb="9">
      <t>タ</t>
    </rPh>
    <rPh sb="10" eb="12">
      <t>ジギョウ</t>
    </rPh>
    <rPh sb="13" eb="14">
      <t>フク</t>
    </rPh>
    <rPh sb="15" eb="17">
      <t>バアイ</t>
    </rPh>
    <rPh sb="19" eb="21">
      <t>トウガイ</t>
    </rPh>
    <rPh sb="21" eb="23">
      <t>ホジョ</t>
    </rPh>
    <rPh sb="23" eb="25">
      <t>タイショウ</t>
    </rPh>
    <rPh sb="25" eb="27">
      <t>ジギョウ</t>
    </rPh>
    <rPh sb="27" eb="28">
      <t>ブン</t>
    </rPh>
    <rPh sb="29" eb="31">
      <t>ビコウ</t>
    </rPh>
    <rPh sb="31" eb="32">
      <t>ラン</t>
    </rPh>
    <rPh sb="33" eb="35">
      <t>キニュウ</t>
    </rPh>
    <phoneticPr fontId="5"/>
  </si>
  <si>
    <t>月</t>
    <rPh sb="0" eb="1">
      <t>ツキ</t>
    </rPh>
    <phoneticPr fontId="1"/>
  </si>
  <si>
    <t>日</t>
    <rPh sb="0" eb="1">
      <t>ヒ</t>
    </rPh>
    <phoneticPr fontId="1"/>
  </si>
  <si>
    <t>簡易ベッド</t>
    <rPh sb="0" eb="2">
      <t>カンイ</t>
    </rPh>
    <phoneticPr fontId="1"/>
  </si>
  <si>
    <t>受付番号（県入力）</t>
    <rPh sb="0" eb="4">
      <t>ウケツケバンゴウ</t>
    </rPh>
    <rPh sb="5" eb="8">
      <t>ケンニュウリョク</t>
    </rPh>
    <phoneticPr fontId="1"/>
  </si>
  <si>
    <t>施設の名称</t>
    <rPh sb="0" eb="2">
      <t>シセツ</t>
    </rPh>
    <rPh sb="3" eb="5">
      <t>メイショウ</t>
    </rPh>
    <phoneticPr fontId="1"/>
  </si>
  <si>
    <t>県補助
基本額
(G)</t>
    <phoneticPr fontId="1"/>
  </si>
  <si>
    <t>品目</t>
    <rPh sb="1" eb="2">
      <t>モク</t>
    </rPh>
    <phoneticPr fontId="1"/>
  </si>
  <si>
    <t>型番</t>
    <phoneticPr fontId="1"/>
  </si>
  <si>
    <t>単価</t>
    <phoneticPr fontId="1"/>
  </si>
  <si>
    <t>基準額</t>
    <phoneticPr fontId="1"/>
  </si>
  <si>
    <t>金額</t>
    <phoneticPr fontId="1"/>
  </si>
  <si>
    <t>備考</t>
    <phoneticPr fontId="1"/>
  </si>
  <si>
    <t>個人防護具　明細</t>
    <rPh sb="0" eb="2">
      <t>コジン</t>
    </rPh>
    <rPh sb="2" eb="4">
      <t>ボウゴ</t>
    </rPh>
    <rPh sb="4" eb="5">
      <t>グ</t>
    </rPh>
    <rPh sb="6" eb="8">
      <t>メイサイ</t>
    </rPh>
    <phoneticPr fontId="1"/>
  </si>
  <si>
    <t>種類</t>
    <rPh sb="0" eb="2">
      <t>シュルイ</t>
    </rPh>
    <phoneticPr fontId="1"/>
  </si>
  <si>
    <t>規格（型式）</t>
    <rPh sb="0" eb="2">
      <t>キカク</t>
    </rPh>
    <rPh sb="3" eb="5">
      <t>カタシキ</t>
    </rPh>
    <phoneticPr fontId="1"/>
  </si>
  <si>
    <t>品目</t>
    <rPh sb="0" eb="1">
      <t>ヒン</t>
    </rPh>
    <rPh sb="1" eb="2">
      <t>モク</t>
    </rPh>
    <phoneticPr fontId="1"/>
  </si>
  <si>
    <t>所　  在 　 地</t>
    <rPh sb="0" eb="1">
      <t>トコロ</t>
    </rPh>
    <rPh sb="4" eb="5">
      <t>ザイ</t>
    </rPh>
    <rPh sb="8" eb="9">
      <t>チ</t>
    </rPh>
    <phoneticPr fontId="1"/>
  </si>
  <si>
    <t>総事業費
(A)</t>
    <phoneticPr fontId="1"/>
  </si>
  <si>
    <t>基準額
（E）</t>
    <phoneticPr fontId="1"/>
  </si>
  <si>
    <t>選定額
(F)</t>
    <phoneticPr fontId="1"/>
  </si>
  <si>
    <t>規格（型式）</t>
    <phoneticPr fontId="1"/>
  </si>
  <si>
    <t>計</t>
    <rPh sb="0" eb="1">
      <t>ケイ</t>
    </rPh>
    <phoneticPr fontId="1"/>
  </si>
  <si>
    <t>単価（税込）</t>
    <rPh sb="3" eb="5">
      <t>ゼイコ</t>
    </rPh>
    <phoneticPr fontId="1"/>
  </si>
  <si>
    <t>判定</t>
    <rPh sb="0" eb="2">
      <t>ハンテイ</t>
    </rPh>
    <phoneticPr fontId="1"/>
  </si>
  <si>
    <t>従事日数</t>
    <rPh sb="0" eb="2">
      <t>ジュウジ</t>
    </rPh>
    <rPh sb="2" eb="4">
      <t>ニッスウ</t>
    </rPh>
    <phoneticPr fontId="1"/>
  </si>
  <si>
    <t>従事人数</t>
    <rPh sb="0" eb="2">
      <t>ジュウジ</t>
    </rPh>
    <rPh sb="2" eb="4">
      <t>ニンズウ</t>
    </rPh>
    <phoneticPr fontId="1"/>
  </si>
  <si>
    <t>補助対象員数</t>
    <rPh sb="0" eb="2">
      <t>ホジョ</t>
    </rPh>
    <rPh sb="2" eb="4">
      <t>タイショウ</t>
    </rPh>
    <rPh sb="4" eb="6">
      <t>インズウ</t>
    </rPh>
    <phoneticPr fontId="1"/>
  </si>
  <si>
    <t>→</t>
  </si>
  <si>
    <t>→</t>
    <phoneticPr fontId="1"/>
  </si>
  <si>
    <t>判定</t>
    <rPh sb="0" eb="2">
      <t>ハンテイ</t>
    </rPh>
    <phoneticPr fontId="1"/>
  </si>
  <si>
    <t>単価(税抜)</t>
    <rPh sb="0" eb="2">
      <t>タンカ</t>
    </rPh>
    <rPh sb="3" eb="4">
      <t>ゼイ</t>
    </rPh>
    <rPh sb="4" eb="5">
      <t>ヌ</t>
    </rPh>
    <phoneticPr fontId="1"/>
  </si>
  <si>
    <t>単価(税込)</t>
    <rPh sb="0" eb="2">
      <t>タンカ</t>
    </rPh>
    <rPh sb="3" eb="4">
      <t>ゼイ</t>
    </rPh>
    <rPh sb="4" eb="5">
      <t>コミ</t>
    </rPh>
    <phoneticPr fontId="1"/>
  </si>
  <si>
    <t>金額(税込)</t>
    <rPh sb="0" eb="2">
      <t>キンガク</t>
    </rPh>
    <rPh sb="3" eb="5">
      <t>ゼイコミ</t>
    </rPh>
    <phoneticPr fontId="1"/>
  </si>
  <si>
    <t>不備の箇所等</t>
    <rPh sb="0" eb="2">
      <t>フビ</t>
    </rPh>
    <rPh sb="3" eb="5">
      <t>カショ</t>
    </rPh>
    <rPh sb="5" eb="6">
      <t>トウ</t>
    </rPh>
    <phoneticPr fontId="1"/>
  </si>
  <si>
    <t>【判定：防護具情報入力】</t>
  </si>
  <si>
    <t>【判定：員数の入力】</t>
    <phoneticPr fontId="1"/>
  </si>
  <si>
    <t>→</t>
    <phoneticPr fontId="1"/>
  </si>
  <si>
    <t>令和</t>
  </si>
  <si>
    <t>令和</t>
    <rPh sb="0" eb="2">
      <t>レイワ</t>
    </rPh>
    <phoneticPr fontId="1"/>
  </si>
  <si>
    <t>年</t>
  </si>
  <si>
    <t>年</t>
    <rPh sb="0" eb="1">
      <t>ネン</t>
    </rPh>
    <phoneticPr fontId="1"/>
  </si>
  <si>
    <t>月</t>
  </si>
  <si>
    <t>月</t>
    <rPh sb="0" eb="1">
      <t>ツキ</t>
    </rPh>
    <phoneticPr fontId="1"/>
  </si>
  <si>
    <t>日</t>
  </si>
  <si>
    <t>日</t>
    <rPh sb="0" eb="1">
      <t>ヒ</t>
    </rPh>
    <phoneticPr fontId="1"/>
  </si>
  <si>
    <t>建屋・テント等</t>
    <rPh sb="0" eb="2">
      <t>タテヤ</t>
    </rPh>
    <rPh sb="6" eb="7">
      <t>トウ</t>
    </rPh>
    <phoneticPr fontId="1"/>
  </si>
  <si>
    <t>備品（消耗品除く）</t>
    <rPh sb="0" eb="2">
      <t>ビヒン</t>
    </rPh>
    <rPh sb="3" eb="5">
      <t>ショウモウ</t>
    </rPh>
    <rPh sb="5" eb="6">
      <t>ヒン</t>
    </rPh>
    <rPh sb="6" eb="7">
      <t>ノゾ</t>
    </rPh>
    <phoneticPr fontId="1"/>
  </si>
  <si>
    <t>その他</t>
    <rPh sb="2" eb="3">
      <t>タ</t>
    </rPh>
    <phoneticPr fontId="1"/>
  </si>
  <si>
    <t>←入力の過程で記載不十分の表示がされますが、
　適切に入力がされると表示は解消されます。</t>
    <rPh sb="1" eb="3">
      <t>ニュウリョク</t>
    </rPh>
    <rPh sb="4" eb="6">
      <t>カテイ</t>
    </rPh>
    <rPh sb="7" eb="9">
      <t>キサイ</t>
    </rPh>
    <rPh sb="9" eb="12">
      <t>フジュウブン</t>
    </rPh>
    <rPh sb="13" eb="15">
      <t>ヒョウジ</t>
    </rPh>
    <rPh sb="24" eb="26">
      <t>テキセツ</t>
    </rPh>
    <rPh sb="27" eb="29">
      <t>ニュウリョク</t>
    </rPh>
    <rPh sb="34" eb="36">
      <t>ヒョウジ</t>
    </rPh>
    <rPh sb="37" eb="39">
      <t>カイショウ</t>
    </rPh>
    <phoneticPr fontId="1"/>
  </si>
  <si>
    <t>種類・規格・数量</t>
    <rPh sb="0" eb="2">
      <t>シュルイ</t>
    </rPh>
    <rPh sb="3" eb="5">
      <t>キカク</t>
    </rPh>
    <rPh sb="6" eb="8">
      <t>スウリョウ</t>
    </rPh>
    <phoneticPr fontId="1"/>
  </si>
  <si>
    <t>単価</t>
    <rPh sb="0" eb="2">
      <t>タンカ</t>
    </rPh>
    <phoneticPr fontId="1"/>
  </si>
  <si>
    <t>この
シート</t>
    <phoneticPr fontId="1"/>
  </si>
  <si>
    <t>別表</t>
    <rPh sb="0" eb="2">
      <t>ベッピョウ</t>
    </rPh>
    <phoneticPr fontId="1"/>
  </si>
  <si>
    <t>種類等</t>
    <rPh sb="0" eb="2">
      <t>シュルイ</t>
    </rPh>
    <rPh sb="2" eb="3">
      <t>トウ</t>
    </rPh>
    <phoneticPr fontId="1"/>
  </si>
  <si>
    <t>単価</t>
    <rPh sb="0" eb="2">
      <t>タンカ</t>
    </rPh>
    <phoneticPr fontId="1"/>
  </si>
  <si>
    <t>氏　名</t>
    <rPh sb="0" eb="1">
      <t>シ</t>
    </rPh>
    <rPh sb="2" eb="3">
      <t>ナ</t>
    </rPh>
    <phoneticPr fontId="18"/>
  </si>
  <si>
    <t>担　当　者</t>
    <rPh sb="0" eb="1">
      <t>タン</t>
    </rPh>
    <rPh sb="2" eb="3">
      <t>トウ</t>
    </rPh>
    <rPh sb="4" eb="5">
      <t>モノ</t>
    </rPh>
    <phoneticPr fontId="18"/>
  </si>
  <si>
    <t>電話番号</t>
    <rPh sb="0" eb="1">
      <t>デン</t>
    </rPh>
    <rPh sb="1" eb="2">
      <t>ハナシ</t>
    </rPh>
    <rPh sb="2" eb="4">
      <t>バンゴウ</t>
    </rPh>
    <phoneticPr fontId="18"/>
  </si>
  <si>
    <t>メールアドレス</t>
  </si>
  <si>
    <t>金融機関コード</t>
    <rPh sb="0" eb="2">
      <t>キンユウ</t>
    </rPh>
    <rPh sb="2" eb="4">
      <t>キカン</t>
    </rPh>
    <phoneticPr fontId="5"/>
  </si>
  <si>
    <t>支店番号</t>
    <rPh sb="0" eb="2">
      <t>シテン</t>
    </rPh>
    <rPh sb="2" eb="4">
      <t>バンゴウ</t>
    </rPh>
    <phoneticPr fontId="5"/>
  </si>
  <si>
    <t>金融機関名</t>
    <rPh sb="0" eb="2">
      <t>キンユウ</t>
    </rPh>
    <rPh sb="2" eb="4">
      <t>キカン</t>
    </rPh>
    <rPh sb="4" eb="5">
      <t>メイ</t>
    </rPh>
    <phoneticPr fontId="5"/>
  </si>
  <si>
    <t>店　名</t>
    <rPh sb="0" eb="1">
      <t>ミセ</t>
    </rPh>
    <rPh sb="2" eb="3">
      <t>ナ</t>
    </rPh>
    <phoneticPr fontId="5"/>
  </si>
  <si>
    <t>預金種類</t>
    <rPh sb="0" eb="2">
      <t>ヨキン</t>
    </rPh>
    <rPh sb="2" eb="4">
      <t>シュルイ</t>
    </rPh>
    <phoneticPr fontId="5"/>
  </si>
  <si>
    <t>１．普通　２．当座　（数字を記入してください。）</t>
    <rPh sb="7" eb="9">
      <t>トウザ</t>
    </rPh>
    <rPh sb="11" eb="13">
      <t>スウジ</t>
    </rPh>
    <rPh sb="14" eb="16">
      <t>キニュウ</t>
    </rPh>
    <phoneticPr fontId="5"/>
  </si>
  <si>
    <t>口座番号</t>
    <rPh sb="0" eb="2">
      <t>コウザ</t>
    </rPh>
    <rPh sb="2" eb="4">
      <t>バンゴウ</t>
    </rPh>
    <phoneticPr fontId="5"/>
  </si>
  <si>
    <t>口座名義（ｶﾅ）</t>
    <rPh sb="0" eb="2">
      <t>コウザ</t>
    </rPh>
    <rPh sb="2" eb="4">
      <t>メイギ</t>
    </rPh>
    <phoneticPr fontId="18"/>
  </si>
  <si>
    <r>
      <t>　　※口座名義（カナ）：</t>
    </r>
    <r>
      <rPr>
        <b/>
        <u val="double"/>
        <sz val="14"/>
        <color rgb="FFFF0000"/>
        <rFont val="游ゴシック"/>
        <family val="3"/>
        <charset val="128"/>
        <scheme val="minor"/>
      </rPr>
      <t>通帳の見開き等に記載されているカタカナの名義</t>
    </r>
    <r>
      <rPr>
        <b/>
        <sz val="14"/>
        <color rgb="FFFF0000"/>
        <rFont val="游ゴシック"/>
        <family val="3"/>
        <charset val="128"/>
        <scheme val="minor"/>
      </rPr>
      <t>をスペースを含め正確に記載してください。</t>
    </r>
    <rPh sb="3" eb="5">
      <t>コウザ</t>
    </rPh>
    <rPh sb="5" eb="7">
      <t>メイギ</t>
    </rPh>
    <rPh sb="12" eb="14">
      <t>ツウチョウ</t>
    </rPh>
    <rPh sb="15" eb="17">
      <t>ミヒラ</t>
    </rPh>
    <rPh sb="18" eb="19">
      <t>トウ</t>
    </rPh>
    <rPh sb="20" eb="22">
      <t>キサイ</t>
    </rPh>
    <rPh sb="32" eb="34">
      <t>メイギ</t>
    </rPh>
    <rPh sb="40" eb="41">
      <t>フク</t>
    </rPh>
    <rPh sb="42" eb="44">
      <t>セイカク</t>
    </rPh>
    <rPh sb="45" eb="47">
      <t>キサイ</t>
    </rPh>
    <phoneticPr fontId="18"/>
  </si>
  <si>
    <t>以下のとおりです。</t>
    <phoneticPr fontId="1"/>
  </si>
  <si>
    <t>口座名義</t>
    <rPh sb="0" eb="2">
      <t>コウザ</t>
    </rPh>
    <rPh sb="2" eb="4">
      <t>メイギ</t>
    </rPh>
    <phoneticPr fontId="18"/>
  </si>
  <si>
    <t xml:space="preserve">
本枠内に振込先口座の通帳の表紙見開きの写しを貼り付けしてください。
あるいは、本書を１枚目とし、通帳写しを２枚目とし左肩ホチキス止めとし
挙証資料（見積書、発注書又は契約書、納品書等）とともに
愛知県感染症対策課助成グループあて郵送により送付してください。
</t>
    <rPh sb="1" eb="2">
      <t>ホン</t>
    </rPh>
    <rPh sb="2" eb="4">
      <t>ワクナイ</t>
    </rPh>
    <rPh sb="5" eb="8">
      <t>フリコミサキ</t>
    </rPh>
    <rPh sb="8" eb="10">
      <t>コウザ</t>
    </rPh>
    <rPh sb="11" eb="13">
      <t>ツウチョウ</t>
    </rPh>
    <rPh sb="14" eb="16">
      <t>ヒョウシ</t>
    </rPh>
    <rPh sb="16" eb="18">
      <t>ミヒラ</t>
    </rPh>
    <rPh sb="20" eb="21">
      <t>ウツ</t>
    </rPh>
    <rPh sb="23" eb="24">
      <t>ハ</t>
    </rPh>
    <rPh sb="25" eb="26">
      <t>ツ</t>
    </rPh>
    <rPh sb="41" eb="43">
      <t>ホンショ</t>
    </rPh>
    <rPh sb="45" eb="47">
      <t>マイメ</t>
    </rPh>
    <rPh sb="50" eb="52">
      <t>ツウチョウ</t>
    </rPh>
    <rPh sb="52" eb="53">
      <t>ウツ</t>
    </rPh>
    <rPh sb="56" eb="58">
      <t>マイメ</t>
    </rPh>
    <rPh sb="60" eb="62">
      <t>ヒダリカタ</t>
    </rPh>
    <rPh sb="66" eb="67">
      <t>ド</t>
    </rPh>
    <rPh sb="72" eb="74">
      <t>キョショウ</t>
    </rPh>
    <rPh sb="74" eb="76">
      <t>シリョウ</t>
    </rPh>
    <rPh sb="77" eb="80">
      <t>ミツモリショ</t>
    </rPh>
    <rPh sb="81" eb="84">
      <t>ハッチュウショ</t>
    </rPh>
    <rPh sb="84" eb="85">
      <t>マタ</t>
    </rPh>
    <rPh sb="86" eb="89">
      <t>ケイヤクショ</t>
    </rPh>
    <rPh sb="90" eb="93">
      <t>ノウヒンショ</t>
    </rPh>
    <rPh sb="93" eb="94">
      <t>トウ</t>
    </rPh>
    <rPh sb="101" eb="104">
      <t>アイチケン</t>
    </rPh>
    <rPh sb="118" eb="120">
      <t>ユウソウ</t>
    </rPh>
    <rPh sb="123" eb="125">
      <t>ソウフ</t>
    </rPh>
    <phoneticPr fontId="18"/>
  </si>
  <si>
    <t>総合</t>
    <rPh sb="0" eb="2">
      <t>ソウゴウ</t>
    </rPh>
    <phoneticPr fontId="1"/>
  </si>
  <si>
    <r>
      <t>振込先情報</t>
    </r>
    <r>
      <rPr>
        <b/>
        <sz val="12"/>
        <color rgb="FFFF0000"/>
        <rFont val="游ゴシック"/>
        <family val="3"/>
        <charset val="128"/>
        <scheme val="minor"/>
      </rPr>
      <t>※2</t>
    </r>
    <rPh sb="0" eb="3">
      <t>フリコミサキ</t>
    </rPh>
    <rPh sb="3" eb="5">
      <t>ジョウホウ</t>
    </rPh>
    <phoneticPr fontId="18"/>
  </si>
  <si>
    <t>←番号が７桁以下の場合は先頭に「0」を入力してください。</t>
    <rPh sb="1" eb="3">
      <t>バンゴウ</t>
    </rPh>
    <rPh sb="5" eb="6">
      <t>ケタ</t>
    </rPh>
    <rPh sb="6" eb="8">
      <t>イカ</t>
    </rPh>
    <rPh sb="9" eb="11">
      <t>バアイ</t>
    </rPh>
    <rPh sb="12" eb="14">
      <t>セントウ</t>
    </rPh>
    <rPh sb="19" eb="21">
      <t>ニュウリョク</t>
    </rPh>
    <phoneticPr fontId="1"/>
  </si>
  <si>
    <t>←「支店」、「営業部」まで入力してください。</t>
    <rPh sb="2" eb="4">
      <t>シテン</t>
    </rPh>
    <rPh sb="7" eb="10">
      <t>エイギョウブ</t>
    </rPh>
    <rPh sb="13" eb="15">
      <t>ニュウリョク</t>
    </rPh>
    <phoneticPr fontId="1"/>
  </si>
  <si>
    <t>←「株式会社」は不要。「銀行」、「信用金庫」等まで入力してください。</t>
    <rPh sb="2" eb="4">
      <t>カブシキ</t>
    </rPh>
    <rPh sb="4" eb="6">
      <t>カイシャ</t>
    </rPh>
    <rPh sb="8" eb="10">
      <t>フヨウ</t>
    </rPh>
    <rPh sb="12" eb="14">
      <t>ギンコウ</t>
    </rPh>
    <rPh sb="17" eb="19">
      <t>シンヨウ</t>
    </rPh>
    <rPh sb="19" eb="21">
      <t>キンコ</t>
    </rPh>
    <rPh sb="22" eb="23">
      <t>トウ</t>
    </rPh>
    <rPh sb="25" eb="27">
      <t>ニュウリョク</t>
    </rPh>
    <phoneticPr fontId="1"/>
  </si>
  <si>
    <t>←４桁の金融機関コードを半角数字で入力してください。</t>
    <rPh sb="2" eb="3">
      <t>ケタ</t>
    </rPh>
    <rPh sb="4" eb="6">
      <t>キンユウ</t>
    </rPh>
    <rPh sb="6" eb="8">
      <t>キカン</t>
    </rPh>
    <rPh sb="12" eb="14">
      <t>ハンカク</t>
    </rPh>
    <rPh sb="14" eb="16">
      <t>スウジ</t>
    </rPh>
    <rPh sb="17" eb="19">
      <t>ニュウリョク</t>
    </rPh>
    <phoneticPr fontId="1"/>
  </si>
  <si>
    <t>←３桁の支店コードを半角数字で入力してください。</t>
    <rPh sb="2" eb="3">
      <t>ケタ</t>
    </rPh>
    <rPh sb="4" eb="6">
      <t>シテン</t>
    </rPh>
    <rPh sb="10" eb="12">
      <t>ハンカク</t>
    </rPh>
    <rPh sb="12" eb="14">
      <t>スウジ</t>
    </rPh>
    <rPh sb="15" eb="17">
      <t>ニュウリョク</t>
    </rPh>
    <phoneticPr fontId="1"/>
  </si>
  <si>
    <t>１．はじめに</t>
    <phoneticPr fontId="1"/>
  </si>
  <si>
    <t>項目</t>
    <rPh sb="0" eb="2">
      <t>コウモク</t>
    </rPh>
    <phoneticPr fontId="1"/>
  </si>
  <si>
    <t>コメント</t>
    <phoneticPr fontId="1"/>
  </si>
  <si>
    <t>総合判定</t>
    <rPh sb="0" eb="2">
      <t>ソウゴウ</t>
    </rPh>
    <rPh sb="2" eb="4">
      <t>ハンテイ</t>
    </rPh>
    <phoneticPr fontId="1"/>
  </si>
  <si>
    <t>入力項目</t>
    <rPh sb="0" eb="2">
      <t>ニュウリョク</t>
    </rPh>
    <rPh sb="2" eb="4">
      <t>コウモク</t>
    </rPh>
    <phoneticPr fontId="1"/>
  </si>
  <si>
    <t>判定</t>
    <rPh sb="0" eb="2">
      <t>ハンテイ</t>
    </rPh>
    <phoneticPr fontId="1"/>
  </si>
  <si>
    <t>総合判定</t>
    <rPh sb="0" eb="2">
      <t>ソウゴウ</t>
    </rPh>
    <rPh sb="2" eb="4">
      <t>ハンテイ</t>
    </rPh>
    <phoneticPr fontId="1"/>
  </si>
  <si>
    <t>コメント</t>
    <phoneticPr fontId="1"/>
  </si>
  <si>
    <t>参考）○：未記入、×：入力不十分、◎：適切に入力</t>
    <rPh sb="0" eb="2">
      <t>サンコウ</t>
    </rPh>
    <rPh sb="5" eb="8">
      <t>ミキニュウ</t>
    </rPh>
    <rPh sb="11" eb="13">
      <t>ニュウリョク</t>
    </rPh>
    <rPh sb="13" eb="16">
      <t>フジュウブン</t>
    </rPh>
    <rPh sb="19" eb="21">
      <t>テキセツ</t>
    </rPh>
    <rPh sb="22" eb="24">
      <t>ニュウリョク</t>
    </rPh>
    <phoneticPr fontId="1"/>
  </si>
  <si>
    <t>①「はじめに」の入力</t>
    <rPh sb="8" eb="10">
      <t>ニュウリョク</t>
    </rPh>
    <phoneticPr fontId="1"/>
  </si>
  <si>
    <t>２．防護具情報</t>
    <rPh sb="2" eb="4">
      <t>ボウゴ</t>
    </rPh>
    <rPh sb="4" eb="5">
      <t>グ</t>
    </rPh>
    <rPh sb="5" eb="7">
      <t>ジョウホウ</t>
    </rPh>
    <phoneticPr fontId="1"/>
  </si>
  <si>
    <t>②防護具情報の入力</t>
    <rPh sb="1" eb="3">
      <t>ボウゴ</t>
    </rPh>
    <rPh sb="3" eb="4">
      <t>グ</t>
    </rPh>
    <rPh sb="4" eb="6">
      <t>ジョウホウ</t>
    </rPh>
    <rPh sb="7" eb="9">
      <t>ニュウリョク</t>
    </rPh>
    <phoneticPr fontId="1"/>
  </si>
  <si>
    <t>電話番号（担当直通）</t>
    <rPh sb="0" eb="2">
      <t>デンワ</t>
    </rPh>
    <rPh sb="2" eb="4">
      <t>バンゴウ</t>
    </rPh>
    <rPh sb="5" eb="7">
      <t>タントウ</t>
    </rPh>
    <rPh sb="7" eb="9">
      <t>チョクツウ</t>
    </rPh>
    <phoneticPr fontId="1"/>
  </si>
  <si>
    <t>Mailｱﾄﾞﾚｽ（担当直通）</t>
    <rPh sb="10" eb="12">
      <t>タントウ</t>
    </rPh>
    <rPh sb="12" eb="14">
      <t>チョクツウ</t>
    </rPh>
    <phoneticPr fontId="1"/>
  </si>
  <si>
    <t>法人・個人事業主の別</t>
    <rPh sb="0" eb="2">
      <t>ホウジン</t>
    </rPh>
    <rPh sb="3" eb="5">
      <t>コジン</t>
    </rPh>
    <rPh sb="5" eb="8">
      <t>ジギョウヌシ</t>
    </rPh>
    <rPh sb="9" eb="10">
      <t>ベツ</t>
    </rPh>
    <phoneticPr fontId="1"/>
  </si>
  <si>
    <t>　　　法人（医療法人等）</t>
    <rPh sb="3" eb="5">
      <t>ホウジン</t>
    </rPh>
    <rPh sb="6" eb="8">
      <t>イリョウ</t>
    </rPh>
    <rPh sb="8" eb="10">
      <t>ホウジン</t>
    </rPh>
    <rPh sb="10" eb="11">
      <t>トウ</t>
    </rPh>
    <phoneticPr fontId="1"/>
  </si>
  <si>
    <t>　　　個人事業主（法人ではない）</t>
    <rPh sb="3" eb="5">
      <t>コジン</t>
    </rPh>
    <rPh sb="5" eb="7">
      <t>ジギョウ</t>
    </rPh>
    <rPh sb="7" eb="8">
      <t>ヌシ</t>
    </rPh>
    <rPh sb="9" eb="11">
      <t>ホウジン</t>
    </rPh>
    <phoneticPr fontId="1"/>
  </si>
  <si>
    <t>入力判定</t>
    <rPh sb="0" eb="2">
      <t>ニュウリョク</t>
    </rPh>
    <rPh sb="2" eb="4">
      <t>ハンテイ</t>
    </rPh>
    <phoneticPr fontId="1"/>
  </si>
  <si>
    <t>記入項目</t>
    <rPh sb="0" eb="2">
      <t>キニュウ</t>
    </rPh>
    <rPh sb="2" eb="4">
      <t>コウモク</t>
    </rPh>
    <phoneticPr fontId="1"/>
  </si>
  <si>
    <t>記入欄</t>
    <rPh sb="0" eb="2">
      <t>キニュウ</t>
    </rPh>
    <rPh sb="2" eb="3">
      <t>ラン</t>
    </rPh>
    <phoneticPr fontId="1"/>
  </si>
  <si>
    <t>月</t>
    <rPh sb="0" eb="1">
      <t>ガツ</t>
    </rPh>
    <phoneticPr fontId="1"/>
  </si>
  <si>
    <t>日</t>
    <rPh sb="0" eb="1">
      <t>ニチ</t>
    </rPh>
    <phoneticPr fontId="1"/>
  </si>
  <si>
    <t>○</t>
  </si>
  <si>
    <t>○</t>
    <phoneticPr fontId="1"/>
  </si>
  <si>
    <t>書類名称</t>
    <rPh sb="0" eb="2">
      <t>ショルイ</t>
    </rPh>
    <rPh sb="2" eb="4">
      <t>メイショウ</t>
    </rPh>
    <phoneticPr fontId="1"/>
  </si>
  <si>
    <t>振込先情報</t>
    <rPh sb="0" eb="3">
      <t>フリコミサキ</t>
    </rPh>
    <rPh sb="3" eb="5">
      <t>ジョウホウ</t>
    </rPh>
    <phoneticPr fontId="1"/>
  </si>
  <si>
    <t>【必須】</t>
    <rPh sb="1" eb="3">
      <t>ヒッス</t>
    </rPh>
    <phoneticPr fontId="1"/>
  </si>
  <si>
    <t>公立医療機関の場合のみ</t>
    <rPh sb="0" eb="2">
      <t>コウリツ</t>
    </rPh>
    <rPh sb="2" eb="4">
      <t>イリョウ</t>
    </rPh>
    <rPh sb="4" eb="6">
      <t>キカン</t>
    </rPh>
    <rPh sb="7" eb="9">
      <t>バアイ</t>
    </rPh>
    <phoneticPr fontId="1"/>
  </si>
  <si>
    <t>入力の要否</t>
    <rPh sb="0" eb="2">
      <t>ニュウリョク</t>
    </rPh>
    <rPh sb="3" eb="5">
      <t>ヨウヒ</t>
    </rPh>
    <phoneticPr fontId="1"/>
  </si>
  <si>
    <t>補助金以外で事業に充当する寄付金その他の収入がある場合は入力してください。
（ない場合は入力は不要です。）</t>
    <rPh sb="0" eb="3">
      <t>ホジョキン</t>
    </rPh>
    <rPh sb="3" eb="5">
      <t>イガイ</t>
    </rPh>
    <rPh sb="6" eb="8">
      <t>ジギョウ</t>
    </rPh>
    <rPh sb="9" eb="11">
      <t>ジュウトウ</t>
    </rPh>
    <rPh sb="25" eb="27">
      <t>バアイ</t>
    </rPh>
    <rPh sb="28" eb="30">
      <t>ニュウリョク</t>
    </rPh>
    <rPh sb="41" eb="43">
      <t>バアイ</t>
    </rPh>
    <rPh sb="44" eb="46">
      <t>ニュウリョク</t>
    </rPh>
    <rPh sb="47" eb="49">
      <t>フヨウ</t>
    </rPh>
    <phoneticPr fontId="1"/>
  </si>
  <si>
    <t>受付番号</t>
    <rPh sb="0" eb="2">
      <t>ウケツケ</t>
    </rPh>
    <rPh sb="2" eb="4">
      <t>バンゴウ</t>
    </rPh>
    <phoneticPr fontId="1"/>
  </si>
  <si>
    <t>法人名</t>
    <rPh sb="0" eb="2">
      <t>ホウジン</t>
    </rPh>
    <rPh sb="2" eb="3">
      <t>メイ</t>
    </rPh>
    <phoneticPr fontId="1"/>
  </si>
  <si>
    <t>法人所在地</t>
    <rPh sb="0" eb="2">
      <t>ホウジン</t>
    </rPh>
    <rPh sb="2" eb="5">
      <t>ショザイチ</t>
    </rPh>
    <phoneticPr fontId="1"/>
  </si>
  <si>
    <t>代表者職名</t>
    <rPh sb="0" eb="3">
      <t>ダイヒョウシャ</t>
    </rPh>
    <rPh sb="3" eb="5">
      <t>ショクメイ</t>
    </rPh>
    <phoneticPr fontId="1"/>
  </si>
  <si>
    <t>施設名称</t>
    <rPh sb="0" eb="2">
      <t>シセツ</t>
    </rPh>
    <rPh sb="2" eb="4">
      <t>メイショウ</t>
    </rPh>
    <phoneticPr fontId="1"/>
  </si>
  <si>
    <t>施設所在地</t>
    <rPh sb="0" eb="2">
      <t>シセツ</t>
    </rPh>
    <rPh sb="2" eb="5">
      <t>ショザイチ</t>
    </rPh>
    <phoneticPr fontId="1"/>
  </si>
  <si>
    <t>担当者名</t>
    <rPh sb="0" eb="3">
      <t>タントウシャ</t>
    </rPh>
    <rPh sb="3" eb="4">
      <t>メイ</t>
    </rPh>
    <phoneticPr fontId="1"/>
  </si>
  <si>
    <t>電話</t>
    <rPh sb="0" eb="2">
      <t>デンワ</t>
    </rPh>
    <phoneticPr fontId="1"/>
  </si>
  <si>
    <t>メール</t>
    <phoneticPr fontId="1"/>
  </si>
  <si>
    <t>申請額</t>
    <rPh sb="0" eb="3">
      <t>シンセイガク</t>
    </rPh>
    <phoneticPr fontId="1"/>
  </si>
  <si>
    <t>内、個人防護具</t>
    <rPh sb="0" eb="1">
      <t>ウチ</t>
    </rPh>
    <rPh sb="2" eb="4">
      <t>コジン</t>
    </rPh>
    <rPh sb="4" eb="6">
      <t>ボウゴ</t>
    </rPh>
    <rPh sb="6" eb="7">
      <t>グ</t>
    </rPh>
    <phoneticPr fontId="1"/>
  </si>
  <si>
    <t>事業完了予定日</t>
    <rPh sb="0" eb="2">
      <t>ジギョウ</t>
    </rPh>
    <rPh sb="2" eb="4">
      <t>カンリョウ</t>
    </rPh>
    <rPh sb="4" eb="6">
      <t>ヨテイ</t>
    </rPh>
    <rPh sb="6" eb="7">
      <t>ビ</t>
    </rPh>
    <phoneticPr fontId="1"/>
  </si>
  <si>
    <t>交付申請額</t>
    <rPh sb="0" eb="2">
      <t>コウフ</t>
    </rPh>
    <rPh sb="2" eb="4">
      <t>シンセイ</t>
    </rPh>
    <rPh sb="4" eb="5">
      <t>ガク</t>
    </rPh>
    <phoneticPr fontId="1"/>
  </si>
  <si>
    <t>金融機関＆支店番号</t>
    <rPh sb="0" eb="2">
      <t>キンユウ</t>
    </rPh>
    <rPh sb="2" eb="4">
      <t>キカン</t>
    </rPh>
    <rPh sb="5" eb="7">
      <t>シテン</t>
    </rPh>
    <rPh sb="7" eb="9">
      <t>バンゴウ</t>
    </rPh>
    <phoneticPr fontId="1"/>
  </si>
  <si>
    <t>銀行名</t>
    <rPh sb="0" eb="3">
      <t>ギンコウメイ</t>
    </rPh>
    <phoneticPr fontId="1"/>
  </si>
  <si>
    <t>支店名</t>
    <rPh sb="0" eb="3">
      <t>シテンメイ</t>
    </rPh>
    <phoneticPr fontId="1"/>
  </si>
  <si>
    <t>預金種別</t>
    <rPh sb="0" eb="2">
      <t>ヨキン</t>
    </rPh>
    <rPh sb="2" eb="4">
      <t>シュベツ</t>
    </rPh>
    <phoneticPr fontId="1"/>
  </si>
  <si>
    <t>口座番号</t>
    <rPh sb="0" eb="2">
      <t>コウザ</t>
    </rPh>
    <rPh sb="2" eb="4">
      <t>バンゴウ</t>
    </rPh>
    <phoneticPr fontId="1"/>
  </si>
  <si>
    <t>口座名義（ｶﾅ）</t>
    <rPh sb="0" eb="2">
      <t>コウザ</t>
    </rPh>
    <rPh sb="2" eb="4">
      <t>メイギ</t>
    </rPh>
    <phoneticPr fontId="1"/>
  </si>
  <si>
    <t>口座名義</t>
    <rPh sb="0" eb="2">
      <t>コウザ</t>
    </rPh>
    <rPh sb="2" eb="4">
      <t>メイギ</t>
    </rPh>
    <phoneticPr fontId="1"/>
  </si>
  <si>
    <t>件名</t>
    <rPh sb="0" eb="2">
      <t>ケンメイ</t>
    </rPh>
    <phoneticPr fontId="1"/>
  </si>
  <si>
    <t>本文</t>
    <rPh sb="0" eb="2">
      <t>ホンブン</t>
    </rPh>
    <phoneticPr fontId="1"/>
  </si>
  <si>
    <t>修正事項</t>
    <rPh sb="0" eb="2">
      <t>シュウセイ</t>
    </rPh>
    <rPh sb="2" eb="4">
      <t>ジコウ</t>
    </rPh>
    <phoneticPr fontId="1"/>
  </si>
  <si>
    <t>初度設備</t>
    <rPh sb="0" eb="2">
      <t>ショド</t>
    </rPh>
    <rPh sb="2" eb="4">
      <t>セツビ</t>
    </rPh>
    <phoneticPr fontId="1"/>
  </si>
  <si>
    <t>人工呼吸器</t>
    <rPh sb="0" eb="2">
      <t>ジンコウ</t>
    </rPh>
    <rPh sb="2" eb="5">
      <t>コキュウキ</t>
    </rPh>
    <phoneticPr fontId="1"/>
  </si>
  <si>
    <t>簡易陰圧装置</t>
    <rPh sb="0" eb="2">
      <t>カンイ</t>
    </rPh>
    <rPh sb="2" eb="3">
      <t>カゲ</t>
    </rPh>
    <rPh sb="3" eb="4">
      <t>アツ</t>
    </rPh>
    <rPh sb="4" eb="6">
      <t>ソウチ</t>
    </rPh>
    <phoneticPr fontId="1"/>
  </si>
  <si>
    <t>体外式膜型人工肺</t>
    <rPh sb="0" eb="3">
      <t>タイガイシキ</t>
    </rPh>
    <rPh sb="3" eb="4">
      <t>マク</t>
    </rPh>
    <rPh sb="4" eb="5">
      <t>ガタ</t>
    </rPh>
    <rPh sb="5" eb="7">
      <t>ジンコウ</t>
    </rPh>
    <rPh sb="7" eb="8">
      <t>ハイ</t>
    </rPh>
    <phoneticPr fontId="1"/>
  </si>
  <si>
    <t>簡易病室</t>
    <rPh sb="0" eb="2">
      <t>カンイ</t>
    </rPh>
    <rPh sb="2" eb="4">
      <t>ビョウシツ</t>
    </rPh>
    <phoneticPr fontId="1"/>
  </si>
  <si>
    <t>紫外線照射装置等導入経費</t>
    <rPh sb="0" eb="3">
      <t>シガイセン</t>
    </rPh>
    <rPh sb="3" eb="5">
      <t>ショウシャ</t>
    </rPh>
    <rPh sb="5" eb="7">
      <t>ソウチ</t>
    </rPh>
    <rPh sb="7" eb="8">
      <t>トウ</t>
    </rPh>
    <rPh sb="8" eb="10">
      <t>ドウニュウ</t>
    </rPh>
    <rPh sb="10" eb="12">
      <t>ケイヒ</t>
    </rPh>
    <phoneticPr fontId="1"/>
  </si>
  <si>
    <t>入院医療機関設備整備事業（１）</t>
    <rPh sb="0" eb="2">
      <t>ニュウイン</t>
    </rPh>
    <rPh sb="2" eb="4">
      <t>イリョウ</t>
    </rPh>
    <rPh sb="4" eb="6">
      <t>キカン</t>
    </rPh>
    <rPh sb="6" eb="8">
      <t>セツビ</t>
    </rPh>
    <rPh sb="8" eb="10">
      <t>セイビ</t>
    </rPh>
    <rPh sb="10" eb="12">
      <t>ジギョウ</t>
    </rPh>
    <phoneticPr fontId="1"/>
  </si>
  <si>
    <t>入院医療機関設備整備事業（２）</t>
    <phoneticPr fontId="1"/>
  </si>
  <si>
    <t>超音波画像診断装置</t>
    <rPh sb="0" eb="3">
      <t>チョウオンパ</t>
    </rPh>
    <rPh sb="3" eb="5">
      <t>ガゾウ</t>
    </rPh>
    <rPh sb="5" eb="7">
      <t>シンダン</t>
    </rPh>
    <rPh sb="7" eb="9">
      <t>ソウチ</t>
    </rPh>
    <phoneticPr fontId="1"/>
  </si>
  <si>
    <t>血液浄化装置</t>
    <rPh sb="0" eb="2">
      <t>ケツエキ</t>
    </rPh>
    <rPh sb="2" eb="4">
      <t>ジョウカ</t>
    </rPh>
    <rPh sb="4" eb="6">
      <t>ソウチ</t>
    </rPh>
    <phoneticPr fontId="1"/>
  </si>
  <si>
    <t>気管支鏡</t>
    <rPh sb="0" eb="4">
      <t>キカンシキョウ</t>
    </rPh>
    <phoneticPr fontId="1"/>
  </si>
  <si>
    <t>CT撮影装置</t>
    <rPh sb="2" eb="4">
      <t>サツエイ</t>
    </rPh>
    <rPh sb="4" eb="6">
      <t>ソウチ</t>
    </rPh>
    <phoneticPr fontId="1"/>
  </si>
  <si>
    <t>分娩監視装置</t>
    <rPh sb="0" eb="2">
      <t>ブンベン</t>
    </rPh>
    <rPh sb="2" eb="4">
      <t>カンシ</t>
    </rPh>
    <rPh sb="4" eb="6">
      <t>ソウチ</t>
    </rPh>
    <phoneticPr fontId="1"/>
  </si>
  <si>
    <t>新生児モニタ</t>
    <rPh sb="0" eb="3">
      <t>シンセイジ</t>
    </rPh>
    <phoneticPr fontId="1"/>
  </si>
  <si>
    <t>総計</t>
    <rPh sb="0" eb="2">
      <t>ソウケイ</t>
    </rPh>
    <phoneticPr fontId="1"/>
  </si>
  <si>
    <t>初度設備　明細</t>
    <rPh sb="0" eb="2">
      <t>ショド</t>
    </rPh>
    <rPh sb="2" eb="4">
      <t>セツビ</t>
    </rPh>
    <rPh sb="5" eb="7">
      <t>メイサイ</t>
    </rPh>
    <phoneticPr fontId="1"/>
  </si>
  <si>
    <t>既設病床数</t>
    <rPh sb="0" eb="2">
      <t>キセツ</t>
    </rPh>
    <rPh sb="2" eb="5">
      <t>ビョウショウスウ</t>
    </rPh>
    <phoneticPr fontId="1"/>
  </si>
  <si>
    <t>今年度整備病床数</t>
    <rPh sb="0" eb="3">
      <t>コンネンド</t>
    </rPh>
    <rPh sb="3" eb="5">
      <t>セイビ</t>
    </rPh>
    <rPh sb="5" eb="8">
      <t>ビョウショウスウ</t>
    </rPh>
    <phoneticPr fontId="1"/>
  </si>
  <si>
    <t>床</t>
    <rPh sb="0" eb="1">
      <t>ユカ</t>
    </rPh>
    <phoneticPr fontId="1"/>
  </si>
  <si>
    <t>病床</t>
    <rPh sb="0" eb="2">
      <t>ビョウショウ</t>
    </rPh>
    <phoneticPr fontId="1"/>
  </si>
  <si>
    <t>既設病床2</t>
    <rPh sb="0" eb="2">
      <t>キセツ</t>
    </rPh>
    <rPh sb="2" eb="4">
      <t>ビョウショウ</t>
    </rPh>
    <phoneticPr fontId="1"/>
  </si>
  <si>
    <t>既設病床3</t>
    <rPh sb="0" eb="2">
      <t>キセツ</t>
    </rPh>
    <rPh sb="2" eb="4">
      <t>ビョウショウ</t>
    </rPh>
    <phoneticPr fontId="1"/>
  </si>
  <si>
    <t>既設病床4</t>
    <rPh sb="0" eb="2">
      <t>キセツ</t>
    </rPh>
    <rPh sb="2" eb="4">
      <t>ビョウショウ</t>
    </rPh>
    <phoneticPr fontId="1"/>
  </si>
  <si>
    <t>既設病床5</t>
    <rPh sb="0" eb="2">
      <t>キセツ</t>
    </rPh>
    <rPh sb="2" eb="4">
      <t>ビョウショウ</t>
    </rPh>
    <phoneticPr fontId="1"/>
  </si>
  <si>
    <t>対応病床共通</t>
    <rPh sb="0" eb="2">
      <t>タイオウ</t>
    </rPh>
    <rPh sb="2" eb="4">
      <t>ビョウショウ</t>
    </rPh>
    <rPh sb="4" eb="6">
      <t>キョウツウ</t>
    </rPh>
    <phoneticPr fontId="1"/>
  </si>
  <si>
    <t>共通使用</t>
    <rPh sb="0" eb="2">
      <t>キョウツウ</t>
    </rPh>
    <rPh sb="2" eb="4">
      <t>シヨウ</t>
    </rPh>
    <phoneticPr fontId="1"/>
  </si>
  <si>
    <t>既設病床</t>
    <rPh sb="0" eb="2">
      <t>キセツ</t>
    </rPh>
    <rPh sb="2" eb="4">
      <t>ビョウショウ</t>
    </rPh>
    <phoneticPr fontId="1"/>
  </si>
  <si>
    <t>用途先病床</t>
    <rPh sb="0" eb="2">
      <t>ヨウト</t>
    </rPh>
    <rPh sb="2" eb="3">
      <t>サキ</t>
    </rPh>
    <rPh sb="3" eb="5">
      <t>ビョウショウ</t>
    </rPh>
    <phoneticPr fontId="1"/>
  </si>
  <si>
    <t>整備区分</t>
    <rPh sb="0" eb="2">
      <t>セイビ</t>
    </rPh>
    <rPh sb="2" eb="4">
      <t>クブン</t>
    </rPh>
    <phoneticPr fontId="1"/>
  </si>
  <si>
    <t>補助対象区分</t>
    <rPh sb="0" eb="2">
      <t>ホジョ</t>
    </rPh>
    <rPh sb="2" eb="4">
      <t>タイショウ</t>
    </rPh>
    <rPh sb="4" eb="6">
      <t>クブン</t>
    </rPh>
    <phoneticPr fontId="1"/>
  </si>
  <si>
    <t>補助対象額</t>
    <rPh sb="0" eb="2">
      <t>ホジョ</t>
    </rPh>
    <rPh sb="2" eb="4">
      <t>タイショウ</t>
    </rPh>
    <rPh sb="4" eb="5">
      <t>ガク</t>
    </rPh>
    <phoneticPr fontId="1"/>
  </si>
  <si>
    <t>対象・用途</t>
    <rPh sb="0" eb="2">
      <t>タイショウ</t>
    </rPh>
    <rPh sb="3" eb="5">
      <t>ヨウト</t>
    </rPh>
    <phoneticPr fontId="1"/>
  </si>
  <si>
    <t>規格・数量</t>
    <rPh sb="0" eb="2">
      <t>キカク</t>
    </rPh>
    <rPh sb="3" eb="5">
      <t>スウリョウ</t>
    </rPh>
    <phoneticPr fontId="1"/>
  </si>
  <si>
    <t>規格・数量、対象区分</t>
    <rPh sb="0" eb="2">
      <t>キカク</t>
    </rPh>
    <rPh sb="3" eb="5">
      <t>スウリョウ</t>
    </rPh>
    <rPh sb="6" eb="8">
      <t>タイショウ</t>
    </rPh>
    <rPh sb="8" eb="10">
      <t>クブン</t>
    </rPh>
    <phoneticPr fontId="1"/>
  </si>
  <si>
    <t>整備先・内容</t>
    <rPh sb="0" eb="2">
      <t>セイビ</t>
    </rPh>
    <rPh sb="2" eb="3">
      <t>サキ</t>
    </rPh>
    <rPh sb="4" eb="6">
      <t>ナイヨウ</t>
    </rPh>
    <phoneticPr fontId="1"/>
  </si>
  <si>
    <t>単価・対象経費か否か</t>
    <rPh sb="0" eb="2">
      <t>タンカ</t>
    </rPh>
    <rPh sb="3" eb="5">
      <t>タイショウ</t>
    </rPh>
    <rPh sb="5" eb="7">
      <t>ケイヒ</t>
    </rPh>
    <rPh sb="8" eb="9">
      <t>イナ</t>
    </rPh>
    <phoneticPr fontId="1"/>
  </si>
  <si>
    <t>医療機関名</t>
    <rPh sb="0" eb="2">
      <t>イリョウ</t>
    </rPh>
    <rPh sb="2" eb="5">
      <t>キカンメイ</t>
    </rPh>
    <phoneticPr fontId="1"/>
  </si>
  <si>
    <t>既設病床数</t>
    <rPh sb="0" eb="2">
      <t>キセツ</t>
    </rPh>
    <rPh sb="2" eb="4">
      <t>ビョウショウ</t>
    </rPh>
    <rPh sb="4" eb="5">
      <t>スウ</t>
    </rPh>
    <phoneticPr fontId="1"/>
  </si>
  <si>
    <t>新設病床数</t>
    <rPh sb="0" eb="2">
      <t>シンセツ</t>
    </rPh>
    <rPh sb="2" eb="5">
      <t>ビョウショウスウ</t>
    </rPh>
    <phoneticPr fontId="1"/>
  </si>
  <si>
    <t>コロナ対応病床数（計）</t>
    <rPh sb="3" eb="5">
      <t>タイオウ</t>
    </rPh>
    <rPh sb="5" eb="7">
      <t>ビョウショウ</t>
    </rPh>
    <rPh sb="7" eb="8">
      <t>スウ</t>
    </rPh>
    <rPh sb="9" eb="10">
      <t>ケイ</t>
    </rPh>
    <phoneticPr fontId="1"/>
  </si>
  <si>
    <t>内、補助対象額</t>
    <rPh sb="0" eb="1">
      <t>ウチ</t>
    </rPh>
    <rPh sb="2" eb="4">
      <t>ホジョ</t>
    </rPh>
    <rPh sb="4" eb="6">
      <t>タイショウ</t>
    </rPh>
    <rPh sb="6" eb="7">
      <t>ガク</t>
    </rPh>
    <phoneticPr fontId="1"/>
  </si>
  <si>
    <t>番号</t>
    <rPh sb="0" eb="2">
      <t>バンゴウ</t>
    </rPh>
    <phoneticPr fontId="1"/>
  </si>
  <si>
    <r>
      <t>○ 初度設備情報（右端に表示の番号を、</t>
    </r>
    <r>
      <rPr>
        <b/>
        <u/>
        <sz val="15"/>
        <color rgb="FFFF0000"/>
        <rFont val="游ゴシック"/>
        <family val="3"/>
        <charset val="128"/>
        <scheme val="minor"/>
      </rPr>
      <t>見積書あるいは納品書の内訳中、該当の部分に記入し記載の箇所を明示</t>
    </r>
    <r>
      <rPr>
        <b/>
        <sz val="14"/>
        <color theme="1"/>
        <rFont val="游ゴシック"/>
        <family val="3"/>
        <charset val="128"/>
        <scheme val="minor"/>
      </rPr>
      <t>してください。）</t>
    </r>
    <rPh sb="2" eb="4">
      <t>ショド</t>
    </rPh>
    <rPh sb="4" eb="6">
      <t>セツビ</t>
    </rPh>
    <rPh sb="6" eb="8">
      <t>ジョウホウ</t>
    </rPh>
    <rPh sb="9" eb="11">
      <t>ミギハシ</t>
    </rPh>
    <rPh sb="12" eb="14">
      <t>ヒョウジ</t>
    </rPh>
    <rPh sb="15" eb="17">
      <t>バンゴウ</t>
    </rPh>
    <rPh sb="19" eb="22">
      <t>ミツモリショ</t>
    </rPh>
    <rPh sb="26" eb="29">
      <t>ノウヒンショ</t>
    </rPh>
    <rPh sb="30" eb="32">
      <t>ウチワケ</t>
    </rPh>
    <rPh sb="32" eb="33">
      <t>チュウ</t>
    </rPh>
    <rPh sb="34" eb="36">
      <t>ガイトウ</t>
    </rPh>
    <rPh sb="37" eb="39">
      <t>ブブン</t>
    </rPh>
    <rPh sb="40" eb="42">
      <t>キニュウ</t>
    </rPh>
    <rPh sb="43" eb="45">
      <t>キサイ</t>
    </rPh>
    <rPh sb="46" eb="48">
      <t>カショ</t>
    </rPh>
    <rPh sb="49" eb="51">
      <t>メイジ</t>
    </rPh>
    <phoneticPr fontId="1"/>
  </si>
  <si>
    <t xml:space="preserve">【1行目】【規格・数量】入力不十分、【単価・補助対象か】未入力
</t>
    <phoneticPr fontId="1"/>
  </si>
  <si>
    <t>人工呼吸器　明細</t>
    <rPh sb="0" eb="2">
      <t>ジンコウ</t>
    </rPh>
    <rPh sb="2" eb="5">
      <t>コキュウキ</t>
    </rPh>
    <rPh sb="6" eb="8">
      <t>メイサイ</t>
    </rPh>
    <phoneticPr fontId="1"/>
  </si>
  <si>
    <t>ベッドに必ずしも紐付けるものではありませんが、１病床１台で紐付けした場合、不足する病床に番号付けをした場合の番号を選択してください。
（例）
　既存の人工呼吸器３台
　既設病床２床、新設病床３床の場合
→既存の人工呼吸器３台は、既設病床１～２に配備
　３台申請する場合は「新設病床１」～「新設病床３」を選択して品目等必要情報を入力</t>
    <phoneticPr fontId="1"/>
  </si>
  <si>
    <t>合計台数</t>
    <rPh sb="0" eb="2">
      <t>ゴウケイ</t>
    </rPh>
    <rPh sb="2" eb="4">
      <t>ダイスウ</t>
    </rPh>
    <phoneticPr fontId="1"/>
  </si>
  <si>
    <t>今回配備の台数</t>
    <rPh sb="0" eb="2">
      <t>コンカイ</t>
    </rPh>
    <rPh sb="2" eb="4">
      <t>ハイビ</t>
    </rPh>
    <rPh sb="5" eb="7">
      <t>ダイスウ</t>
    </rPh>
    <phoneticPr fontId="1"/>
  </si>
  <si>
    <t>既存配備の台数</t>
    <rPh sb="0" eb="2">
      <t>キソン</t>
    </rPh>
    <rPh sb="2" eb="4">
      <t>ハイビ</t>
    </rPh>
    <rPh sb="5" eb="7">
      <t>ダイスウ</t>
    </rPh>
    <phoneticPr fontId="1"/>
  </si>
  <si>
    <t>１．配備計画</t>
    <rPh sb="2" eb="4">
      <t>ハイビ</t>
    </rPh>
    <rPh sb="4" eb="6">
      <t>ケイカク</t>
    </rPh>
    <phoneticPr fontId="1"/>
  </si>
  <si>
    <t>　　令和２年度、令和３年度に簡易病室設置に係る補助金の交付を受けているか記入してください。</t>
    <rPh sb="2" eb="4">
      <t>レイワ</t>
    </rPh>
    <rPh sb="5" eb="7">
      <t>ネンド</t>
    </rPh>
    <rPh sb="8" eb="10">
      <t>レイワ</t>
    </rPh>
    <rPh sb="11" eb="13">
      <t>ネンド</t>
    </rPh>
    <rPh sb="14" eb="16">
      <t>カンイ</t>
    </rPh>
    <rPh sb="16" eb="18">
      <t>ビョウシツ</t>
    </rPh>
    <rPh sb="18" eb="20">
      <t>セッチ</t>
    </rPh>
    <rPh sb="21" eb="22">
      <t>カカ</t>
    </rPh>
    <rPh sb="23" eb="26">
      <t>ホジョキン</t>
    </rPh>
    <rPh sb="27" eb="29">
      <t>コウフ</t>
    </rPh>
    <rPh sb="30" eb="31">
      <t>ウ</t>
    </rPh>
    <rPh sb="36" eb="38">
      <t>キニュウ</t>
    </rPh>
    <phoneticPr fontId="1"/>
  </si>
  <si>
    <t>２．簡易病室情報</t>
    <rPh sb="2" eb="4">
      <t>カンイ</t>
    </rPh>
    <rPh sb="4" eb="6">
      <t>ビョウシツ</t>
    </rPh>
    <rPh sb="6" eb="8">
      <t>ジョウホウ</t>
    </rPh>
    <phoneticPr fontId="1"/>
  </si>
  <si>
    <t>簡易陰圧装置　明細</t>
    <rPh sb="0" eb="2">
      <t>カンイ</t>
    </rPh>
    <rPh sb="2" eb="4">
      <t>インアツ</t>
    </rPh>
    <rPh sb="4" eb="6">
      <t>ソウチ</t>
    </rPh>
    <rPh sb="7" eb="9">
      <t>メイサイ</t>
    </rPh>
    <phoneticPr fontId="1"/>
  </si>
  <si>
    <t>簡易病室　明細</t>
    <rPh sb="2" eb="4">
      <t>ビョウシツ</t>
    </rPh>
    <phoneticPr fontId="1"/>
  </si>
  <si>
    <t>既存配備の台数</t>
    <rPh sb="0" eb="2">
      <t>キソン</t>
    </rPh>
    <rPh sb="2" eb="4">
      <t>ハイビ</t>
    </rPh>
    <rPh sb="5" eb="6">
      <t>ダイ</t>
    </rPh>
    <rPh sb="6" eb="7">
      <t>スウ</t>
    </rPh>
    <phoneticPr fontId="1"/>
  </si>
  <si>
    <t>今回配備の台数</t>
    <rPh sb="0" eb="2">
      <t>コンカイ</t>
    </rPh>
    <rPh sb="2" eb="4">
      <t>ハイビ</t>
    </rPh>
    <rPh sb="5" eb="6">
      <t>ダイ</t>
    </rPh>
    <rPh sb="6" eb="7">
      <t>スウ</t>
    </rPh>
    <phoneticPr fontId="1"/>
  </si>
  <si>
    <t>血液浄化装置　明細</t>
    <rPh sb="7" eb="9">
      <t>メイサイ</t>
    </rPh>
    <phoneticPr fontId="1"/>
  </si>
  <si>
    <t>　まとめて「一式」と記載はせず、見積書、納品書等に記載の設備・備品の品目ごとに分けて記載するようにしてください。
　各品目について、表の左部分「整備先・内容」欄にて、整備先の病床の別（病床共通で使用の場合は「共通」）及び、当該品目が「設備」（換気扇等立て付けのもの）か備品（機材、什器等）の別をプルダウンから選択してください。</t>
    <rPh sb="6" eb="8">
      <t>イッシキ</t>
    </rPh>
    <rPh sb="10" eb="12">
      <t>キサイ</t>
    </rPh>
    <rPh sb="16" eb="19">
      <t>ミツモリショ</t>
    </rPh>
    <rPh sb="20" eb="23">
      <t>ノウヒンショ</t>
    </rPh>
    <rPh sb="23" eb="24">
      <t>トウ</t>
    </rPh>
    <rPh sb="25" eb="27">
      <t>キサイ</t>
    </rPh>
    <rPh sb="28" eb="30">
      <t>セツビ</t>
    </rPh>
    <rPh sb="31" eb="33">
      <t>ビヒン</t>
    </rPh>
    <rPh sb="34" eb="36">
      <t>ヒンモク</t>
    </rPh>
    <rPh sb="39" eb="40">
      <t>ワ</t>
    </rPh>
    <rPh sb="42" eb="44">
      <t>キサイ</t>
    </rPh>
    <rPh sb="58" eb="59">
      <t>カク</t>
    </rPh>
    <rPh sb="59" eb="61">
      <t>ヒンモク</t>
    </rPh>
    <rPh sb="66" eb="67">
      <t>ヒョウ</t>
    </rPh>
    <rPh sb="68" eb="69">
      <t>ヒダリ</t>
    </rPh>
    <rPh sb="69" eb="71">
      <t>ブブン</t>
    </rPh>
    <rPh sb="74" eb="75">
      <t>サキ</t>
    </rPh>
    <rPh sb="76" eb="78">
      <t>ナイヨウ</t>
    </rPh>
    <rPh sb="79" eb="80">
      <t>ラン</t>
    </rPh>
    <rPh sb="85" eb="86">
      <t>サキ</t>
    </rPh>
    <rPh sb="87" eb="89">
      <t>ビョウショウ</t>
    </rPh>
    <rPh sb="90" eb="91">
      <t>ベツ</t>
    </rPh>
    <rPh sb="92" eb="94">
      <t>ビョウショウ</t>
    </rPh>
    <rPh sb="94" eb="96">
      <t>キョウツウ</t>
    </rPh>
    <rPh sb="97" eb="99">
      <t>シヨウ</t>
    </rPh>
    <rPh sb="100" eb="102">
      <t>バアイ</t>
    </rPh>
    <rPh sb="104" eb="106">
      <t>キョウツウ</t>
    </rPh>
    <rPh sb="108" eb="109">
      <t>オヨ</t>
    </rPh>
    <rPh sb="111" eb="113">
      <t>トウガイ</t>
    </rPh>
    <rPh sb="113" eb="115">
      <t>ヒンモク</t>
    </rPh>
    <rPh sb="117" eb="119">
      <t>セツビ</t>
    </rPh>
    <rPh sb="121" eb="124">
      <t>カンキセン</t>
    </rPh>
    <rPh sb="124" eb="125">
      <t>トウ</t>
    </rPh>
    <rPh sb="125" eb="126">
      <t>タ</t>
    </rPh>
    <rPh sb="127" eb="128">
      <t>ツ</t>
    </rPh>
    <rPh sb="134" eb="136">
      <t>ビヒン</t>
    </rPh>
    <rPh sb="137" eb="139">
      <t>キザイ</t>
    </rPh>
    <rPh sb="140" eb="142">
      <t>ジュウキ</t>
    </rPh>
    <rPh sb="142" eb="143">
      <t>トウ</t>
    </rPh>
    <rPh sb="145" eb="146">
      <t>ベツ</t>
    </rPh>
    <rPh sb="154" eb="156">
      <t>センタク</t>
    </rPh>
    <phoneticPr fontId="1"/>
  </si>
  <si>
    <t>CT撮影装置　明細</t>
    <rPh sb="7" eb="9">
      <t>メイサイ</t>
    </rPh>
    <phoneticPr fontId="1"/>
  </si>
  <si>
    <t>生体情報モニタ　明細</t>
    <rPh sb="8" eb="10">
      <t>メイサイ</t>
    </rPh>
    <phoneticPr fontId="1"/>
  </si>
  <si>
    <t>ベッドに必ずしも紐付けるものではありませんが、１病床１台で紐付けした場合、不足する病床に番号付けをした場合の番号を選択してください。
（例）
　既存の生体情報モニタ３台
　既設病床２床、新設病床３床の場合
→既存の生体情報モニタ３台は、既設病床１～２に配備
　３台申請する場合は「新設病床１」～「新設病床３」を選択して品目等必要情報を入力</t>
  </si>
  <si>
    <t>分娩監視装置　明細</t>
    <rPh sb="7" eb="9">
      <t>メイサイ</t>
    </rPh>
    <phoneticPr fontId="1"/>
  </si>
  <si>
    <t>ベッドに必ずしも紐付けるものではありませんが、１病床１台で紐付けした場合、不足する病床に番号付けをした場合の番号を選択してください。
（例）
　既存の分娩監視装置３台
　既設病床２床、新設病床３床の場合
→既存の分娩監視装置３台は、既設病床１～２に配備
　３台申請する場合は「新設病床１」～「新設病床３」を選択して品目等必要情報を入力</t>
  </si>
  <si>
    <t>新生児モニタ　明細</t>
    <rPh sb="7" eb="9">
      <t>メイサイ</t>
    </rPh>
    <phoneticPr fontId="1"/>
  </si>
  <si>
    <t>簡易陰圧装置</t>
    <rPh sb="0" eb="2">
      <t>カンイ</t>
    </rPh>
    <rPh sb="2" eb="3">
      <t>イン</t>
    </rPh>
    <rPh sb="3" eb="4">
      <t>アツ</t>
    </rPh>
    <rPh sb="4" eb="6">
      <t>ソウチ</t>
    </rPh>
    <phoneticPr fontId="1"/>
  </si>
  <si>
    <t>体外式膜型人工肺</t>
    <rPh sb="0" eb="3">
      <t>タイガイシキ</t>
    </rPh>
    <rPh sb="3" eb="4">
      <t>マク</t>
    </rPh>
    <rPh sb="4" eb="5">
      <t>ガタ</t>
    </rPh>
    <rPh sb="5" eb="7">
      <t>ジンコウ</t>
    </rPh>
    <rPh sb="7" eb="8">
      <t>ハイ</t>
    </rPh>
    <phoneticPr fontId="1"/>
  </si>
  <si>
    <t>簡易病室</t>
    <rPh sb="2" eb="4">
      <t>ビョウシツ</t>
    </rPh>
    <phoneticPr fontId="1"/>
  </si>
  <si>
    <t>紫外線照射装置</t>
    <rPh sb="0" eb="3">
      <t>シガイセン</t>
    </rPh>
    <rPh sb="3" eb="5">
      <t>ショウシャ</t>
    </rPh>
    <rPh sb="5" eb="7">
      <t>ソウチ</t>
    </rPh>
    <phoneticPr fontId="1"/>
  </si>
  <si>
    <t>重点医療機関等設備整備事業</t>
    <rPh sb="0" eb="2">
      <t>ジュウテン</t>
    </rPh>
    <rPh sb="2" eb="4">
      <t>イリョウ</t>
    </rPh>
    <rPh sb="4" eb="6">
      <t>キカン</t>
    </rPh>
    <rPh sb="6" eb="7">
      <t>トウ</t>
    </rPh>
    <rPh sb="7" eb="9">
      <t>セツビ</t>
    </rPh>
    <rPh sb="9" eb="11">
      <t>セイビ</t>
    </rPh>
    <rPh sb="11" eb="13">
      <t>ジギョウ</t>
    </rPh>
    <phoneticPr fontId="1"/>
  </si>
  <si>
    <t>入院医療機関設備整備事業（２）</t>
    <rPh sb="0" eb="2">
      <t>ニュウイン</t>
    </rPh>
    <rPh sb="2" eb="4">
      <t>イリョウ</t>
    </rPh>
    <rPh sb="4" eb="6">
      <t>キカン</t>
    </rPh>
    <rPh sb="6" eb="8">
      <t>セツビ</t>
    </rPh>
    <rPh sb="8" eb="10">
      <t>セイビ</t>
    </rPh>
    <rPh sb="10" eb="12">
      <t>ジギョウ</t>
    </rPh>
    <phoneticPr fontId="1"/>
  </si>
  <si>
    <t>CT撮影装置等</t>
    <rPh sb="2" eb="4">
      <t>サツエイ</t>
    </rPh>
    <rPh sb="4" eb="6">
      <t>ソウチ</t>
    </rPh>
    <rPh sb="6" eb="7">
      <t>トウ</t>
    </rPh>
    <phoneticPr fontId="1"/>
  </si>
  <si>
    <t>分娩監視装置</t>
    <rPh sb="0" eb="2">
      <t>ブンベン</t>
    </rPh>
    <rPh sb="2" eb="4">
      <t>カンシ</t>
    </rPh>
    <rPh sb="4" eb="6">
      <t>ソウチ</t>
    </rPh>
    <phoneticPr fontId="1"/>
  </si>
  <si>
    <t>４　添付書類</t>
    <rPh sb="2" eb="4">
      <t>テンプ</t>
    </rPh>
    <rPh sb="4" eb="6">
      <t>ショルイ</t>
    </rPh>
    <phoneticPr fontId="1"/>
  </si>
  <si>
    <t>　</t>
    <phoneticPr fontId="1"/>
  </si>
  <si>
    <t>交付申請</t>
    <rPh sb="0" eb="2">
      <t>コウフ</t>
    </rPh>
    <rPh sb="2" eb="4">
      <t>シンセイ</t>
    </rPh>
    <phoneticPr fontId="1"/>
  </si>
  <si>
    <t>変更申請</t>
    <rPh sb="0" eb="2">
      <t>ヘンコウ</t>
    </rPh>
    <rPh sb="2" eb="4">
      <t>シンセイ</t>
    </rPh>
    <phoneticPr fontId="1"/>
  </si>
  <si>
    <t>実績報告</t>
    <rPh sb="0" eb="2">
      <t>ジッセキ</t>
    </rPh>
    <rPh sb="2" eb="4">
      <t>ホウコク</t>
    </rPh>
    <phoneticPr fontId="1"/>
  </si>
  <si>
    <t>　申請者は、以下いずれの事項にも該当するものであることを申し立てます。
□　補助を受ける経費について他の補助金等の交付を受けていないこと。
□　本補助金により整備した設備は新型コロナウイルス感染症対策の目的以外に使用しないこと。
□　本補助金の収入、支出等に係る証拠書類を５年間適切に整備保管すること。
□　暴力団員又は暴力団関係者と実質的を含めいかなる関係も有していないこと。</t>
    <rPh sb="1" eb="3">
      <t>シンセイ</t>
    </rPh>
    <rPh sb="6" eb="8">
      <t>イカ</t>
    </rPh>
    <rPh sb="12" eb="14">
      <t>ジコウ</t>
    </rPh>
    <rPh sb="16" eb="18">
      <t>ガイトウ</t>
    </rPh>
    <rPh sb="28" eb="29">
      <t>モウ</t>
    </rPh>
    <rPh sb="30" eb="31">
      <t>タ</t>
    </rPh>
    <rPh sb="72" eb="73">
      <t>ホン</t>
    </rPh>
    <rPh sb="73" eb="76">
      <t>ホジョキン</t>
    </rPh>
    <rPh sb="79" eb="81">
      <t>セイビ</t>
    </rPh>
    <rPh sb="86" eb="88">
      <t>シンガタ</t>
    </rPh>
    <rPh sb="95" eb="98">
      <t>カンセンショウ</t>
    </rPh>
    <rPh sb="98" eb="100">
      <t>タイサク</t>
    </rPh>
    <rPh sb="101" eb="103">
      <t>モクテキ</t>
    </rPh>
    <rPh sb="104" eb="105">
      <t>ガイ</t>
    </rPh>
    <rPh sb="106" eb="108">
      <t>シヨウ</t>
    </rPh>
    <rPh sb="117" eb="118">
      <t>ホン</t>
    </rPh>
    <rPh sb="158" eb="159">
      <t>マタ</t>
    </rPh>
    <phoneticPr fontId="1"/>
  </si>
  <si>
    <t>　申請者は、以下いずれの事項にも該当するものであることを申し立てます。
☑　補助を受ける経費について他の補助金等の交付を受けていないこと。
☑　本補助金により整備した設備は新型コロナウイルス感染症対策の目的以外に使用しないこと。
☑　本補助金の収入、支出等に係る証拠書類を５年間適切に整備保管すること。
☑　暴力団員又は暴力団関係者と実質的を含めいかなる関係も有していないこと。</t>
    <rPh sb="1" eb="3">
      <t>シンセイ</t>
    </rPh>
    <rPh sb="6" eb="8">
      <t>イカ</t>
    </rPh>
    <rPh sb="12" eb="14">
      <t>ジコウ</t>
    </rPh>
    <rPh sb="16" eb="18">
      <t>ガイトウ</t>
    </rPh>
    <rPh sb="28" eb="29">
      <t>モウ</t>
    </rPh>
    <rPh sb="30" eb="31">
      <t>タ</t>
    </rPh>
    <rPh sb="72" eb="73">
      <t>ホン</t>
    </rPh>
    <rPh sb="73" eb="76">
      <t>ホジョキン</t>
    </rPh>
    <rPh sb="79" eb="81">
      <t>セイビ</t>
    </rPh>
    <rPh sb="86" eb="88">
      <t>シンガタ</t>
    </rPh>
    <rPh sb="95" eb="98">
      <t>カンセンショウ</t>
    </rPh>
    <rPh sb="98" eb="100">
      <t>タイサク</t>
    </rPh>
    <rPh sb="101" eb="103">
      <t>モクテキ</t>
    </rPh>
    <rPh sb="104" eb="105">
      <t>ガイ</t>
    </rPh>
    <rPh sb="106" eb="108">
      <t>シヨウ</t>
    </rPh>
    <rPh sb="117" eb="118">
      <t>ホン</t>
    </rPh>
    <rPh sb="158" eb="159">
      <t>マタ</t>
    </rPh>
    <phoneticPr fontId="1"/>
  </si>
  <si>
    <t>事業</t>
    <rPh sb="0" eb="2">
      <t>ジギョウ</t>
    </rPh>
    <phoneticPr fontId="1"/>
  </si>
  <si>
    <t>↘</t>
    <phoneticPr fontId="1"/>
  </si>
  <si>
    <t>振込先通帳写し　貼り付け用台紙
令和４年度　新型コロナウイルス感染症患者等入院医療機関設備整備費補助金</t>
    <rPh sb="0" eb="3">
      <t>フリコミサキ</t>
    </rPh>
    <rPh sb="3" eb="5">
      <t>ツウチョウ</t>
    </rPh>
    <rPh sb="5" eb="6">
      <t>ウツ</t>
    </rPh>
    <rPh sb="8" eb="9">
      <t>ハ</t>
    </rPh>
    <rPh sb="10" eb="11">
      <t>ツ</t>
    </rPh>
    <rPh sb="12" eb="13">
      <t>ヨウ</t>
    </rPh>
    <rPh sb="13" eb="15">
      <t>ダイシ</t>
    </rPh>
    <phoneticPr fontId="18"/>
  </si>
  <si>
    <t>　　　公立医療機関</t>
    <rPh sb="3" eb="5">
      <t>コウリツ</t>
    </rPh>
    <rPh sb="5" eb="7">
      <t>イリョウ</t>
    </rPh>
    <rPh sb="7" eb="9">
      <t>キカン</t>
    </rPh>
    <phoneticPr fontId="1"/>
  </si>
  <si>
    <t>（任意）文書を発出する際に文書番号が必要である場合は入力してください</t>
    <phoneticPr fontId="1"/>
  </si>
  <si>
    <t>申立てする</t>
    <rPh sb="0" eb="2">
      <t>モウシタテ</t>
    </rPh>
    <phoneticPr fontId="1"/>
  </si>
  <si>
    <t>申し立てしない</t>
    <rPh sb="0" eb="1">
      <t>モウ</t>
    </rPh>
    <rPh sb="2" eb="3">
      <t>タ</t>
    </rPh>
    <phoneticPr fontId="1"/>
  </si>
  <si>
    <t>申立事項
申請内容が右記事項と相違ないことを確認し、「申立てする」を選択してください。</t>
    <rPh sb="0" eb="2">
      <t>モウシタテ</t>
    </rPh>
    <rPh sb="2" eb="4">
      <t>ジコウ</t>
    </rPh>
    <rPh sb="5" eb="7">
      <t>シンセイ</t>
    </rPh>
    <rPh sb="7" eb="9">
      <t>ナイヨウ</t>
    </rPh>
    <rPh sb="10" eb="12">
      <t>ウキ</t>
    </rPh>
    <rPh sb="12" eb="14">
      <t>ジコウ</t>
    </rPh>
    <rPh sb="15" eb="17">
      <t>ソウイ</t>
    </rPh>
    <rPh sb="22" eb="24">
      <t>カクニン</t>
    </rPh>
    <rPh sb="27" eb="28">
      <t>モウ</t>
    </rPh>
    <rPh sb="28" eb="29">
      <t>タ</t>
    </rPh>
    <rPh sb="34" eb="36">
      <t>センタク</t>
    </rPh>
    <phoneticPr fontId="1"/>
  </si>
  <si>
    <t>判　定</t>
    <rPh sb="0" eb="1">
      <t>ハン</t>
    </rPh>
    <rPh sb="2" eb="3">
      <t>サダム</t>
    </rPh>
    <phoneticPr fontId="1"/>
  </si>
  <si>
    <t>←コメントまとめ</t>
    <phoneticPr fontId="1"/>
  </si>
  <si>
    <t>超音波画像診断装置　明細</t>
    <rPh sb="10" eb="12">
      <t>メイサイ</t>
    </rPh>
    <phoneticPr fontId="1"/>
  </si>
  <si>
    <t>気管支鏡　明細</t>
    <rPh sb="5" eb="7">
      <t>メイサイ</t>
    </rPh>
    <phoneticPr fontId="1"/>
  </si>
  <si>
    <t>申請日</t>
    <rPh sb="0" eb="2">
      <t>シンセイ</t>
    </rPh>
    <rPh sb="2" eb="3">
      <t>ビ</t>
    </rPh>
    <phoneticPr fontId="1"/>
  </si>
  <si>
    <t>処理区分</t>
    <rPh sb="0" eb="2">
      <t>ショリ</t>
    </rPh>
    <rPh sb="2" eb="4">
      <t>クブン</t>
    </rPh>
    <phoneticPr fontId="1"/>
  </si>
  <si>
    <t>債権者コード</t>
    <rPh sb="0" eb="3">
      <t>サイケンシャ</t>
    </rPh>
    <phoneticPr fontId="1"/>
  </si>
  <si>
    <t>登録区分</t>
    <rPh sb="0" eb="2">
      <t>トウロク</t>
    </rPh>
    <rPh sb="2" eb="4">
      <t>クブン</t>
    </rPh>
    <phoneticPr fontId="1"/>
  </si>
  <si>
    <t>所属コード</t>
    <rPh sb="0" eb="2">
      <t>ショゾク</t>
    </rPh>
    <phoneticPr fontId="1"/>
  </si>
  <si>
    <t>会社区分
コード</t>
    <rPh sb="0" eb="2">
      <t>カイシャ</t>
    </rPh>
    <rPh sb="2" eb="4">
      <t>クブン</t>
    </rPh>
    <phoneticPr fontId="1"/>
  </si>
  <si>
    <t>住所コード</t>
    <rPh sb="0" eb="2">
      <t>ジュウショ</t>
    </rPh>
    <phoneticPr fontId="1"/>
  </si>
  <si>
    <t>番地</t>
    <rPh sb="0" eb="2">
      <t>バンチ</t>
    </rPh>
    <phoneticPr fontId="1"/>
  </si>
  <si>
    <t>方書</t>
    <rPh sb="0" eb="1">
      <t>カタ</t>
    </rPh>
    <rPh sb="1" eb="2">
      <t>ガキ</t>
    </rPh>
    <phoneticPr fontId="1"/>
  </si>
  <si>
    <t>屋号等(半角ｶﾅ)</t>
    <rPh sb="0" eb="2">
      <t>ヤゴウ</t>
    </rPh>
    <rPh sb="2" eb="3">
      <t>トウ</t>
    </rPh>
    <rPh sb="4" eb="6">
      <t>ハンカク</t>
    </rPh>
    <phoneticPr fontId="1"/>
  </si>
  <si>
    <t>屋号等</t>
    <rPh sb="0" eb="3">
      <t>ヤゴウトウ</t>
    </rPh>
    <phoneticPr fontId="1"/>
  </si>
  <si>
    <t>氏名・名称(半角ｶﾅ)</t>
    <rPh sb="0" eb="2">
      <t>シメイ</t>
    </rPh>
    <rPh sb="3" eb="5">
      <t>メイショウ</t>
    </rPh>
    <rPh sb="6" eb="8">
      <t>ハンカク</t>
    </rPh>
    <phoneticPr fontId="1"/>
  </si>
  <si>
    <t>氏名・名称</t>
    <rPh sb="0" eb="2">
      <t>シメイ</t>
    </rPh>
    <rPh sb="3" eb="5">
      <t>メイショウ</t>
    </rPh>
    <phoneticPr fontId="1"/>
  </si>
  <si>
    <t>代表者(半角ｶﾅ)</t>
    <rPh sb="0" eb="3">
      <t>ダイヒョウシャ</t>
    </rPh>
    <rPh sb="4" eb="6">
      <t>ハンカク</t>
    </rPh>
    <phoneticPr fontId="1"/>
  </si>
  <si>
    <t>代表者</t>
    <rPh sb="0" eb="3">
      <t>ダイヒョウシャ</t>
    </rPh>
    <phoneticPr fontId="1"/>
  </si>
  <si>
    <t>支払方法
コード</t>
    <rPh sb="0" eb="2">
      <t>シハライ</t>
    </rPh>
    <rPh sb="2" eb="4">
      <t>ホウホウ</t>
    </rPh>
    <phoneticPr fontId="1"/>
  </si>
  <si>
    <t>個別郵便番号</t>
    <rPh sb="0" eb="2">
      <t>コベツ</t>
    </rPh>
    <rPh sb="2" eb="6">
      <t>ユウビンバンゴウ</t>
    </rPh>
    <phoneticPr fontId="1"/>
  </si>
  <si>
    <t>口座内訳番号</t>
    <rPh sb="0" eb="2">
      <t>コウザ</t>
    </rPh>
    <rPh sb="2" eb="4">
      <t>ウチワケ</t>
    </rPh>
    <rPh sb="4" eb="6">
      <t>バンゴウ</t>
    </rPh>
    <phoneticPr fontId="1"/>
  </si>
  <si>
    <t>口座説明</t>
    <rPh sb="0" eb="2">
      <t>コウザ</t>
    </rPh>
    <rPh sb="2" eb="4">
      <t>セツメイ</t>
    </rPh>
    <phoneticPr fontId="1"/>
  </si>
  <si>
    <t>01</t>
  </si>
  <si>
    <t>R4入院医療機関設備整備費補助金</t>
    <rPh sb="2" eb="4">
      <t>ニュウイン</t>
    </rPh>
    <rPh sb="4" eb="6">
      <t>イリョウ</t>
    </rPh>
    <rPh sb="6" eb="8">
      <t>キカン</t>
    </rPh>
    <rPh sb="8" eb="10">
      <t>セツビ</t>
    </rPh>
    <rPh sb="10" eb="12">
      <t>セイビ</t>
    </rPh>
    <rPh sb="12" eb="13">
      <t>ヒ</t>
    </rPh>
    <rPh sb="13" eb="16">
      <t>ホジョキン</t>
    </rPh>
    <phoneticPr fontId="1"/>
  </si>
  <si>
    <t>新設病床</t>
    <rPh sb="0" eb="2">
      <t>シンセツ</t>
    </rPh>
    <rPh sb="2" eb="4">
      <t>ビョウショウ</t>
    </rPh>
    <phoneticPr fontId="1"/>
  </si>
  <si>
    <t>既設病床1</t>
    <rPh sb="0" eb="2">
      <t>キセツ</t>
    </rPh>
    <rPh sb="2" eb="4">
      <t>ビョウショウ</t>
    </rPh>
    <phoneticPr fontId="1"/>
  </si>
  <si>
    <t>新設病床1</t>
    <rPh sb="0" eb="2">
      <t>シンセツ</t>
    </rPh>
    <rPh sb="2" eb="4">
      <t>ビョウショウ</t>
    </rPh>
    <phoneticPr fontId="1"/>
  </si>
  <si>
    <t>新設病床2</t>
    <rPh sb="0" eb="2">
      <t>シンセツ</t>
    </rPh>
    <rPh sb="2" eb="4">
      <t>ビョウショウ</t>
    </rPh>
    <phoneticPr fontId="1"/>
  </si>
  <si>
    <t>新設病床3</t>
    <rPh sb="0" eb="2">
      <t>シンセツ</t>
    </rPh>
    <rPh sb="2" eb="4">
      <t>ビョウショウ</t>
    </rPh>
    <phoneticPr fontId="1"/>
  </si>
  <si>
    <t>新設病床4</t>
    <rPh sb="0" eb="2">
      <t>シンセツ</t>
    </rPh>
    <rPh sb="2" eb="4">
      <t>ビョウショウ</t>
    </rPh>
    <phoneticPr fontId="1"/>
  </si>
  <si>
    <t>新設病床5</t>
    <rPh sb="0" eb="2">
      <t>シンセツ</t>
    </rPh>
    <rPh sb="2" eb="4">
      <t>ビョウショウ</t>
    </rPh>
    <phoneticPr fontId="1"/>
  </si>
  <si>
    <t>既設病床6</t>
    <rPh sb="0" eb="2">
      <t>キセツ</t>
    </rPh>
    <rPh sb="2" eb="4">
      <t>ビョウショウ</t>
    </rPh>
    <phoneticPr fontId="1"/>
  </si>
  <si>
    <t>新設病床6</t>
    <rPh sb="0" eb="2">
      <t>シンセツ</t>
    </rPh>
    <rPh sb="2" eb="4">
      <t>ビョウショウ</t>
    </rPh>
    <phoneticPr fontId="1"/>
  </si>
  <si>
    <t>既設病床7</t>
    <rPh sb="0" eb="2">
      <t>キセツ</t>
    </rPh>
    <rPh sb="2" eb="4">
      <t>ビョウショウ</t>
    </rPh>
    <phoneticPr fontId="1"/>
  </si>
  <si>
    <t>新設病床7</t>
    <rPh sb="0" eb="2">
      <t>シンセツ</t>
    </rPh>
    <rPh sb="2" eb="4">
      <t>ビョウショウ</t>
    </rPh>
    <phoneticPr fontId="1"/>
  </si>
  <si>
    <t>既設病床8</t>
    <rPh sb="0" eb="2">
      <t>キセツ</t>
    </rPh>
    <rPh sb="2" eb="4">
      <t>ビョウショウ</t>
    </rPh>
    <phoneticPr fontId="1"/>
  </si>
  <si>
    <t>新設病床8</t>
    <rPh sb="0" eb="2">
      <t>シンセツ</t>
    </rPh>
    <rPh sb="2" eb="4">
      <t>ビョウショウ</t>
    </rPh>
    <phoneticPr fontId="1"/>
  </si>
  <si>
    <t>既設病床9</t>
    <rPh sb="0" eb="2">
      <t>キセツ</t>
    </rPh>
    <rPh sb="2" eb="4">
      <t>ビョウショウ</t>
    </rPh>
    <phoneticPr fontId="1"/>
  </si>
  <si>
    <t>新設病床9</t>
    <rPh sb="0" eb="2">
      <t>シンセツ</t>
    </rPh>
    <rPh sb="2" eb="4">
      <t>ビョウショウ</t>
    </rPh>
    <phoneticPr fontId="1"/>
  </si>
  <si>
    <t>既設病床10</t>
    <rPh sb="0" eb="2">
      <t>キセツ</t>
    </rPh>
    <rPh sb="2" eb="4">
      <t>ビョウショウ</t>
    </rPh>
    <phoneticPr fontId="1"/>
  </si>
  <si>
    <t>新設病床10</t>
    <rPh sb="0" eb="2">
      <t>シンセツ</t>
    </rPh>
    <rPh sb="2" eb="4">
      <t>ビョウショウ</t>
    </rPh>
    <phoneticPr fontId="1"/>
  </si>
  <si>
    <t>既設病床11</t>
    <rPh sb="0" eb="2">
      <t>キセツ</t>
    </rPh>
    <rPh sb="2" eb="4">
      <t>ビョウショウ</t>
    </rPh>
    <phoneticPr fontId="1"/>
  </si>
  <si>
    <t>新設病床11</t>
    <rPh sb="0" eb="2">
      <t>シンセツ</t>
    </rPh>
    <rPh sb="2" eb="4">
      <t>ビョウショウ</t>
    </rPh>
    <phoneticPr fontId="1"/>
  </si>
  <si>
    <t>既設病床12</t>
    <rPh sb="0" eb="2">
      <t>キセツ</t>
    </rPh>
    <rPh sb="2" eb="4">
      <t>ビョウショウ</t>
    </rPh>
    <phoneticPr fontId="1"/>
  </si>
  <si>
    <t>新設病床12</t>
    <rPh sb="0" eb="2">
      <t>シンセツ</t>
    </rPh>
    <rPh sb="2" eb="4">
      <t>ビョウショウ</t>
    </rPh>
    <phoneticPr fontId="1"/>
  </si>
  <si>
    <t>既設病床13</t>
    <rPh sb="0" eb="2">
      <t>キセツ</t>
    </rPh>
    <rPh sb="2" eb="4">
      <t>ビョウショウ</t>
    </rPh>
    <phoneticPr fontId="1"/>
  </si>
  <si>
    <t>新設病床13</t>
    <rPh sb="0" eb="2">
      <t>シンセツ</t>
    </rPh>
    <rPh sb="2" eb="4">
      <t>ビョウショウ</t>
    </rPh>
    <phoneticPr fontId="1"/>
  </si>
  <si>
    <t>既設病床14</t>
    <rPh sb="0" eb="2">
      <t>キセツ</t>
    </rPh>
    <rPh sb="2" eb="4">
      <t>ビョウショウ</t>
    </rPh>
    <phoneticPr fontId="1"/>
  </si>
  <si>
    <t>新設病床14</t>
    <rPh sb="0" eb="2">
      <t>シンセツ</t>
    </rPh>
    <rPh sb="2" eb="4">
      <t>ビョウショウ</t>
    </rPh>
    <phoneticPr fontId="1"/>
  </si>
  <si>
    <t>既設病床15</t>
    <rPh sb="0" eb="2">
      <t>キセツ</t>
    </rPh>
    <rPh sb="2" eb="4">
      <t>ビョウショウ</t>
    </rPh>
    <phoneticPr fontId="1"/>
  </si>
  <si>
    <t>新設病床15</t>
    <rPh sb="0" eb="2">
      <t>シンセツ</t>
    </rPh>
    <rPh sb="2" eb="4">
      <t>ビョウショウ</t>
    </rPh>
    <phoneticPr fontId="1"/>
  </si>
  <si>
    <t>既設病床16</t>
    <rPh sb="0" eb="2">
      <t>キセツ</t>
    </rPh>
    <rPh sb="2" eb="4">
      <t>ビョウショウ</t>
    </rPh>
    <phoneticPr fontId="1"/>
  </si>
  <si>
    <t>新設病床16</t>
    <rPh sb="0" eb="2">
      <t>シンセツ</t>
    </rPh>
    <rPh sb="2" eb="4">
      <t>ビョウショウ</t>
    </rPh>
    <phoneticPr fontId="1"/>
  </si>
  <si>
    <t>既設病床17</t>
    <rPh sb="0" eb="2">
      <t>キセツ</t>
    </rPh>
    <rPh sb="2" eb="4">
      <t>ビョウショウ</t>
    </rPh>
    <phoneticPr fontId="1"/>
  </si>
  <si>
    <t>新設病床17</t>
    <rPh sb="0" eb="2">
      <t>シンセツ</t>
    </rPh>
    <rPh sb="2" eb="4">
      <t>ビョウショウ</t>
    </rPh>
    <phoneticPr fontId="1"/>
  </si>
  <si>
    <t>既設病床18</t>
    <rPh sb="0" eb="2">
      <t>キセツ</t>
    </rPh>
    <rPh sb="2" eb="4">
      <t>ビョウショウ</t>
    </rPh>
    <phoneticPr fontId="1"/>
  </si>
  <si>
    <t>新設病床18</t>
    <rPh sb="0" eb="2">
      <t>シンセツ</t>
    </rPh>
    <rPh sb="2" eb="4">
      <t>ビョウショウ</t>
    </rPh>
    <phoneticPr fontId="1"/>
  </si>
  <si>
    <t>既設病床19</t>
    <rPh sb="0" eb="2">
      <t>キセツ</t>
    </rPh>
    <rPh sb="2" eb="4">
      <t>ビョウショウ</t>
    </rPh>
    <phoneticPr fontId="1"/>
  </si>
  <si>
    <t>新設病床19</t>
    <rPh sb="0" eb="2">
      <t>シンセツ</t>
    </rPh>
    <rPh sb="2" eb="4">
      <t>ビョウショウ</t>
    </rPh>
    <phoneticPr fontId="1"/>
  </si>
  <si>
    <t>既設病床20</t>
    <rPh sb="0" eb="2">
      <t>キセツ</t>
    </rPh>
    <rPh sb="2" eb="4">
      <t>ビョウショウ</t>
    </rPh>
    <phoneticPr fontId="1"/>
  </si>
  <si>
    <t>新設病床20</t>
    <rPh sb="0" eb="2">
      <t>シンセツ</t>
    </rPh>
    <rPh sb="2" eb="4">
      <t>ビョウショウ</t>
    </rPh>
    <phoneticPr fontId="1"/>
  </si>
  <si>
    <t>既設病床21</t>
    <rPh sb="0" eb="2">
      <t>キセツ</t>
    </rPh>
    <rPh sb="2" eb="4">
      <t>ビョウショウ</t>
    </rPh>
    <phoneticPr fontId="1"/>
  </si>
  <si>
    <t>新設病床21</t>
    <rPh sb="0" eb="2">
      <t>シンセツ</t>
    </rPh>
    <rPh sb="2" eb="4">
      <t>ビョウショウ</t>
    </rPh>
    <phoneticPr fontId="1"/>
  </si>
  <si>
    <t>既設病床22</t>
    <rPh sb="0" eb="2">
      <t>キセツ</t>
    </rPh>
    <rPh sb="2" eb="4">
      <t>ビョウショウ</t>
    </rPh>
    <phoneticPr fontId="1"/>
  </si>
  <si>
    <t>新設病床22</t>
    <rPh sb="0" eb="2">
      <t>シンセツ</t>
    </rPh>
    <rPh sb="2" eb="4">
      <t>ビョウショウ</t>
    </rPh>
    <phoneticPr fontId="1"/>
  </si>
  <si>
    <t>既設病床23</t>
    <rPh sb="0" eb="2">
      <t>キセツ</t>
    </rPh>
    <rPh sb="2" eb="4">
      <t>ビョウショウ</t>
    </rPh>
    <phoneticPr fontId="1"/>
  </si>
  <si>
    <t>新設病床23</t>
    <rPh sb="0" eb="2">
      <t>シンセツ</t>
    </rPh>
    <rPh sb="2" eb="4">
      <t>ビョウショウ</t>
    </rPh>
    <phoneticPr fontId="1"/>
  </si>
  <si>
    <t>既設病床24</t>
    <rPh sb="0" eb="2">
      <t>キセツ</t>
    </rPh>
    <rPh sb="2" eb="4">
      <t>ビョウショウ</t>
    </rPh>
    <phoneticPr fontId="1"/>
  </si>
  <si>
    <t>新設病床24</t>
    <rPh sb="0" eb="2">
      <t>シンセツ</t>
    </rPh>
    <rPh sb="2" eb="4">
      <t>ビョウショウ</t>
    </rPh>
    <phoneticPr fontId="1"/>
  </si>
  <si>
    <t>既設病床25</t>
    <rPh sb="0" eb="2">
      <t>キセツ</t>
    </rPh>
    <rPh sb="2" eb="4">
      <t>ビョウショウ</t>
    </rPh>
    <phoneticPr fontId="1"/>
  </si>
  <si>
    <t>新設病床25</t>
    <rPh sb="0" eb="2">
      <t>シンセツ</t>
    </rPh>
    <rPh sb="2" eb="4">
      <t>ビョウショウ</t>
    </rPh>
    <phoneticPr fontId="1"/>
  </si>
  <si>
    <t>既設病床26</t>
    <rPh sb="0" eb="2">
      <t>キセツ</t>
    </rPh>
    <rPh sb="2" eb="4">
      <t>ビョウショウ</t>
    </rPh>
    <phoneticPr fontId="1"/>
  </si>
  <si>
    <t>新設病床26</t>
    <rPh sb="0" eb="2">
      <t>シンセツ</t>
    </rPh>
    <rPh sb="2" eb="4">
      <t>ビョウショウ</t>
    </rPh>
    <phoneticPr fontId="1"/>
  </si>
  <si>
    <t>既設病床27</t>
    <rPh sb="0" eb="2">
      <t>キセツ</t>
    </rPh>
    <rPh sb="2" eb="4">
      <t>ビョウショウ</t>
    </rPh>
    <phoneticPr fontId="1"/>
  </si>
  <si>
    <t>新設病床27</t>
    <rPh sb="0" eb="2">
      <t>シンセツ</t>
    </rPh>
    <rPh sb="2" eb="4">
      <t>ビョウショウ</t>
    </rPh>
    <phoneticPr fontId="1"/>
  </si>
  <si>
    <t>既設病床28</t>
    <rPh sb="0" eb="2">
      <t>キセツ</t>
    </rPh>
    <rPh sb="2" eb="4">
      <t>ビョウショウ</t>
    </rPh>
    <phoneticPr fontId="1"/>
  </si>
  <si>
    <t>新設病床28</t>
    <rPh sb="0" eb="2">
      <t>シンセツ</t>
    </rPh>
    <rPh sb="2" eb="4">
      <t>ビョウショウ</t>
    </rPh>
    <phoneticPr fontId="1"/>
  </si>
  <si>
    <t>既設病床29</t>
    <rPh sb="0" eb="2">
      <t>キセツ</t>
    </rPh>
    <rPh sb="2" eb="4">
      <t>ビョウショウ</t>
    </rPh>
    <phoneticPr fontId="1"/>
  </si>
  <si>
    <t>新設病床29</t>
    <rPh sb="0" eb="2">
      <t>シンセツ</t>
    </rPh>
    <rPh sb="2" eb="4">
      <t>ビョウショウ</t>
    </rPh>
    <phoneticPr fontId="1"/>
  </si>
  <si>
    <t>既設病床30</t>
    <rPh sb="0" eb="2">
      <t>キセツ</t>
    </rPh>
    <rPh sb="2" eb="4">
      <t>ビョウショウ</t>
    </rPh>
    <phoneticPr fontId="1"/>
  </si>
  <si>
    <t>新設病床30</t>
    <rPh sb="0" eb="2">
      <t>シンセツ</t>
    </rPh>
    <rPh sb="2" eb="4">
      <t>ビョウショウ</t>
    </rPh>
    <phoneticPr fontId="1"/>
  </si>
  <si>
    <t>既設病床31</t>
    <rPh sb="0" eb="2">
      <t>キセツ</t>
    </rPh>
    <rPh sb="2" eb="4">
      <t>ビョウショウ</t>
    </rPh>
    <phoneticPr fontId="1"/>
  </si>
  <si>
    <t>新設病床31</t>
    <rPh sb="0" eb="2">
      <t>シンセツ</t>
    </rPh>
    <rPh sb="2" eb="4">
      <t>ビョウショウ</t>
    </rPh>
    <phoneticPr fontId="1"/>
  </si>
  <si>
    <t>既設病床32</t>
    <rPh sb="0" eb="2">
      <t>キセツ</t>
    </rPh>
    <rPh sb="2" eb="4">
      <t>ビョウショウ</t>
    </rPh>
    <phoneticPr fontId="1"/>
  </si>
  <si>
    <t>新設病床32</t>
    <rPh sb="0" eb="2">
      <t>シンセツ</t>
    </rPh>
    <rPh sb="2" eb="4">
      <t>ビョウショウ</t>
    </rPh>
    <phoneticPr fontId="1"/>
  </si>
  <si>
    <t>既設病床33</t>
    <rPh sb="0" eb="2">
      <t>キセツ</t>
    </rPh>
    <rPh sb="2" eb="4">
      <t>ビョウショウ</t>
    </rPh>
    <phoneticPr fontId="1"/>
  </si>
  <si>
    <t>新設病床33</t>
    <rPh sb="0" eb="2">
      <t>シンセツ</t>
    </rPh>
    <rPh sb="2" eb="4">
      <t>ビョウショウ</t>
    </rPh>
    <phoneticPr fontId="1"/>
  </si>
  <si>
    <t>既設病床34</t>
    <rPh sb="0" eb="2">
      <t>キセツ</t>
    </rPh>
    <rPh sb="2" eb="4">
      <t>ビョウショウ</t>
    </rPh>
    <phoneticPr fontId="1"/>
  </si>
  <si>
    <t>新設病床34</t>
    <rPh sb="0" eb="2">
      <t>シンセツ</t>
    </rPh>
    <rPh sb="2" eb="4">
      <t>ビョウショウ</t>
    </rPh>
    <phoneticPr fontId="1"/>
  </si>
  <si>
    <t>既設病床35</t>
    <rPh sb="0" eb="2">
      <t>キセツ</t>
    </rPh>
    <rPh sb="2" eb="4">
      <t>ビョウショウ</t>
    </rPh>
    <phoneticPr fontId="1"/>
  </si>
  <si>
    <t>新設病床35</t>
    <rPh sb="0" eb="2">
      <t>シンセツ</t>
    </rPh>
    <rPh sb="2" eb="4">
      <t>ビョウショウ</t>
    </rPh>
    <phoneticPr fontId="1"/>
  </si>
  <si>
    <t>既設病床36</t>
    <rPh sb="0" eb="2">
      <t>キセツ</t>
    </rPh>
    <rPh sb="2" eb="4">
      <t>ビョウショウ</t>
    </rPh>
    <phoneticPr fontId="1"/>
  </si>
  <si>
    <t>新設病床36</t>
    <rPh sb="0" eb="2">
      <t>シンセツ</t>
    </rPh>
    <rPh sb="2" eb="4">
      <t>ビョウショウ</t>
    </rPh>
    <phoneticPr fontId="1"/>
  </si>
  <si>
    <t>既設病床37</t>
    <rPh sb="0" eb="2">
      <t>キセツ</t>
    </rPh>
    <rPh sb="2" eb="4">
      <t>ビョウショウ</t>
    </rPh>
    <phoneticPr fontId="1"/>
  </si>
  <si>
    <t>新設病床37</t>
    <rPh sb="0" eb="2">
      <t>シンセツ</t>
    </rPh>
    <rPh sb="2" eb="4">
      <t>ビョウショウ</t>
    </rPh>
    <phoneticPr fontId="1"/>
  </si>
  <si>
    <t>既設病床38</t>
    <rPh sb="0" eb="2">
      <t>キセツ</t>
    </rPh>
    <rPh sb="2" eb="4">
      <t>ビョウショウ</t>
    </rPh>
    <phoneticPr fontId="1"/>
  </si>
  <si>
    <t>新設病床38</t>
    <rPh sb="0" eb="2">
      <t>シンセツ</t>
    </rPh>
    <rPh sb="2" eb="4">
      <t>ビョウショウ</t>
    </rPh>
    <phoneticPr fontId="1"/>
  </si>
  <si>
    <t>既設病床39</t>
    <rPh sb="0" eb="2">
      <t>キセツ</t>
    </rPh>
    <rPh sb="2" eb="4">
      <t>ビョウショウ</t>
    </rPh>
    <phoneticPr fontId="1"/>
  </si>
  <si>
    <t>新設病床39</t>
    <rPh sb="0" eb="2">
      <t>シンセツ</t>
    </rPh>
    <rPh sb="2" eb="4">
      <t>ビョウショウ</t>
    </rPh>
    <phoneticPr fontId="1"/>
  </si>
  <si>
    <t>既設病床40</t>
    <rPh sb="0" eb="2">
      <t>キセツ</t>
    </rPh>
    <rPh sb="2" eb="4">
      <t>ビョウショウ</t>
    </rPh>
    <phoneticPr fontId="1"/>
  </si>
  <si>
    <t>新設病床40</t>
    <rPh sb="0" eb="2">
      <t>シンセツ</t>
    </rPh>
    <rPh sb="2" eb="4">
      <t>ビョウショウ</t>
    </rPh>
    <phoneticPr fontId="1"/>
  </si>
  <si>
    <t>既設病床41</t>
    <rPh sb="0" eb="2">
      <t>キセツ</t>
    </rPh>
    <rPh sb="2" eb="4">
      <t>ビョウショウ</t>
    </rPh>
    <phoneticPr fontId="1"/>
  </si>
  <si>
    <t>新設病床41</t>
    <rPh sb="0" eb="2">
      <t>シンセツ</t>
    </rPh>
    <rPh sb="2" eb="4">
      <t>ビョウショウ</t>
    </rPh>
    <phoneticPr fontId="1"/>
  </si>
  <si>
    <t>既設病床42</t>
    <rPh sb="0" eb="2">
      <t>キセツ</t>
    </rPh>
    <rPh sb="2" eb="4">
      <t>ビョウショウ</t>
    </rPh>
    <phoneticPr fontId="1"/>
  </si>
  <si>
    <t>新設病床42</t>
    <rPh sb="0" eb="2">
      <t>シンセツ</t>
    </rPh>
    <rPh sb="2" eb="4">
      <t>ビョウショウ</t>
    </rPh>
    <phoneticPr fontId="1"/>
  </si>
  <si>
    <t>既設病床43</t>
    <rPh sb="0" eb="2">
      <t>キセツ</t>
    </rPh>
    <rPh sb="2" eb="4">
      <t>ビョウショウ</t>
    </rPh>
    <phoneticPr fontId="1"/>
  </si>
  <si>
    <t>新設病床43</t>
    <rPh sb="0" eb="2">
      <t>シンセツ</t>
    </rPh>
    <rPh sb="2" eb="4">
      <t>ビョウショウ</t>
    </rPh>
    <phoneticPr fontId="1"/>
  </si>
  <si>
    <t>既設病床44</t>
    <rPh sb="0" eb="2">
      <t>キセツ</t>
    </rPh>
    <rPh sb="2" eb="4">
      <t>ビョウショウ</t>
    </rPh>
    <phoneticPr fontId="1"/>
  </si>
  <si>
    <t>新設病床44</t>
    <rPh sb="0" eb="2">
      <t>シンセツ</t>
    </rPh>
    <rPh sb="2" eb="4">
      <t>ビョウショウ</t>
    </rPh>
    <phoneticPr fontId="1"/>
  </si>
  <si>
    <t>既設病床45</t>
    <rPh sb="0" eb="2">
      <t>キセツ</t>
    </rPh>
    <rPh sb="2" eb="4">
      <t>ビョウショウ</t>
    </rPh>
    <phoneticPr fontId="1"/>
  </si>
  <si>
    <t>新設病床45</t>
    <rPh sb="0" eb="2">
      <t>シンセツ</t>
    </rPh>
    <rPh sb="2" eb="4">
      <t>ビョウショウ</t>
    </rPh>
    <phoneticPr fontId="1"/>
  </si>
  <si>
    <t>既設病床46</t>
    <rPh sb="0" eb="2">
      <t>キセツ</t>
    </rPh>
    <rPh sb="2" eb="4">
      <t>ビョウショウ</t>
    </rPh>
    <phoneticPr fontId="1"/>
  </si>
  <si>
    <t>新設病床46</t>
    <rPh sb="0" eb="2">
      <t>シンセツ</t>
    </rPh>
    <rPh sb="2" eb="4">
      <t>ビョウショウ</t>
    </rPh>
    <phoneticPr fontId="1"/>
  </si>
  <si>
    <t>既設病床47</t>
    <rPh sb="0" eb="2">
      <t>キセツ</t>
    </rPh>
    <rPh sb="2" eb="4">
      <t>ビョウショウ</t>
    </rPh>
    <phoneticPr fontId="1"/>
  </si>
  <si>
    <t>新設病床47</t>
    <rPh sb="0" eb="2">
      <t>シンセツ</t>
    </rPh>
    <rPh sb="2" eb="4">
      <t>ビョウショウ</t>
    </rPh>
    <phoneticPr fontId="1"/>
  </si>
  <si>
    <t>既設病床48</t>
    <rPh sb="0" eb="2">
      <t>キセツ</t>
    </rPh>
    <rPh sb="2" eb="4">
      <t>ビョウショウ</t>
    </rPh>
    <phoneticPr fontId="1"/>
  </si>
  <si>
    <t>新設病床48</t>
    <rPh sb="0" eb="2">
      <t>シンセツ</t>
    </rPh>
    <rPh sb="2" eb="4">
      <t>ビョウショウ</t>
    </rPh>
    <phoneticPr fontId="1"/>
  </si>
  <si>
    <t>既設病床49</t>
    <rPh sb="0" eb="2">
      <t>キセツ</t>
    </rPh>
    <rPh sb="2" eb="4">
      <t>ビョウショウ</t>
    </rPh>
    <phoneticPr fontId="1"/>
  </si>
  <si>
    <t>新設病床49</t>
    <rPh sb="0" eb="2">
      <t>シンセツ</t>
    </rPh>
    <rPh sb="2" eb="4">
      <t>ビョウショウ</t>
    </rPh>
    <phoneticPr fontId="1"/>
  </si>
  <si>
    <t>既設病床50</t>
    <rPh sb="0" eb="2">
      <t>キセツ</t>
    </rPh>
    <rPh sb="2" eb="4">
      <t>ビョウショウ</t>
    </rPh>
    <phoneticPr fontId="1"/>
  </si>
  <si>
    <t>新設病床50</t>
    <rPh sb="0" eb="2">
      <t>シンセツ</t>
    </rPh>
    <rPh sb="2" eb="4">
      <t>ビョウショウ</t>
    </rPh>
    <phoneticPr fontId="1"/>
  </si>
  <si>
    <t>既設病床51</t>
    <rPh sb="0" eb="2">
      <t>キセツ</t>
    </rPh>
    <rPh sb="2" eb="4">
      <t>ビョウショウ</t>
    </rPh>
    <phoneticPr fontId="1"/>
  </si>
  <si>
    <t>新設病床51</t>
    <rPh sb="0" eb="2">
      <t>シンセツ</t>
    </rPh>
    <rPh sb="2" eb="4">
      <t>ビョウショウ</t>
    </rPh>
    <phoneticPr fontId="1"/>
  </si>
  <si>
    <t>既設病床52</t>
    <rPh sb="0" eb="2">
      <t>キセツ</t>
    </rPh>
    <rPh sb="2" eb="4">
      <t>ビョウショウ</t>
    </rPh>
    <phoneticPr fontId="1"/>
  </si>
  <si>
    <t>新設病床52</t>
    <rPh sb="0" eb="2">
      <t>シンセツ</t>
    </rPh>
    <rPh sb="2" eb="4">
      <t>ビョウショウ</t>
    </rPh>
    <phoneticPr fontId="1"/>
  </si>
  <si>
    <t>既設病床53</t>
    <rPh sb="0" eb="2">
      <t>キセツ</t>
    </rPh>
    <rPh sb="2" eb="4">
      <t>ビョウショウ</t>
    </rPh>
    <phoneticPr fontId="1"/>
  </si>
  <si>
    <t>新設病床53</t>
    <rPh sb="0" eb="2">
      <t>シンセツ</t>
    </rPh>
    <rPh sb="2" eb="4">
      <t>ビョウショウ</t>
    </rPh>
    <phoneticPr fontId="1"/>
  </si>
  <si>
    <t>既設病床54</t>
    <rPh sb="0" eb="2">
      <t>キセツ</t>
    </rPh>
    <rPh sb="2" eb="4">
      <t>ビョウショウ</t>
    </rPh>
    <phoneticPr fontId="1"/>
  </si>
  <si>
    <t>新設病床54</t>
    <rPh sb="0" eb="2">
      <t>シンセツ</t>
    </rPh>
    <rPh sb="2" eb="4">
      <t>ビョウショウ</t>
    </rPh>
    <phoneticPr fontId="1"/>
  </si>
  <si>
    <t>既設病床55</t>
    <rPh sb="0" eb="2">
      <t>キセツ</t>
    </rPh>
    <rPh sb="2" eb="4">
      <t>ビョウショウ</t>
    </rPh>
    <phoneticPr fontId="1"/>
  </si>
  <si>
    <t>新設病床55</t>
    <rPh sb="0" eb="2">
      <t>シンセツ</t>
    </rPh>
    <rPh sb="2" eb="4">
      <t>ビョウショウ</t>
    </rPh>
    <phoneticPr fontId="1"/>
  </si>
  <si>
    <t>既設病床56</t>
    <rPh sb="0" eb="2">
      <t>キセツ</t>
    </rPh>
    <rPh sb="2" eb="4">
      <t>ビョウショウ</t>
    </rPh>
    <phoneticPr fontId="1"/>
  </si>
  <si>
    <t>新設病床56</t>
    <rPh sb="0" eb="2">
      <t>シンセツ</t>
    </rPh>
    <rPh sb="2" eb="4">
      <t>ビョウショウ</t>
    </rPh>
    <phoneticPr fontId="1"/>
  </si>
  <si>
    <t>既設病床57</t>
    <rPh sb="0" eb="2">
      <t>キセツ</t>
    </rPh>
    <rPh sb="2" eb="4">
      <t>ビョウショウ</t>
    </rPh>
    <phoneticPr fontId="1"/>
  </si>
  <si>
    <t>新設病床57</t>
    <rPh sb="0" eb="2">
      <t>シンセツ</t>
    </rPh>
    <rPh sb="2" eb="4">
      <t>ビョウショウ</t>
    </rPh>
    <phoneticPr fontId="1"/>
  </si>
  <si>
    <t>既設病床58</t>
    <rPh sb="0" eb="2">
      <t>キセツ</t>
    </rPh>
    <rPh sb="2" eb="4">
      <t>ビョウショウ</t>
    </rPh>
    <phoneticPr fontId="1"/>
  </si>
  <si>
    <t>新設病床58</t>
    <rPh sb="0" eb="2">
      <t>シンセツ</t>
    </rPh>
    <rPh sb="2" eb="4">
      <t>ビョウショウ</t>
    </rPh>
    <phoneticPr fontId="1"/>
  </si>
  <si>
    <t>既設病床59</t>
    <rPh sb="0" eb="2">
      <t>キセツ</t>
    </rPh>
    <rPh sb="2" eb="4">
      <t>ビョウショウ</t>
    </rPh>
    <phoneticPr fontId="1"/>
  </si>
  <si>
    <t>新設病床59</t>
    <rPh sb="0" eb="2">
      <t>シンセツ</t>
    </rPh>
    <rPh sb="2" eb="4">
      <t>ビョウショウ</t>
    </rPh>
    <phoneticPr fontId="1"/>
  </si>
  <si>
    <t>既設病床60</t>
    <rPh sb="0" eb="2">
      <t>キセツ</t>
    </rPh>
    <rPh sb="2" eb="4">
      <t>ビョウショウ</t>
    </rPh>
    <phoneticPr fontId="1"/>
  </si>
  <si>
    <t>新設病床60</t>
    <rPh sb="0" eb="2">
      <t>シンセツ</t>
    </rPh>
    <rPh sb="2" eb="4">
      <t>ビョウショウ</t>
    </rPh>
    <phoneticPr fontId="1"/>
  </si>
  <si>
    <t>既設病床61</t>
    <rPh sb="0" eb="2">
      <t>キセツ</t>
    </rPh>
    <rPh sb="2" eb="4">
      <t>ビョウショウ</t>
    </rPh>
    <phoneticPr fontId="1"/>
  </si>
  <si>
    <t>新設病床61</t>
    <rPh sb="0" eb="2">
      <t>シンセツ</t>
    </rPh>
    <rPh sb="2" eb="4">
      <t>ビョウショウ</t>
    </rPh>
    <phoneticPr fontId="1"/>
  </si>
  <si>
    <t>既設病床62</t>
    <rPh sb="0" eb="2">
      <t>キセツ</t>
    </rPh>
    <rPh sb="2" eb="4">
      <t>ビョウショウ</t>
    </rPh>
    <phoneticPr fontId="1"/>
  </si>
  <si>
    <t>新設病床62</t>
    <rPh sb="0" eb="2">
      <t>シンセツ</t>
    </rPh>
    <rPh sb="2" eb="4">
      <t>ビョウショウ</t>
    </rPh>
    <phoneticPr fontId="1"/>
  </si>
  <si>
    <t>既設病床63</t>
    <rPh sb="0" eb="2">
      <t>キセツ</t>
    </rPh>
    <rPh sb="2" eb="4">
      <t>ビョウショウ</t>
    </rPh>
    <phoneticPr fontId="1"/>
  </si>
  <si>
    <t>新設病床63</t>
    <rPh sb="0" eb="2">
      <t>シンセツ</t>
    </rPh>
    <rPh sb="2" eb="4">
      <t>ビョウショウ</t>
    </rPh>
    <phoneticPr fontId="1"/>
  </si>
  <si>
    <t>既設病床64</t>
    <rPh sb="0" eb="2">
      <t>キセツ</t>
    </rPh>
    <rPh sb="2" eb="4">
      <t>ビョウショウ</t>
    </rPh>
    <phoneticPr fontId="1"/>
  </si>
  <si>
    <t>新設病床64</t>
    <rPh sb="0" eb="2">
      <t>シンセツ</t>
    </rPh>
    <rPh sb="2" eb="4">
      <t>ビョウショウ</t>
    </rPh>
    <phoneticPr fontId="1"/>
  </si>
  <si>
    <t>既設病床65</t>
    <rPh sb="0" eb="2">
      <t>キセツ</t>
    </rPh>
    <rPh sb="2" eb="4">
      <t>ビョウショウ</t>
    </rPh>
    <phoneticPr fontId="1"/>
  </si>
  <si>
    <t>新設病床65</t>
    <rPh sb="0" eb="2">
      <t>シンセツ</t>
    </rPh>
    <rPh sb="2" eb="4">
      <t>ビョウショウ</t>
    </rPh>
    <phoneticPr fontId="1"/>
  </si>
  <si>
    <t>既設病床66</t>
    <rPh sb="0" eb="2">
      <t>キセツ</t>
    </rPh>
    <rPh sb="2" eb="4">
      <t>ビョウショウ</t>
    </rPh>
    <phoneticPr fontId="1"/>
  </si>
  <si>
    <t>新設病床66</t>
    <rPh sb="0" eb="2">
      <t>シンセツ</t>
    </rPh>
    <rPh sb="2" eb="4">
      <t>ビョウショウ</t>
    </rPh>
    <phoneticPr fontId="1"/>
  </si>
  <si>
    <t>既設病床67</t>
    <rPh sb="0" eb="2">
      <t>キセツ</t>
    </rPh>
    <rPh sb="2" eb="4">
      <t>ビョウショウ</t>
    </rPh>
    <phoneticPr fontId="1"/>
  </si>
  <si>
    <t>新設病床67</t>
    <rPh sb="0" eb="2">
      <t>シンセツ</t>
    </rPh>
    <rPh sb="2" eb="4">
      <t>ビョウショウ</t>
    </rPh>
    <phoneticPr fontId="1"/>
  </si>
  <si>
    <t>既設病床68</t>
    <rPh sb="0" eb="2">
      <t>キセツ</t>
    </rPh>
    <rPh sb="2" eb="4">
      <t>ビョウショウ</t>
    </rPh>
    <phoneticPr fontId="1"/>
  </si>
  <si>
    <t>新設病床68</t>
    <rPh sb="0" eb="2">
      <t>シンセツ</t>
    </rPh>
    <rPh sb="2" eb="4">
      <t>ビョウショウ</t>
    </rPh>
    <phoneticPr fontId="1"/>
  </si>
  <si>
    <t>既設病床69</t>
    <rPh sb="0" eb="2">
      <t>キセツ</t>
    </rPh>
    <rPh sb="2" eb="4">
      <t>ビョウショウ</t>
    </rPh>
    <phoneticPr fontId="1"/>
  </si>
  <si>
    <t>新設病床69</t>
    <rPh sb="0" eb="2">
      <t>シンセツ</t>
    </rPh>
    <rPh sb="2" eb="4">
      <t>ビョウショウ</t>
    </rPh>
    <phoneticPr fontId="1"/>
  </si>
  <si>
    <t>既設病床70</t>
    <rPh sb="0" eb="2">
      <t>キセツ</t>
    </rPh>
    <rPh sb="2" eb="4">
      <t>ビョウショウ</t>
    </rPh>
    <phoneticPr fontId="1"/>
  </si>
  <si>
    <t>新設病床70</t>
    <rPh sb="0" eb="2">
      <t>シンセツ</t>
    </rPh>
    <rPh sb="2" eb="4">
      <t>ビョウショウ</t>
    </rPh>
    <phoneticPr fontId="1"/>
  </si>
  <si>
    <t>既設病床71</t>
    <rPh sb="0" eb="2">
      <t>キセツ</t>
    </rPh>
    <rPh sb="2" eb="4">
      <t>ビョウショウ</t>
    </rPh>
    <phoneticPr fontId="1"/>
  </si>
  <si>
    <t>新設病床71</t>
    <rPh sb="0" eb="2">
      <t>シンセツ</t>
    </rPh>
    <rPh sb="2" eb="4">
      <t>ビョウショウ</t>
    </rPh>
    <phoneticPr fontId="1"/>
  </si>
  <si>
    <t>既設病床72</t>
    <rPh sb="0" eb="2">
      <t>キセツ</t>
    </rPh>
    <rPh sb="2" eb="4">
      <t>ビョウショウ</t>
    </rPh>
    <phoneticPr fontId="1"/>
  </si>
  <si>
    <t>新設病床72</t>
    <rPh sb="0" eb="2">
      <t>シンセツ</t>
    </rPh>
    <rPh sb="2" eb="4">
      <t>ビョウショウ</t>
    </rPh>
    <phoneticPr fontId="1"/>
  </si>
  <si>
    <t>既設病床73</t>
    <rPh sb="0" eb="2">
      <t>キセツ</t>
    </rPh>
    <rPh sb="2" eb="4">
      <t>ビョウショウ</t>
    </rPh>
    <phoneticPr fontId="1"/>
  </si>
  <si>
    <t>新設病床73</t>
    <rPh sb="0" eb="2">
      <t>シンセツ</t>
    </rPh>
    <rPh sb="2" eb="4">
      <t>ビョウショウ</t>
    </rPh>
    <phoneticPr fontId="1"/>
  </si>
  <si>
    <t>既設病床74</t>
    <rPh sb="0" eb="2">
      <t>キセツ</t>
    </rPh>
    <rPh sb="2" eb="4">
      <t>ビョウショウ</t>
    </rPh>
    <phoneticPr fontId="1"/>
  </si>
  <si>
    <t>新設病床74</t>
    <rPh sb="0" eb="2">
      <t>シンセツ</t>
    </rPh>
    <rPh sb="2" eb="4">
      <t>ビョウショウ</t>
    </rPh>
    <phoneticPr fontId="1"/>
  </si>
  <si>
    <t>既設病床75</t>
    <rPh sb="0" eb="2">
      <t>キセツ</t>
    </rPh>
    <rPh sb="2" eb="4">
      <t>ビョウショウ</t>
    </rPh>
    <phoneticPr fontId="1"/>
  </si>
  <si>
    <t>新設病床75</t>
    <rPh sb="0" eb="2">
      <t>シンセツ</t>
    </rPh>
    <rPh sb="2" eb="4">
      <t>ビョウショウ</t>
    </rPh>
    <phoneticPr fontId="1"/>
  </si>
  <si>
    <t>既設病床76</t>
    <rPh sb="0" eb="2">
      <t>キセツ</t>
    </rPh>
    <rPh sb="2" eb="4">
      <t>ビョウショウ</t>
    </rPh>
    <phoneticPr fontId="1"/>
  </si>
  <si>
    <t>新設病床76</t>
    <rPh sb="0" eb="2">
      <t>シンセツ</t>
    </rPh>
    <rPh sb="2" eb="4">
      <t>ビョウショウ</t>
    </rPh>
    <phoneticPr fontId="1"/>
  </si>
  <si>
    <t>既設病床77</t>
    <rPh sb="0" eb="2">
      <t>キセツ</t>
    </rPh>
    <rPh sb="2" eb="4">
      <t>ビョウショウ</t>
    </rPh>
    <phoneticPr fontId="1"/>
  </si>
  <si>
    <t>新設病床77</t>
    <rPh sb="0" eb="2">
      <t>シンセツ</t>
    </rPh>
    <rPh sb="2" eb="4">
      <t>ビョウショウ</t>
    </rPh>
    <phoneticPr fontId="1"/>
  </si>
  <si>
    <t>既設病床78</t>
    <rPh sb="0" eb="2">
      <t>キセツ</t>
    </rPh>
    <rPh sb="2" eb="4">
      <t>ビョウショウ</t>
    </rPh>
    <phoneticPr fontId="1"/>
  </si>
  <si>
    <t>新設病床78</t>
    <rPh sb="0" eb="2">
      <t>シンセツ</t>
    </rPh>
    <rPh sb="2" eb="4">
      <t>ビョウショウ</t>
    </rPh>
    <phoneticPr fontId="1"/>
  </si>
  <si>
    <t>既設病床79</t>
    <rPh sb="0" eb="2">
      <t>キセツ</t>
    </rPh>
    <rPh sb="2" eb="4">
      <t>ビョウショウ</t>
    </rPh>
    <phoneticPr fontId="1"/>
  </si>
  <si>
    <t>新設病床79</t>
    <rPh sb="0" eb="2">
      <t>シンセツ</t>
    </rPh>
    <rPh sb="2" eb="4">
      <t>ビョウショウ</t>
    </rPh>
    <phoneticPr fontId="1"/>
  </si>
  <si>
    <t>既設病床80</t>
    <rPh sb="0" eb="2">
      <t>キセツ</t>
    </rPh>
    <rPh sb="2" eb="4">
      <t>ビョウショウ</t>
    </rPh>
    <phoneticPr fontId="1"/>
  </si>
  <si>
    <t>新設病床80</t>
    <rPh sb="0" eb="2">
      <t>シンセツ</t>
    </rPh>
    <rPh sb="2" eb="4">
      <t>ビョウショウ</t>
    </rPh>
    <phoneticPr fontId="1"/>
  </si>
  <si>
    <t>既設病床81</t>
    <rPh sb="0" eb="2">
      <t>キセツ</t>
    </rPh>
    <rPh sb="2" eb="4">
      <t>ビョウショウ</t>
    </rPh>
    <phoneticPr fontId="1"/>
  </si>
  <si>
    <t>新設病床81</t>
    <rPh sb="0" eb="2">
      <t>シンセツ</t>
    </rPh>
    <rPh sb="2" eb="4">
      <t>ビョウショウ</t>
    </rPh>
    <phoneticPr fontId="1"/>
  </si>
  <si>
    <t>既設病床82</t>
    <rPh sb="0" eb="2">
      <t>キセツ</t>
    </rPh>
    <rPh sb="2" eb="4">
      <t>ビョウショウ</t>
    </rPh>
    <phoneticPr fontId="1"/>
  </si>
  <si>
    <t>新設病床82</t>
    <rPh sb="0" eb="2">
      <t>シンセツ</t>
    </rPh>
    <rPh sb="2" eb="4">
      <t>ビョウショウ</t>
    </rPh>
    <phoneticPr fontId="1"/>
  </si>
  <si>
    <t>既設病床83</t>
    <rPh sb="0" eb="2">
      <t>キセツ</t>
    </rPh>
    <rPh sb="2" eb="4">
      <t>ビョウショウ</t>
    </rPh>
    <phoneticPr fontId="1"/>
  </si>
  <si>
    <t>新設病床83</t>
    <rPh sb="0" eb="2">
      <t>シンセツ</t>
    </rPh>
    <rPh sb="2" eb="4">
      <t>ビョウショウ</t>
    </rPh>
    <phoneticPr fontId="1"/>
  </si>
  <si>
    <t>既設病床84</t>
    <rPh sb="0" eb="2">
      <t>キセツ</t>
    </rPh>
    <rPh sb="2" eb="4">
      <t>ビョウショウ</t>
    </rPh>
    <phoneticPr fontId="1"/>
  </si>
  <si>
    <t>新設病床84</t>
    <rPh sb="0" eb="2">
      <t>シンセツ</t>
    </rPh>
    <rPh sb="2" eb="4">
      <t>ビョウショウ</t>
    </rPh>
    <phoneticPr fontId="1"/>
  </si>
  <si>
    <t>既設病床85</t>
    <rPh sb="0" eb="2">
      <t>キセツ</t>
    </rPh>
    <rPh sb="2" eb="4">
      <t>ビョウショウ</t>
    </rPh>
    <phoneticPr fontId="1"/>
  </si>
  <si>
    <t>新設病床85</t>
    <rPh sb="0" eb="2">
      <t>シンセツ</t>
    </rPh>
    <rPh sb="2" eb="4">
      <t>ビョウショウ</t>
    </rPh>
    <phoneticPr fontId="1"/>
  </si>
  <si>
    <t>既設病床86</t>
    <rPh sb="0" eb="2">
      <t>キセツ</t>
    </rPh>
    <rPh sb="2" eb="4">
      <t>ビョウショウ</t>
    </rPh>
    <phoneticPr fontId="1"/>
  </si>
  <si>
    <t>新設病床86</t>
    <rPh sb="0" eb="2">
      <t>シンセツ</t>
    </rPh>
    <rPh sb="2" eb="4">
      <t>ビョウショウ</t>
    </rPh>
    <phoneticPr fontId="1"/>
  </si>
  <si>
    <t>既設病床87</t>
    <rPh sb="0" eb="2">
      <t>キセツ</t>
    </rPh>
    <rPh sb="2" eb="4">
      <t>ビョウショウ</t>
    </rPh>
    <phoneticPr fontId="1"/>
  </si>
  <si>
    <t>新設病床87</t>
    <rPh sb="0" eb="2">
      <t>シンセツ</t>
    </rPh>
    <rPh sb="2" eb="4">
      <t>ビョウショウ</t>
    </rPh>
    <phoneticPr fontId="1"/>
  </si>
  <si>
    <t>既設病床88</t>
    <rPh sb="0" eb="2">
      <t>キセツ</t>
    </rPh>
    <rPh sb="2" eb="4">
      <t>ビョウショウ</t>
    </rPh>
    <phoneticPr fontId="1"/>
  </si>
  <si>
    <t>新設病床88</t>
    <rPh sb="0" eb="2">
      <t>シンセツ</t>
    </rPh>
    <rPh sb="2" eb="4">
      <t>ビョウショウ</t>
    </rPh>
    <phoneticPr fontId="1"/>
  </si>
  <si>
    <t>既設病床89</t>
    <rPh sb="0" eb="2">
      <t>キセツ</t>
    </rPh>
    <rPh sb="2" eb="4">
      <t>ビョウショウ</t>
    </rPh>
    <phoneticPr fontId="1"/>
  </si>
  <si>
    <t>新設病床89</t>
    <rPh sb="0" eb="2">
      <t>シンセツ</t>
    </rPh>
    <rPh sb="2" eb="4">
      <t>ビョウショウ</t>
    </rPh>
    <phoneticPr fontId="1"/>
  </si>
  <si>
    <t>既設病床90</t>
    <rPh sb="0" eb="2">
      <t>キセツ</t>
    </rPh>
    <rPh sb="2" eb="4">
      <t>ビョウショウ</t>
    </rPh>
    <phoneticPr fontId="1"/>
  </si>
  <si>
    <t>新設病床90</t>
    <rPh sb="0" eb="2">
      <t>シンセツ</t>
    </rPh>
    <rPh sb="2" eb="4">
      <t>ビョウショウ</t>
    </rPh>
    <phoneticPr fontId="1"/>
  </si>
  <si>
    <t>既設病床91</t>
    <rPh sb="0" eb="2">
      <t>キセツ</t>
    </rPh>
    <rPh sb="2" eb="4">
      <t>ビョウショウ</t>
    </rPh>
    <phoneticPr fontId="1"/>
  </si>
  <si>
    <t>新設病床91</t>
    <rPh sb="0" eb="2">
      <t>シンセツ</t>
    </rPh>
    <rPh sb="2" eb="4">
      <t>ビョウショウ</t>
    </rPh>
    <phoneticPr fontId="1"/>
  </si>
  <si>
    <t>既設病床92</t>
    <rPh sb="0" eb="2">
      <t>キセツ</t>
    </rPh>
    <rPh sb="2" eb="4">
      <t>ビョウショウ</t>
    </rPh>
    <phoneticPr fontId="1"/>
  </si>
  <si>
    <t>新設病床92</t>
    <rPh sb="0" eb="2">
      <t>シンセツ</t>
    </rPh>
    <rPh sb="2" eb="4">
      <t>ビョウショウ</t>
    </rPh>
    <phoneticPr fontId="1"/>
  </si>
  <si>
    <t>既設病床93</t>
    <rPh sb="0" eb="2">
      <t>キセツ</t>
    </rPh>
    <rPh sb="2" eb="4">
      <t>ビョウショウ</t>
    </rPh>
    <phoneticPr fontId="1"/>
  </si>
  <si>
    <t>新設病床93</t>
    <rPh sb="0" eb="2">
      <t>シンセツ</t>
    </rPh>
    <rPh sb="2" eb="4">
      <t>ビョウショウ</t>
    </rPh>
    <phoneticPr fontId="1"/>
  </si>
  <si>
    <t>既設病床94</t>
    <rPh sb="0" eb="2">
      <t>キセツ</t>
    </rPh>
    <rPh sb="2" eb="4">
      <t>ビョウショウ</t>
    </rPh>
    <phoneticPr fontId="1"/>
  </si>
  <si>
    <t>新設病床94</t>
    <rPh sb="0" eb="2">
      <t>シンセツ</t>
    </rPh>
    <rPh sb="2" eb="4">
      <t>ビョウショウ</t>
    </rPh>
    <phoneticPr fontId="1"/>
  </si>
  <si>
    <t>既設病床95</t>
    <rPh sb="0" eb="2">
      <t>キセツ</t>
    </rPh>
    <rPh sb="2" eb="4">
      <t>ビョウショウ</t>
    </rPh>
    <phoneticPr fontId="1"/>
  </si>
  <si>
    <t>新設病床95</t>
    <rPh sb="0" eb="2">
      <t>シンセツ</t>
    </rPh>
    <rPh sb="2" eb="4">
      <t>ビョウショウ</t>
    </rPh>
    <phoneticPr fontId="1"/>
  </si>
  <si>
    <t>既設病床96</t>
    <rPh sb="0" eb="2">
      <t>キセツ</t>
    </rPh>
    <rPh sb="2" eb="4">
      <t>ビョウショウ</t>
    </rPh>
    <phoneticPr fontId="1"/>
  </si>
  <si>
    <t>新設病床96</t>
    <rPh sb="0" eb="2">
      <t>シンセツ</t>
    </rPh>
    <rPh sb="2" eb="4">
      <t>ビョウショウ</t>
    </rPh>
    <phoneticPr fontId="1"/>
  </si>
  <si>
    <t>既設病床97</t>
    <rPh sb="0" eb="2">
      <t>キセツ</t>
    </rPh>
    <rPh sb="2" eb="4">
      <t>ビョウショウ</t>
    </rPh>
    <phoneticPr fontId="1"/>
  </si>
  <si>
    <t>新設病床97</t>
    <rPh sb="0" eb="2">
      <t>シンセツ</t>
    </rPh>
    <rPh sb="2" eb="4">
      <t>ビョウショウ</t>
    </rPh>
    <phoneticPr fontId="1"/>
  </si>
  <si>
    <t>既設病床98</t>
    <rPh sb="0" eb="2">
      <t>キセツ</t>
    </rPh>
    <rPh sb="2" eb="4">
      <t>ビョウショウ</t>
    </rPh>
    <phoneticPr fontId="1"/>
  </si>
  <si>
    <t>新設病床98</t>
    <rPh sb="0" eb="2">
      <t>シンセツ</t>
    </rPh>
    <rPh sb="2" eb="4">
      <t>ビョウショウ</t>
    </rPh>
    <phoneticPr fontId="1"/>
  </si>
  <si>
    <t>既設病床99</t>
    <rPh sb="0" eb="2">
      <t>キセツ</t>
    </rPh>
    <rPh sb="2" eb="4">
      <t>ビョウショウ</t>
    </rPh>
    <phoneticPr fontId="1"/>
  </si>
  <si>
    <t>新設病床99</t>
    <rPh sb="0" eb="2">
      <t>シンセツ</t>
    </rPh>
    <rPh sb="2" eb="4">
      <t>ビョウショウ</t>
    </rPh>
    <phoneticPr fontId="1"/>
  </si>
  <si>
    <t>既設病床100</t>
    <rPh sb="0" eb="2">
      <t>キセツ</t>
    </rPh>
    <rPh sb="2" eb="4">
      <t>ビョウショウ</t>
    </rPh>
    <phoneticPr fontId="1"/>
  </si>
  <si>
    <t>新設病床100</t>
    <rPh sb="0" eb="2">
      <t>シンセツ</t>
    </rPh>
    <rPh sb="2" eb="4">
      <t>ビョウショウ</t>
    </rPh>
    <phoneticPr fontId="1"/>
  </si>
  <si>
    <t>既設病床101</t>
    <rPh sb="0" eb="2">
      <t>キセツ</t>
    </rPh>
    <rPh sb="2" eb="4">
      <t>ビョウショウ</t>
    </rPh>
    <phoneticPr fontId="1"/>
  </si>
  <si>
    <t>新設病床101</t>
    <rPh sb="0" eb="2">
      <t>シンセツ</t>
    </rPh>
    <rPh sb="2" eb="4">
      <t>ビョウショウ</t>
    </rPh>
    <phoneticPr fontId="1"/>
  </si>
  <si>
    <t>既設病床102</t>
    <rPh sb="0" eb="2">
      <t>キセツ</t>
    </rPh>
    <rPh sb="2" eb="4">
      <t>ビョウショウ</t>
    </rPh>
    <phoneticPr fontId="1"/>
  </si>
  <si>
    <t>新設病床102</t>
    <rPh sb="0" eb="2">
      <t>シンセツ</t>
    </rPh>
    <rPh sb="2" eb="4">
      <t>ビョウショウ</t>
    </rPh>
    <phoneticPr fontId="1"/>
  </si>
  <si>
    <t>既設病床103</t>
    <rPh sb="0" eb="2">
      <t>キセツ</t>
    </rPh>
    <rPh sb="2" eb="4">
      <t>ビョウショウ</t>
    </rPh>
    <phoneticPr fontId="1"/>
  </si>
  <si>
    <t>新設病床103</t>
    <rPh sb="0" eb="2">
      <t>シンセツ</t>
    </rPh>
    <rPh sb="2" eb="4">
      <t>ビョウショウ</t>
    </rPh>
    <phoneticPr fontId="1"/>
  </si>
  <si>
    <t>既設病床104</t>
    <rPh sb="0" eb="2">
      <t>キセツ</t>
    </rPh>
    <rPh sb="2" eb="4">
      <t>ビョウショウ</t>
    </rPh>
    <phoneticPr fontId="1"/>
  </si>
  <si>
    <t>新設病床104</t>
    <rPh sb="0" eb="2">
      <t>シンセツ</t>
    </rPh>
    <rPh sb="2" eb="4">
      <t>ビョウショウ</t>
    </rPh>
    <phoneticPr fontId="1"/>
  </si>
  <si>
    <t>既設病床105</t>
    <rPh sb="0" eb="2">
      <t>キセツ</t>
    </rPh>
    <rPh sb="2" eb="4">
      <t>ビョウショウ</t>
    </rPh>
    <phoneticPr fontId="1"/>
  </si>
  <si>
    <t>新設病床105</t>
    <rPh sb="0" eb="2">
      <t>シンセツ</t>
    </rPh>
    <rPh sb="2" eb="4">
      <t>ビョウショウ</t>
    </rPh>
    <phoneticPr fontId="1"/>
  </si>
  <si>
    <t>既設病床106</t>
    <rPh sb="0" eb="2">
      <t>キセツ</t>
    </rPh>
    <rPh sb="2" eb="4">
      <t>ビョウショウ</t>
    </rPh>
    <phoneticPr fontId="1"/>
  </si>
  <si>
    <t>新設病床106</t>
    <rPh sb="0" eb="2">
      <t>シンセツ</t>
    </rPh>
    <rPh sb="2" eb="4">
      <t>ビョウショウ</t>
    </rPh>
    <phoneticPr fontId="1"/>
  </si>
  <si>
    <t>既設病床107</t>
    <rPh sb="0" eb="2">
      <t>キセツ</t>
    </rPh>
    <rPh sb="2" eb="4">
      <t>ビョウショウ</t>
    </rPh>
    <phoneticPr fontId="1"/>
  </si>
  <si>
    <t>新設病床107</t>
    <rPh sb="0" eb="2">
      <t>シンセツ</t>
    </rPh>
    <rPh sb="2" eb="4">
      <t>ビョウショウ</t>
    </rPh>
    <phoneticPr fontId="1"/>
  </si>
  <si>
    <t>既設病床108</t>
    <rPh sb="0" eb="2">
      <t>キセツ</t>
    </rPh>
    <rPh sb="2" eb="4">
      <t>ビョウショウ</t>
    </rPh>
    <phoneticPr fontId="1"/>
  </si>
  <si>
    <t>新設病床108</t>
    <rPh sb="0" eb="2">
      <t>シンセツ</t>
    </rPh>
    <rPh sb="2" eb="4">
      <t>ビョウショウ</t>
    </rPh>
    <phoneticPr fontId="1"/>
  </si>
  <si>
    <t>既設病床109</t>
    <rPh sb="0" eb="2">
      <t>キセツ</t>
    </rPh>
    <rPh sb="2" eb="4">
      <t>ビョウショウ</t>
    </rPh>
    <phoneticPr fontId="1"/>
  </si>
  <si>
    <t>新設病床109</t>
    <rPh sb="0" eb="2">
      <t>シンセツ</t>
    </rPh>
    <rPh sb="2" eb="4">
      <t>ビョウショウ</t>
    </rPh>
    <phoneticPr fontId="1"/>
  </si>
  <si>
    <t>既設病床110</t>
    <rPh sb="0" eb="2">
      <t>キセツ</t>
    </rPh>
    <rPh sb="2" eb="4">
      <t>ビョウショウ</t>
    </rPh>
    <phoneticPr fontId="1"/>
  </si>
  <si>
    <t>新設病床110</t>
    <rPh sb="0" eb="2">
      <t>シンセツ</t>
    </rPh>
    <rPh sb="2" eb="4">
      <t>ビョウショウ</t>
    </rPh>
    <phoneticPr fontId="1"/>
  </si>
  <si>
    <t>既設病床111</t>
    <rPh sb="0" eb="2">
      <t>キセツ</t>
    </rPh>
    <rPh sb="2" eb="4">
      <t>ビョウショウ</t>
    </rPh>
    <phoneticPr fontId="1"/>
  </si>
  <si>
    <t>新設病床111</t>
    <rPh sb="0" eb="2">
      <t>シンセツ</t>
    </rPh>
    <rPh sb="2" eb="4">
      <t>ビョウショウ</t>
    </rPh>
    <phoneticPr fontId="1"/>
  </si>
  <si>
    <t>既設病床112</t>
    <rPh sb="0" eb="2">
      <t>キセツ</t>
    </rPh>
    <rPh sb="2" eb="4">
      <t>ビョウショウ</t>
    </rPh>
    <phoneticPr fontId="1"/>
  </si>
  <si>
    <t>新設病床112</t>
    <rPh sb="0" eb="2">
      <t>シンセツ</t>
    </rPh>
    <rPh sb="2" eb="4">
      <t>ビョウショウ</t>
    </rPh>
    <phoneticPr fontId="1"/>
  </si>
  <si>
    <t>既設病床113</t>
    <rPh sb="0" eb="2">
      <t>キセツ</t>
    </rPh>
    <rPh sb="2" eb="4">
      <t>ビョウショウ</t>
    </rPh>
    <phoneticPr fontId="1"/>
  </si>
  <si>
    <t>新設病床113</t>
    <rPh sb="0" eb="2">
      <t>シンセツ</t>
    </rPh>
    <rPh sb="2" eb="4">
      <t>ビョウショウ</t>
    </rPh>
    <phoneticPr fontId="1"/>
  </si>
  <si>
    <t>既設病床114</t>
    <rPh sb="0" eb="2">
      <t>キセツ</t>
    </rPh>
    <rPh sb="2" eb="4">
      <t>ビョウショウ</t>
    </rPh>
    <phoneticPr fontId="1"/>
  </si>
  <si>
    <t>新設病床114</t>
    <rPh sb="0" eb="2">
      <t>シンセツ</t>
    </rPh>
    <rPh sb="2" eb="4">
      <t>ビョウショウ</t>
    </rPh>
    <phoneticPr fontId="1"/>
  </si>
  <si>
    <t>既設病床115</t>
    <rPh sb="0" eb="2">
      <t>キセツ</t>
    </rPh>
    <rPh sb="2" eb="4">
      <t>ビョウショウ</t>
    </rPh>
    <phoneticPr fontId="1"/>
  </si>
  <si>
    <t>新設病床115</t>
    <rPh sb="0" eb="2">
      <t>シンセツ</t>
    </rPh>
    <rPh sb="2" eb="4">
      <t>ビョウショウ</t>
    </rPh>
    <phoneticPr fontId="1"/>
  </si>
  <si>
    <t>既設病床116</t>
    <rPh sb="0" eb="2">
      <t>キセツ</t>
    </rPh>
    <rPh sb="2" eb="4">
      <t>ビョウショウ</t>
    </rPh>
    <phoneticPr fontId="1"/>
  </si>
  <si>
    <t>新設病床116</t>
    <rPh sb="0" eb="2">
      <t>シンセツ</t>
    </rPh>
    <rPh sb="2" eb="4">
      <t>ビョウショウ</t>
    </rPh>
    <phoneticPr fontId="1"/>
  </si>
  <si>
    <t>既設病床117</t>
    <rPh sb="0" eb="2">
      <t>キセツ</t>
    </rPh>
    <rPh sb="2" eb="4">
      <t>ビョウショウ</t>
    </rPh>
    <phoneticPr fontId="1"/>
  </si>
  <si>
    <t>新設病床117</t>
    <rPh sb="0" eb="2">
      <t>シンセツ</t>
    </rPh>
    <rPh sb="2" eb="4">
      <t>ビョウショウ</t>
    </rPh>
    <phoneticPr fontId="1"/>
  </si>
  <si>
    <t>既設病床118</t>
    <rPh sb="0" eb="2">
      <t>キセツ</t>
    </rPh>
    <rPh sb="2" eb="4">
      <t>ビョウショウ</t>
    </rPh>
    <phoneticPr fontId="1"/>
  </si>
  <si>
    <t>新設病床118</t>
    <rPh sb="0" eb="2">
      <t>シンセツ</t>
    </rPh>
    <rPh sb="2" eb="4">
      <t>ビョウショウ</t>
    </rPh>
    <phoneticPr fontId="1"/>
  </si>
  <si>
    <t>既設病床119</t>
    <rPh sb="0" eb="2">
      <t>キセツ</t>
    </rPh>
    <rPh sb="2" eb="4">
      <t>ビョウショウ</t>
    </rPh>
    <phoneticPr fontId="1"/>
  </si>
  <si>
    <t>新設病床119</t>
    <rPh sb="0" eb="2">
      <t>シンセツ</t>
    </rPh>
    <rPh sb="2" eb="4">
      <t>ビョウショウ</t>
    </rPh>
    <phoneticPr fontId="1"/>
  </si>
  <si>
    <t>既設病床120</t>
    <rPh sb="0" eb="2">
      <t>キセツ</t>
    </rPh>
    <rPh sb="2" eb="4">
      <t>ビョウショウ</t>
    </rPh>
    <phoneticPr fontId="1"/>
  </si>
  <si>
    <t>新設病床120</t>
    <rPh sb="0" eb="2">
      <t>シンセツ</t>
    </rPh>
    <rPh sb="2" eb="4">
      <t>ビョウショウ</t>
    </rPh>
    <phoneticPr fontId="1"/>
  </si>
  <si>
    <t>既設病床121</t>
    <rPh sb="0" eb="2">
      <t>キセツ</t>
    </rPh>
    <rPh sb="2" eb="4">
      <t>ビョウショウ</t>
    </rPh>
    <phoneticPr fontId="1"/>
  </si>
  <si>
    <t>新設病床121</t>
    <rPh sb="0" eb="2">
      <t>シンセツ</t>
    </rPh>
    <rPh sb="2" eb="4">
      <t>ビョウショウ</t>
    </rPh>
    <phoneticPr fontId="1"/>
  </si>
  <si>
    <t>既設病床122</t>
    <rPh sb="0" eb="2">
      <t>キセツ</t>
    </rPh>
    <rPh sb="2" eb="4">
      <t>ビョウショウ</t>
    </rPh>
    <phoneticPr fontId="1"/>
  </si>
  <si>
    <t>新設病床122</t>
    <rPh sb="0" eb="2">
      <t>シンセツ</t>
    </rPh>
    <rPh sb="2" eb="4">
      <t>ビョウショウ</t>
    </rPh>
    <phoneticPr fontId="1"/>
  </si>
  <si>
    <t>既設病床123</t>
    <rPh sb="0" eb="2">
      <t>キセツ</t>
    </rPh>
    <rPh sb="2" eb="4">
      <t>ビョウショウ</t>
    </rPh>
    <phoneticPr fontId="1"/>
  </si>
  <si>
    <t>新設病床123</t>
    <rPh sb="0" eb="2">
      <t>シンセツ</t>
    </rPh>
    <rPh sb="2" eb="4">
      <t>ビョウショウ</t>
    </rPh>
    <phoneticPr fontId="1"/>
  </si>
  <si>
    <t>既設病床124</t>
    <rPh sb="0" eb="2">
      <t>キセツ</t>
    </rPh>
    <rPh sb="2" eb="4">
      <t>ビョウショウ</t>
    </rPh>
    <phoneticPr fontId="1"/>
  </si>
  <si>
    <t>新設病床124</t>
    <rPh sb="0" eb="2">
      <t>シンセツ</t>
    </rPh>
    <rPh sb="2" eb="4">
      <t>ビョウショウ</t>
    </rPh>
    <phoneticPr fontId="1"/>
  </si>
  <si>
    <t>既設病床125</t>
    <rPh sb="0" eb="2">
      <t>キセツ</t>
    </rPh>
    <rPh sb="2" eb="4">
      <t>ビョウショウ</t>
    </rPh>
    <phoneticPr fontId="1"/>
  </si>
  <si>
    <t>新設病床125</t>
    <rPh sb="0" eb="2">
      <t>シンセツ</t>
    </rPh>
    <rPh sb="2" eb="4">
      <t>ビョウショウ</t>
    </rPh>
    <phoneticPr fontId="1"/>
  </si>
  <si>
    <t>既設病床126</t>
    <rPh sb="0" eb="2">
      <t>キセツ</t>
    </rPh>
    <rPh sb="2" eb="4">
      <t>ビョウショウ</t>
    </rPh>
    <phoneticPr fontId="1"/>
  </si>
  <si>
    <t>新設病床126</t>
    <rPh sb="0" eb="2">
      <t>シンセツ</t>
    </rPh>
    <rPh sb="2" eb="4">
      <t>ビョウショウ</t>
    </rPh>
    <phoneticPr fontId="1"/>
  </si>
  <si>
    <t>既設病床127</t>
    <rPh sb="0" eb="2">
      <t>キセツ</t>
    </rPh>
    <rPh sb="2" eb="4">
      <t>ビョウショウ</t>
    </rPh>
    <phoneticPr fontId="1"/>
  </si>
  <si>
    <t>新設病床127</t>
    <rPh sb="0" eb="2">
      <t>シンセツ</t>
    </rPh>
    <rPh sb="2" eb="4">
      <t>ビョウショウ</t>
    </rPh>
    <phoneticPr fontId="1"/>
  </si>
  <si>
    <t>既設病床128</t>
    <rPh sb="0" eb="2">
      <t>キセツ</t>
    </rPh>
    <rPh sb="2" eb="4">
      <t>ビョウショウ</t>
    </rPh>
    <phoneticPr fontId="1"/>
  </si>
  <si>
    <t>新設病床128</t>
    <rPh sb="0" eb="2">
      <t>シンセツ</t>
    </rPh>
    <rPh sb="2" eb="4">
      <t>ビョウショウ</t>
    </rPh>
    <phoneticPr fontId="1"/>
  </si>
  <si>
    <t>既設病床129</t>
    <rPh sb="0" eb="2">
      <t>キセツ</t>
    </rPh>
    <rPh sb="2" eb="4">
      <t>ビョウショウ</t>
    </rPh>
    <phoneticPr fontId="1"/>
  </si>
  <si>
    <t>新設病床129</t>
    <rPh sb="0" eb="2">
      <t>シンセツ</t>
    </rPh>
    <rPh sb="2" eb="4">
      <t>ビョウショウ</t>
    </rPh>
    <phoneticPr fontId="1"/>
  </si>
  <si>
    <t>既設病床130</t>
    <rPh sb="0" eb="2">
      <t>キセツ</t>
    </rPh>
    <rPh sb="2" eb="4">
      <t>ビョウショウ</t>
    </rPh>
    <phoneticPr fontId="1"/>
  </si>
  <si>
    <t>新設病床130</t>
    <rPh sb="0" eb="2">
      <t>シンセツ</t>
    </rPh>
    <rPh sb="2" eb="4">
      <t>ビョウショウ</t>
    </rPh>
    <phoneticPr fontId="1"/>
  </si>
  <si>
    <t>既設病床131</t>
    <rPh sb="0" eb="2">
      <t>キセツ</t>
    </rPh>
    <rPh sb="2" eb="4">
      <t>ビョウショウ</t>
    </rPh>
    <phoneticPr fontId="1"/>
  </si>
  <si>
    <t>新設病床131</t>
    <rPh sb="0" eb="2">
      <t>シンセツ</t>
    </rPh>
    <rPh sb="2" eb="4">
      <t>ビョウショウ</t>
    </rPh>
    <phoneticPr fontId="1"/>
  </si>
  <si>
    <t>既設病床132</t>
    <rPh sb="0" eb="2">
      <t>キセツ</t>
    </rPh>
    <rPh sb="2" eb="4">
      <t>ビョウショウ</t>
    </rPh>
    <phoneticPr fontId="1"/>
  </si>
  <si>
    <t>新設病床132</t>
    <rPh sb="0" eb="2">
      <t>シンセツ</t>
    </rPh>
    <rPh sb="2" eb="4">
      <t>ビョウショウ</t>
    </rPh>
    <phoneticPr fontId="1"/>
  </si>
  <si>
    <t>既設病床133</t>
    <rPh sb="0" eb="2">
      <t>キセツ</t>
    </rPh>
    <rPh sb="2" eb="4">
      <t>ビョウショウ</t>
    </rPh>
    <phoneticPr fontId="1"/>
  </si>
  <si>
    <t>新設病床133</t>
    <rPh sb="0" eb="2">
      <t>シンセツ</t>
    </rPh>
    <rPh sb="2" eb="4">
      <t>ビョウショウ</t>
    </rPh>
    <phoneticPr fontId="1"/>
  </si>
  <si>
    <t>既設病床134</t>
    <rPh sb="0" eb="2">
      <t>キセツ</t>
    </rPh>
    <rPh sb="2" eb="4">
      <t>ビョウショウ</t>
    </rPh>
    <phoneticPr fontId="1"/>
  </si>
  <si>
    <t>新設病床134</t>
    <rPh sb="0" eb="2">
      <t>シンセツ</t>
    </rPh>
    <rPh sb="2" eb="4">
      <t>ビョウショウ</t>
    </rPh>
    <phoneticPr fontId="1"/>
  </si>
  <si>
    <t>既設病床135</t>
    <rPh sb="0" eb="2">
      <t>キセツ</t>
    </rPh>
    <rPh sb="2" eb="4">
      <t>ビョウショウ</t>
    </rPh>
    <phoneticPr fontId="1"/>
  </si>
  <si>
    <t>新設病床135</t>
    <rPh sb="0" eb="2">
      <t>シンセツ</t>
    </rPh>
    <rPh sb="2" eb="4">
      <t>ビョウショウ</t>
    </rPh>
    <phoneticPr fontId="1"/>
  </si>
  <si>
    <t>既設病床136</t>
    <rPh sb="0" eb="2">
      <t>キセツ</t>
    </rPh>
    <rPh sb="2" eb="4">
      <t>ビョウショウ</t>
    </rPh>
    <phoneticPr fontId="1"/>
  </si>
  <si>
    <t>新設病床136</t>
    <rPh sb="0" eb="2">
      <t>シンセツ</t>
    </rPh>
    <rPh sb="2" eb="4">
      <t>ビョウショウ</t>
    </rPh>
    <phoneticPr fontId="1"/>
  </si>
  <si>
    <t>既設病床137</t>
    <rPh sb="0" eb="2">
      <t>キセツ</t>
    </rPh>
    <rPh sb="2" eb="4">
      <t>ビョウショウ</t>
    </rPh>
    <phoneticPr fontId="1"/>
  </si>
  <si>
    <t>新設病床137</t>
    <rPh sb="0" eb="2">
      <t>シンセツ</t>
    </rPh>
    <rPh sb="2" eb="4">
      <t>ビョウショウ</t>
    </rPh>
    <phoneticPr fontId="1"/>
  </si>
  <si>
    <t>既設病床138</t>
    <rPh sb="0" eb="2">
      <t>キセツ</t>
    </rPh>
    <rPh sb="2" eb="4">
      <t>ビョウショウ</t>
    </rPh>
    <phoneticPr fontId="1"/>
  </si>
  <si>
    <t>新設病床138</t>
    <rPh sb="0" eb="2">
      <t>シンセツ</t>
    </rPh>
    <rPh sb="2" eb="4">
      <t>ビョウショウ</t>
    </rPh>
    <phoneticPr fontId="1"/>
  </si>
  <si>
    <t>既設病床139</t>
    <rPh sb="0" eb="2">
      <t>キセツ</t>
    </rPh>
    <rPh sb="2" eb="4">
      <t>ビョウショウ</t>
    </rPh>
    <phoneticPr fontId="1"/>
  </si>
  <si>
    <t>新設病床139</t>
    <rPh sb="0" eb="2">
      <t>シンセツ</t>
    </rPh>
    <rPh sb="2" eb="4">
      <t>ビョウショウ</t>
    </rPh>
    <phoneticPr fontId="1"/>
  </si>
  <si>
    <t>既設病床140</t>
    <rPh sb="0" eb="2">
      <t>キセツ</t>
    </rPh>
    <rPh sb="2" eb="4">
      <t>ビョウショウ</t>
    </rPh>
    <phoneticPr fontId="1"/>
  </si>
  <si>
    <t>新設病床140</t>
    <rPh sb="0" eb="2">
      <t>シンセツ</t>
    </rPh>
    <rPh sb="2" eb="4">
      <t>ビョウショウ</t>
    </rPh>
    <phoneticPr fontId="1"/>
  </si>
  <si>
    <t>既設病床141</t>
    <rPh sb="0" eb="2">
      <t>キセツ</t>
    </rPh>
    <rPh sb="2" eb="4">
      <t>ビョウショウ</t>
    </rPh>
    <phoneticPr fontId="1"/>
  </si>
  <si>
    <t>新設病床141</t>
    <rPh sb="0" eb="2">
      <t>シンセツ</t>
    </rPh>
    <rPh sb="2" eb="4">
      <t>ビョウショウ</t>
    </rPh>
    <phoneticPr fontId="1"/>
  </si>
  <si>
    <t>既設病床142</t>
    <rPh sb="0" eb="2">
      <t>キセツ</t>
    </rPh>
    <rPh sb="2" eb="4">
      <t>ビョウショウ</t>
    </rPh>
    <phoneticPr fontId="1"/>
  </si>
  <si>
    <t>新設病床142</t>
    <rPh sb="0" eb="2">
      <t>シンセツ</t>
    </rPh>
    <rPh sb="2" eb="4">
      <t>ビョウショウ</t>
    </rPh>
    <phoneticPr fontId="1"/>
  </si>
  <si>
    <t>既設病床143</t>
    <rPh sb="0" eb="2">
      <t>キセツ</t>
    </rPh>
    <rPh sb="2" eb="4">
      <t>ビョウショウ</t>
    </rPh>
    <phoneticPr fontId="1"/>
  </si>
  <si>
    <t>新設病床143</t>
    <rPh sb="0" eb="2">
      <t>シンセツ</t>
    </rPh>
    <rPh sb="2" eb="4">
      <t>ビョウショウ</t>
    </rPh>
    <phoneticPr fontId="1"/>
  </si>
  <si>
    <t>既設病床144</t>
    <rPh sb="0" eb="2">
      <t>キセツ</t>
    </rPh>
    <rPh sb="2" eb="4">
      <t>ビョウショウ</t>
    </rPh>
    <phoneticPr fontId="1"/>
  </si>
  <si>
    <t>新設病床144</t>
    <rPh sb="0" eb="2">
      <t>シンセツ</t>
    </rPh>
    <rPh sb="2" eb="4">
      <t>ビョウショウ</t>
    </rPh>
    <phoneticPr fontId="1"/>
  </si>
  <si>
    <t>既設病床145</t>
    <rPh sb="0" eb="2">
      <t>キセツ</t>
    </rPh>
    <rPh sb="2" eb="4">
      <t>ビョウショウ</t>
    </rPh>
    <phoneticPr fontId="1"/>
  </si>
  <si>
    <t>新設病床145</t>
    <rPh sb="0" eb="2">
      <t>シンセツ</t>
    </rPh>
    <rPh sb="2" eb="4">
      <t>ビョウショウ</t>
    </rPh>
    <phoneticPr fontId="1"/>
  </si>
  <si>
    <t>既設病床146</t>
    <rPh sb="0" eb="2">
      <t>キセツ</t>
    </rPh>
    <rPh sb="2" eb="4">
      <t>ビョウショウ</t>
    </rPh>
    <phoneticPr fontId="1"/>
  </si>
  <si>
    <t>新設病床146</t>
    <rPh sb="0" eb="2">
      <t>シンセツ</t>
    </rPh>
    <rPh sb="2" eb="4">
      <t>ビョウショウ</t>
    </rPh>
    <phoneticPr fontId="1"/>
  </si>
  <si>
    <t>既設病床147</t>
    <rPh sb="0" eb="2">
      <t>キセツ</t>
    </rPh>
    <rPh sb="2" eb="4">
      <t>ビョウショウ</t>
    </rPh>
    <phoneticPr fontId="1"/>
  </si>
  <si>
    <t>新設病床147</t>
    <rPh sb="0" eb="2">
      <t>シンセツ</t>
    </rPh>
    <rPh sb="2" eb="4">
      <t>ビョウショウ</t>
    </rPh>
    <phoneticPr fontId="1"/>
  </si>
  <si>
    <t>既設病床148</t>
    <rPh sb="0" eb="2">
      <t>キセツ</t>
    </rPh>
    <rPh sb="2" eb="4">
      <t>ビョウショウ</t>
    </rPh>
    <phoneticPr fontId="1"/>
  </si>
  <si>
    <t>新設病床148</t>
    <rPh sb="0" eb="2">
      <t>シンセツ</t>
    </rPh>
    <rPh sb="2" eb="4">
      <t>ビョウショウ</t>
    </rPh>
    <phoneticPr fontId="1"/>
  </si>
  <si>
    <t>既設病床149</t>
    <rPh sb="0" eb="2">
      <t>キセツ</t>
    </rPh>
    <rPh sb="2" eb="4">
      <t>ビョウショウ</t>
    </rPh>
    <phoneticPr fontId="1"/>
  </si>
  <si>
    <t>新設病床149</t>
    <rPh sb="0" eb="2">
      <t>シンセツ</t>
    </rPh>
    <rPh sb="2" eb="4">
      <t>ビョウショウ</t>
    </rPh>
    <phoneticPr fontId="1"/>
  </si>
  <si>
    <t>既設病床150</t>
    <rPh sb="0" eb="2">
      <t>キセツ</t>
    </rPh>
    <rPh sb="2" eb="4">
      <t>ビョウショウ</t>
    </rPh>
    <phoneticPr fontId="1"/>
  </si>
  <si>
    <t>新設病床150</t>
    <rPh sb="0" eb="2">
      <t>シンセツ</t>
    </rPh>
    <rPh sb="2" eb="4">
      <t>ビョウショウ</t>
    </rPh>
    <phoneticPr fontId="1"/>
  </si>
  <si>
    <r>
      <t>　まとめて「一式」と記載はせず、</t>
    </r>
    <r>
      <rPr>
        <b/>
        <u/>
        <sz val="12"/>
        <color rgb="FFFF0000"/>
        <rFont val="游ゴシック"/>
        <family val="3"/>
        <charset val="128"/>
        <scheme val="minor"/>
      </rPr>
      <t>見積書、納品書等に記載の設備・備品の品目ごとに分けて記載</t>
    </r>
    <r>
      <rPr>
        <b/>
        <sz val="12"/>
        <color theme="1"/>
        <rFont val="游ゴシック"/>
        <family val="3"/>
        <charset val="128"/>
        <scheme val="minor"/>
      </rPr>
      <t>するようにしてください。
　各品目について、表の左部分「配備先・内容」欄にて、配備先の病床の別及び、当該品目が「本体」か「付属備品」（テント等）の別をプルダウンから選択してください。</t>
    </r>
    <rPh sb="6" eb="8">
      <t>イッシキ</t>
    </rPh>
    <rPh sb="10" eb="12">
      <t>キサイ</t>
    </rPh>
    <rPh sb="16" eb="19">
      <t>ミツモリショ</t>
    </rPh>
    <rPh sb="20" eb="23">
      <t>ノウヒンショ</t>
    </rPh>
    <rPh sb="23" eb="24">
      <t>トウ</t>
    </rPh>
    <rPh sb="25" eb="27">
      <t>キサイ</t>
    </rPh>
    <rPh sb="28" eb="30">
      <t>セツビ</t>
    </rPh>
    <rPh sb="31" eb="33">
      <t>ビヒン</t>
    </rPh>
    <rPh sb="34" eb="36">
      <t>ヒンモク</t>
    </rPh>
    <rPh sb="39" eb="40">
      <t>ワ</t>
    </rPh>
    <rPh sb="42" eb="44">
      <t>キサイ</t>
    </rPh>
    <rPh sb="58" eb="59">
      <t>カク</t>
    </rPh>
    <rPh sb="59" eb="61">
      <t>ヒンモク</t>
    </rPh>
    <rPh sb="66" eb="67">
      <t>ヒョウ</t>
    </rPh>
    <rPh sb="68" eb="69">
      <t>ヒダリ</t>
    </rPh>
    <rPh sb="69" eb="71">
      <t>ブブン</t>
    </rPh>
    <rPh sb="72" eb="74">
      <t>ハイビ</t>
    </rPh>
    <rPh sb="74" eb="75">
      <t>サキ</t>
    </rPh>
    <rPh sb="76" eb="78">
      <t>ナイヨウ</t>
    </rPh>
    <rPh sb="79" eb="80">
      <t>ラン</t>
    </rPh>
    <rPh sb="83" eb="85">
      <t>ハイビ</t>
    </rPh>
    <rPh sb="85" eb="86">
      <t>サキ</t>
    </rPh>
    <rPh sb="87" eb="89">
      <t>ビョウショウ</t>
    </rPh>
    <rPh sb="90" eb="91">
      <t>ベツ</t>
    </rPh>
    <rPh sb="91" eb="92">
      <t>オヨ</t>
    </rPh>
    <rPh sb="94" eb="96">
      <t>トウガイ</t>
    </rPh>
    <rPh sb="96" eb="98">
      <t>ヒンモク</t>
    </rPh>
    <rPh sb="100" eb="102">
      <t>ホンタイ</t>
    </rPh>
    <rPh sb="105" eb="107">
      <t>フゾク</t>
    </rPh>
    <rPh sb="107" eb="109">
      <t>ビヒン</t>
    </rPh>
    <rPh sb="114" eb="115">
      <t>トウ</t>
    </rPh>
    <rPh sb="117" eb="118">
      <t>ベツ</t>
    </rPh>
    <rPh sb="126" eb="128">
      <t>センタク</t>
    </rPh>
    <phoneticPr fontId="1"/>
  </si>
  <si>
    <r>
      <t>　まとめて「一式」と記載はせず、</t>
    </r>
    <r>
      <rPr>
        <b/>
        <u/>
        <sz val="12"/>
        <color rgb="FFFF0000"/>
        <rFont val="游ゴシック"/>
        <family val="3"/>
        <charset val="128"/>
        <scheme val="minor"/>
      </rPr>
      <t>見積書、納品書等に記載の設備・付属備品ごとに分けて記載</t>
    </r>
    <r>
      <rPr>
        <b/>
        <sz val="12"/>
        <color theme="1"/>
        <rFont val="游ゴシック"/>
        <family val="3"/>
        <charset val="128"/>
        <scheme val="minor"/>
      </rPr>
      <t>するようにしてください。
　整備する設備の配備先（既設又は新設病床、病床に番号付与した場合いずれの病床に充てるのか左部分「配備先・内容」欄で選択してください。
　配備先の病床の別及び、当該品目が「装置」か「付属備品」の別をプルダウンから選択してください。</t>
    </r>
    <rPh sb="6" eb="8">
      <t>イッシキ</t>
    </rPh>
    <rPh sb="10" eb="12">
      <t>キサイ</t>
    </rPh>
    <rPh sb="16" eb="19">
      <t>ミツモリショ</t>
    </rPh>
    <rPh sb="20" eb="23">
      <t>ノウヒンショ</t>
    </rPh>
    <rPh sb="23" eb="24">
      <t>トウ</t>
    </rPh>
    <rPh sb="25" eb="27">
      <t>キサイ</t>
    </rPh>
    <rPh sb="28" eb="30">
      <t>セツビ</t>
    </rPh>
    <rPh sb="31" eb="33">
      <t>フゾク</t>
    </rPh>
    <rPh sb="33" eb="35">
      <t>ビヒン</t>
    </rPh>
    <rPh sb="38" eb="39">
      <t>ワ</t>
    </rPh>
    <rPh sb="41" eb="43">
      <t>キサイ</t>
    </rPh>
    <rPh sb="57" eb="59">
      <t>セイビ</t>
    </rPh>
    <rPh sb="61" eb="63">
      <t>セツビ</t>
    </rPh>
    <rPh sb="64" eb="66">
      <t>ハイビ</t>
    </rPh>
    <rPh sb="66" eb="67">
      <t>サキ</t>
    </rPh>
    <rPh sb="68" eb="70">
      <t>キセツ</t>
    </rPh>
    <rPh sb="70" eb="71">
      <t>マタ</t>
    </rPh>
    <rPh sb="72" eb="74">
      <t>シンセツ</t>
    </rPh>
    <rPh sb="74" eb="76">
      <t>ビョウショウ</t>
    </rPh>
    <rPh sb="77" eb="79">
      <t>ビョウショウ</t>
    </rPh>
    <rPh sb="80" eb="82">
      <t>バンゴウ</t>
    </rPh>
    <rPh sb="82" eb="84">
      <t>フヨ</t>
    </rPh>
    <rPh sb="86" eb="88">
      <t>バアイ</t>
    </rPh>
    <rPh sb="92" eb="94">
      <t>ビョウショウ</t>
    </rPh>
    <rPh sb="100" eb="101">
      <t>ヒダリ</t>
    </rPh>
    <rPh sb="101" eb="103">
      <t>ブブン</t>
    </rPh>
    <rPh sb="104" eb="106">
      <t>ハイビ</t>
    </rPh>
    <rPh sb="106" eb="107">
      <t>サキ</t>
    </rPh>
    <rPh sb="108" eb="110">
      <t>ナイヨウ</t>
    </rPh>
    <rPh sb="111" eb="112">
      <t>ラン</t>
    </rPh>
    <rPh sb="113" eb="115">
      <t>センタク</t>
    </rPh>
    <rPh sb="124" eb="126">
      <t>ハイビ</t>
    </rPh>
    <rPh sb="126" eb="127">
      <t>サキ</t>
    </rPh>
    <rPh sb="128" eb="130">
      <t>ビョウショウ</t>
    </rPh>
    <rPh sb="131" eb="132">
      <t>ベツ</t>
    </rPh>
    <rPh sb="132" eb="133">
      <t>オヨ</t>
    </rPh>
    <rPh sb="135" eb="137">
      <t>トウガイ</t>
    </rPh>
    <rPh sb="137" eb="139">
      <t>ヒンモク</t>
    </rPh>
    <rPh sb="141" eb="143">
      <t>ソウチ</t>
    </rPh>
    <rPh sb="146" eb="148">
      <t>フゾク</t>
    </rPh>
    <rPh sb="148" eb="150">
      <t>ビヒン</t>
    </rPh>
    <rPh sb="152" eb="153">
      <t>ベツ</t>
    </rPh>
    <rPh sb="161" eb="163">
      <t>センタク</t>
    </rPh>
    <phoneticPr fontId="1"/>
  </si>
  <si>
    <r>
      <t>２．装置情報（右端に表示の番号を、見積書あるいは納品書の内訳中、該当の部分に記入し記載の箇所を明示してください。）
　見積書等に記載の内訳は補助対象、対象外にかかわらず全て入力し、</t>
    </r>
    <r>
      <rPr>
        <b/>
        <u/>
        <sz val="12"/>
        <color rgb="FFFF0000"/>
        <rFont val="游ゴシック"/>
        <family val="3"/>
        <charset val="128"/>
        <scheme val="minor"/>
      </rPr>
      <t>右上（実支出予定額）と見積金額とが一致するようにしてください。</t>
    </r>
    <r>
      <rPr>
        <b/>
        <sz val="12"/>
        <color theme="1"/>
        <rFont val="游ゴシック"/>
        <family val="3"/>
        <charset val="128"/>
        <scheme val="minor"/>
      </rPr>
      <t xml:space="preserve">
　補助対象はコロナ病床施設の整備に限られるため医療用消耗品等は補助対象外です。
　記載いただいた補助対象外経費は「補助対象区分」欄で「対象外」を選択してください。（補助対象金額の算定から自動計算で除外されます。）</t>
    </r>
    <rPh sb="2" eb="4">
      <t>ソウチ</t>
    </rPh>
    <rPh sb="4" eb="6">
      <t>ジョウホウ</t>
    </rPh>
    <rPh sb="59" eb="62">
      <t>ミツモリショ</t>
    </rPh>
    <rPh sb="62" eb="63">
      <t>トウ</t>
    </rPh>
    <rPh sb="64" eb="66">
      <t>キサイ</t>
    </rPh>
    <rPh sb="67" eb="69">
      <t>ウチワケ</t>
    </rPh>
    <rPh sb="70" eb="72">
      <t>ホジョ</t>
    </rPh>
    <rPh sb="72" eb="74">
      <t>タイショウ</t>
    </rPh>
    <rPh sb="75" eb="78">
      <t>タイショウガイ</t>
    </rPh>
    <rPh sb="84" eb="85">
      <t>スベ</t>
    </rPh>
    <rPh sb="86" eb="88">
      <t>ニュウリョク</t>
    </rPh>
    <rPh sb="90" eb="92">
      <t>ミギウエ</t>
    </rPh>
    <rPh sb="93" eb="96">
      <t>ジツシシュツ</t>
    </rPh>
    <rPh sb="96" eb="98">
      <t>ヨテイ</t>
    </rPh>
    <rPh sb="98" eb="99">
      <t>ガク</t>
    </rPh>
    <rPh sb="101" eb="103">
      <t>ミツ</t>
    </rPh>
    <rPh sb="103" eb="105">
      <t>キンガク</t>
    </rPh>
    <rPh sb="107" eb="109">
      <t>イッチ</t>
    </rPh>
    <rPh sb="123" eb="125">
      <t>ホジョ</t>
    </rPh>
    <rPh sb="125" eb="127">
      <t>タイショウ</t>
    </rPh>
    <rPh sb="133" eb="135">
      <t>シセツ</t>
    </rPh>
    <rPh sb="163" eb="165">
      <t>キサイ</t>
    </rPh>
    <rPh sb="170" eb="172">
      <t>ホジョ</t>
    </rPh>
    <rPh sb="172" eb="174">
      <t>タイショウ</t>
    </rPh>
    <rPh sb="174" eb="175">
      <t>ガイ</t>
    </rPh>
    <rPh sb="175" eb="177">
      <t>ケイヒ</t>
    </rPh>
    <rPh sb="179" eb="181">
      <t>ホジョ</t>
    </rPh>
    <rPh sb="181" eb="183">
      <t>タイショウ</t>
    </rPh>
    <rPh sb="183" eb="185">
      <t>クブン</t>
    </rPh>
    <rPh sb="186" eb="187">
      <t>ラン</t>
    </rPh>
    <rPh sb="204" eb="206">
      <t>ホジョ</t>
    </rPh>
    <rPh sb="206" eb="208">
      <t>タイショウ</t>
    </rPh>
    <rPh sb="208" eb="210">
      <t>キンガク</t>
    </rPh>
    <rPh sb="211" eb="213">
      <t>サンテイ</t>
    </rPh>
    <rPh sb="215" eb="217">
      <t>ジドウ</t>
    </rPh>
    <rPh sb="217" eb="219">
      <t>ケイサン</t>
    </rPh>
    <rPh sb="220" eb="222">
      <t>ジョガイ</t>
    </rPh>
    <phoneticPr fontId="1"/>
  </si>
  <si>
    <t xml:space="preserve">【1行目】【規格・数量】入力不十分、【単価・補助対象区分】未入力
</t>
  </si>
  <si>
    <t>生体情報モニタ</t>
    <rPh sb="2" eb="4">
      <t>ジョウホウ</t>
    </rPh>
    <phoneticPr fontId="1"/>
  </si>
  <si>
    <t>病床数</t>
    <rPh sb="0" eb="3">
      <t>ビョウショウスウ</t>
    </rPh>
    <phoneticPr fontId="1"/>
  </si>
  <si>
    <r>
      <t>１．はじめに</t>
    </r>
    <r>
      <rPr>
        <b/>
        <u/>
        <sz val="11"/>
        <color rgb="FFFF0000"/>
        <rFont val="游ゴシック"/>
        <family val="3"/>
        <charset val="128"/>
        <scheme val="minor"/>
      </rPr>
      <t>（いずれか１つを選択してください。）</t>
    </r>
    <rPh sb="14" eb="16">
      <t>センタク</t>
    </rPh>
    <phoneticPr fontId="1"/>
  </si>
  <si>
    <t>　　　　交付を受けていない。　　リース料の助成を受けた。　　購入費用の助成を受けた。(今年度に追加で整備する理由を以下に記入してください。)</t>
    <rPh sb="43" eb="46">
      <t>コンネンド</t>
    </rPh>
    <rPh sb="47" eb="49">
      <t>ツイカ</t>
    </rPh>
    <rPh sb="50" eb="52">
      <t>セイビ</t>
    </rPh>
    <phoneticPr fontId="1"/>
  </si>
  <si>
    <t>チェック</t>
    <phoneticPr fontId="1"/>
  </si>
  <si>
    <t>整備理由</t>
    <rPh sb="0" eb="2">
      <t>セイビ</t>
    </rPh>
    <rPh sb="2" eb="4">
      <t>リユウ</t>
    </rPh>
    <phoneticPr fontId="1"/>
  </si>
  <si>
    <t>２．簡易診療室情報</t>
    <rPh sb="2" eb="4">
      <t>カンイ</t>
    </rPh>
    <rPh sb="4" eb="7">
      <t>シンリョウシツ</t>
    </rPh>
    <rPh sb="7" eb="9">
      <t>ジョウホウ</t>
    </rPh>
    <phoneticPr fontId="1"/>
  </si>
  <si>
    <t>設置個所及び用途</t>
    <rPh sb="0" eb="2">
      <t>セッチ</t>
    </rPh>
    <rPh sb="2" eb="4">
      <t>カショ</t>
    </rPh>
    <rPh sb="4" eb="5">
      <t>オヨ</t>
    </rPh>
    <rPh sb="6" eb="8">
      <t>ヨウト</t>
    </rPh>
    <phoneticPr fontId="1"/>
  </si>
  <si>
    <t>用途等</t>
    <rPh sb="0" eb="2">
      <t>ヨウト</t>
    </rPh>
    <rPh sb="2" eb="3">
      <t>トウ</t>
    </rPh>
    <phoneticPr fontId="1"/>
  </si>
  <si>
    <t>　　　透析患者</t>
    <rPh sb="3" eb="5">
      <t>トウセキ</t>
    </rPh>
    <rPh sb="5" eb="7">
      <t>カンジャ</t>
    </rPh>
    <phoneticPr fontId="1"/>
  </si>
  <si>
    <t>　　　妊産婦の患者</t>
    <rPh sb="3" eb="6">
      <t>ニンサンプ</t>
    </rPh>
    <rPh sb="7" eb="9">
      <t>カンジャ</t>
    </rPh>
    <phoneticPr fontId="1"/>
  </si>
  <si>
    <t>　　　小児患者</t>
    <rPh sb="3" eb="5">
      <t>ショウニ</t>
    </rPh>
    <rPh sb="5" eb="7">
      <t>カンジャ</t>
    </rPh>
    <phoneticPr fontId="1"/>
  </si>
  <si>
    <t>【重点医療機関で該当の場合】
専門治療が必要な患者の
入院受入の可否</t>
    <rPh sb="1" eb="3">
      <t>ジュウテン</t>
    </rPh>
    <rPh sb="3" eb="5">
      <t>イリョウ</t>
    </rPh>
    <rPh sb="5" eb="7">
      <t>キカン</t>
    </rPh>
    <rPh sb="8" eb="10">
      <t>ガイトウ</t>
    </rPh>
    <rPh sb="11" eb="13">
      <t>バアイ</t>
    </rPh>
    <rPh sb="15" eb="17">
      <t>センモン</t>
    </rPh>
    <rPh sb="17" eb="19">
      <t>チリョウ</t>
    </rPh>
    <rPh sb="20" eb="22">
      <t>ヒツヨウ</t>
    </rPh>
    <rPh sb="23" eb="25">
      <t>カンジャ</t>
    </rPh>
    <rPh sb="27" eb="29">
      <t>ニュウイン</t>
    </rPh>
    <rPh sb="29" eb="31">
      <t>ウケイレ</t>
    </rPh>
    <rPh sb="32" eb="34">
      <t>カヒ</t>
    </rPh>
    <phoneticPr fontId="1"/>
  </si>
  <si>
    <t>○</t>
    <phoneticPr fontId="1"/>
  </si>
  <si>
    <t>初度設備</t>
    <rPh sb="0" eb="2">
      <t>ショド</t>
    </rPh>
    <rPh sb="2" eb="4">
      <t>セツビ</t>
    </rPh>
    <phoneticPr fontId="1"/>
  </si>
  <si>
    <t>人工呼吸器</t>
    <rPh sb="0" eb="2">
      <t>ジンコウ</t>
    </rPh>
    <rPh sb="2" eb="5">
      <t>コキュウキ</t>
    </rPh>
    <phoneticPr fontId="1"/>
  </si>
  <si>
    <t>個人防護具</t>
    <rPh sb="0" eb="2">
      <t>コジン</t>
    </rPh>
    <rPh sb="2" eb="4">
      <t>ボウゴ</t>
    </rPh>
    <rPh sb="4" eb="5">
      <t>グ</t>
    </rPh>
    <phoneticPr fontId="1"/>
  </si>
  <si>
    <t>簡易病室</t>
    <rPh sb="0" eb="2">
      <t>カンイ</t>
    </rPh>
    <rPh sb="2" eb="4">
      <t>ビョウシツ</t>
    </rPh>
    <phoneticPr fontId="1"/>
  </si>
  <si>
    <t>超音波画像診断装置</t>
    <rPh sb="0" eb="3">
      <t>チョウオンパ</t>
    </rPh>
    <rPh sb="3" eb="5">
      <t>ガゾウ</t>
    </rPh>
    <rPh sb="5" eb="7">
      <t>シンダン</t>
    </rPh>
    <rPh sb="7" eb="9">
      <t>ソウチ</t>
    </rPh>
    <phoneticPr fontId="1"/>
  </si>
  <si>
    <t>血液浄化装置</t>
    <rPh sb="0" eb="2">
      <t>ケツエキ</t>
    </rPh>
    <rPh sb="2" eb="4">
      <t>ジョウカ</t>
    </rPh>
    <rPh sb="4" eb="6">
      <t>ソウチ</t>
    </rPh>
    <phoneticPr fontId="1"/>
  </si>
  <si>
    <t>気管支鏡</t>
    <rPh sb="0" eb="4">
      <t>キカンシキョウ</t>
    </rPh>
    <phoneticPr fontId="1"/>
  </si>
  <si>
    <t>CT撮影装置等</t>
    <rPh sb="2" eb="4">
      <t>サツエイ</t>
    </rPh>
    <rPh sb="4" eb="6">
      <t>ソウチ</t>
    </rPh>
    <rPh sb="6" eb="7">
      <t>トウ</t>
    </rPh>
    <phoneticPr fontId="1"/>
  </si>
  <si>
    <t>生体情報モニタ</t>
    <rPh sb="0" eb="2">
      <t>セイタイ</t>
    </rPh>
    <rPh sb="2" eb="4">
      <t>ジョウホウ</t>
    </rPh>
    <phoneticPr fontId="1"/>
  </si>
  <si>
    <t>分娩監視装置</t>
    <rPh sb="0" eb="2">
      <t>ブンベン</t>
    </rPh>
    <rPh sb="2" eb="4">
      <t>カンシ</t>
    </rPh>
    <rPh sb="4" eb="6">
      <t>ソウチ</t>
    </rPh>
    <phoneticPr fontId="1"/>
  </si>
  <si>
    <t>新生児モニタ</t>
    <rPh sb="0" eb="3">
      <t>シンセイジ</t>
    </rPh>
    <phoneticPr fontId="1"/>
  </si>
  <si>
    <t>申請する場合入力</t>
    <rPh sb="0" eb="2">
      <t>シンセイ</t>
    </rPh>
    <rPh sb="4" eb="6">
      <t>バアイ</t>
    </rPh>
    <rPh sb="6" eb="8">
      <t>ニュウリョク</t>
    </rPh>
    <phoneticPr fontId="1"/>
  </si>
  <si>
    <t>はじめに入力してください</t>
    <phoneticPr fontId="1"/>
  </si>
  <si>
    <t>（「金額（税込）」が、見積書等（発注・契約書、納品書、請求書、領収書など）の記載金額と
一致するようにし、表示の「添付資料番号」は資料中、該当の記述箇所に番号を付記すること。）</t>
  </si>
  <si>
    <t>見積書金額</t>
    <rPh sb="0" eb="3">
      <t>ミツモリショ</t>
    </rPh>
    <rPh sb="3" eb="5">
      <t>キンガク</t>
    </rPh>
    <phoneticPr fontId="1"/>
  </si>
  <si>
    <t>割引額</t>
    <rPh sb="0" eb="3">
      <t>ワリビキガク</t>
    </rPh>
    <phoneticPr fontId="1"/>
  </si>
  <si>
    <t>入力区分</t>
    <rPh sb="0" eb="2">
      <t>ニュウリョク</t>
    </rPh>
    <rPh sb="2" eb="4">
      <t>クブン</t>
    </rPh>
    <phoneticPr fontId="1"/>
  </si>
  <si>
    <t>歳入</t>
    <rPh sb="0" eb="2">
      <t>サイニュウ</t>
    </rPh>
    <phoneticPr fontId="1"/>
  </si>
  <si>
    <t>歳出</t>
    <rPh sb="0" eb="2">
      <t>サイシュツ</t>
    </rPh>
    <phoneticPr fontId="1"/>
  </si>
  <si>
    <r>
      <t>１．はじめに
　　今回申請するにあたり、以下の記入欄に必要事項を入力してください。
　　→　記入欄右の「判定」が全て「○」となり、</t>
    </r>
    <r>
      <rPr>
        <b/>
        <u/>
        <sz val="12"/>
        <color rgb="FFFF0000"/>
        <rFont val="游ゴシック"/>
        <family val="3"/>
        <charset val="128"/>
        <scheme val="minor"/>
      </rPr>
      <t>赤表示が全て白表示に変われば入力完了</t>
    </r>
    <r>
      <rPr>
        <b/>
        <sz val="12"/>
        <color theme="1"/>
        <rFont val="游ゴシック"/>
        <family val="3"/>
        <charset val="128"/>
        <scheme val="minor"/>
      </rPr>
      <t>です。
　　→　記載不十分等の箇所はコメント欄を参照ください。
　　こちらで入力した内容はその後に入力いただく各種様式の必要記載部分に反映されます。</t>
    </r>
    <rPh sb="9" eb="11">
      <t>コンカイ</t>
    </rPh>
    <rPh sb="11" eb="13">
      <t>シンセイ</t>
    </rPh>
    <rPh sb="20" eb="22">
      <t>イカ</t>
    </rPh>
    <rPh sb="23" eb="26">
      <t>キニュウラン</t>
    </rPh>
    <rPh sb="27" eb="29">
      <t>ヒツヨウ</t>
    </rPh>
    <rPh sb="29" eb="31">
      <t>ジコウ</t>
    </rPh>
    <rPh sb="32" eb="34">
      <t>ニュウリョク</t>
    </rPh>
    <rPh sb="46" eb="49">
      <t>キニュウラン</t>
    </rPh>
    <rPh sb="49" eb="50">
      <t>ミギ</t>
    </rPh>
    <rPh sb="52" eb="54">
      <t>ハンテイ</t>
    </rPh>
    <rPh sb="56" eb="57">
      <t>スベ</t>
    </rPh>
    <rPh sb="65" eb="66">
      <t>アカ</t>
    </rPh>
    <rPh sb="66" eb="68">
      <t>ヒョウジ</t>
    </rPh>
    <rPh sb="69" eb="70">
      <t>スベ</t>
    </rPh>
    <rPh sb="71" eb="72">
      <t>シロ</t>
    </rPh>
    <rPh sb="72" eb="74">
      <t>ヒョウジ</t>
    </rPh>
    <rPh sb="75" eb="76">
      <t>カ</t>
    </rPh>
    <rPh sb="79" eb="81">
      <t>ニュウリョク</t>
    </rPh>
    <rPh sb="81" eb="83">
      <t>カンリョウ</t>
    </rPh>
    <rPh sb="91" eb="93">
      <t>キサイ</t>
    </rPh>
    <rPh sb="93" eb="96">
      <t>フジュウブン</t>
    </rPh>
    <rPh sb="96" eb="97">
      <t>トウ</t>
    </rPh>
    <rPh sb="98" eb="100">
      <t>カショ</t>
    </rPh>
    <rPh sb="105" eb="106">
      <t>ラン</t>
    </rPh>
    <rPh sb="107" eb="109">
      <t>サンショウ</t>
    </rPh>
    <rPh sb="121" eb="123">
      <t>ニュウリョク</t>
    </rPh>
    <rPh sb="125" eb="127">
      <t>ナイヨウ</t>
    </rPh>
    <rPh sb="130" eb="131">
      <t>ゴ</t>
    </rPh>
    <rPh sb="132" eb="134">
      <t>ニュウリョク</t>
    </rPh>
    <rPh sb="138" eb="140">
      <t>カクシュ</t>
    </rPh>
    <rPh sb="140" eb="142">
      <t>ヨウシキ</t>
    </rPh>
    <rPh sb="143" eb="145">
      <t>ヒツヨウ</t>
    </rPh>
    <rPh sb="145" eb="147">
      <t>キサイ</t>
    </rPh>
    <rPh sb="147" eb="149">
      <t>ブブン</t>
    </rPh>
    <rPh sb="150" eb="152">
      <t>ハンエイ</t>
    </rPh>
    <phoneticPr fontId="1"/>
  </si>
  <si>
    <r>
      <t>２．各種様式の入力について
　　上記「１．はじめに」を入力後、関係の様式に必要情報を入力いただきます。
　　下の表は、それぞれの様式で必要情報が適切に入力されているか否かの表示がされるようにされています。
　　作成にあたっての参考としていただき、</t>
    </r>
    <r>
      <rPr>
        <b/>
        <u/>
        <sz val="12"/>
        <color rgb="FFFF0000"/>
        <rFont val="游ゴシック"/>
        <family val="3"/>
        <charset val="128"/>
        <scheme val="minor"/>
      </rPr>
      <t>提出にあたっては「総合判定」が「○」になっていることを必ず確認</t>
    </r>
    <r>
      <rPr>
        <b/>
        <sz val="12"/>
        <color theme="1"/>
        <rFont val="游ゴシック"/>
        <family val="3"/>
        <charset val="128"/>
        <scheme val="minor"/>
      </rPr>
      <t>してください。</t>
    </r>
    <rPh sb="2" eb="4">
      <t>カクシュ</t>
    </rPh>
    <rPh sb="4" eb="6">
      <t>ヨウシキ</t>
    </rPh>
    <rPh sb="7" eb="9">
      <t>ニュウリョク</t>
    </rPh>
    <rPh sb="16" eb="18">
      <t>ジョウキ</t>
    </rPh>
    <rPh sb="27" eb="29">
      <t>ニュウリョク</t>
    </rPh>
    <rPh sb="29" eb="30">
      <t>ゴ</t>
    </rPh>
    <rPh sb="31" eb="33">
      <t>カンケイ</t>
    </rPh>
    <rPh sb="34" eb="36">
      <t>ヨウシキ</t>
    </rPh>
    <rPh sb="37" eb="39">
      <t>ヒツヨウ</t>
    </rPh>
    <rPh sb="39" eb="41">
      <t>ジョウホウ</t>
    </rPh>
    <rPh sb="42" eb="44">
      <t>ニュウリョク</t>
    </rPh>
    <rPh sb="54" eb="55">
      <t>シタ</t>
    </rPh>
    <rPh sb="56" eb="57">
      <t>ヒョウ</t>
    </rPh>
    <rPh sb="64" eb="66">
      <t>ヨウシキ</t>
    </rPh>
    <rPh sb="67" eb="69">
      <t>ヒツヨウ</t>
    </rPh>
    <rPh sb="69" eb="71">
      <t>ジョウホウ</t>
    </rPh>
    <rPh sb="72" eb="74">
      <t>テキセツ</t>
    </rPh>
    <rPh sb="75" eb="77">
      <t>ニュウリョク</t>
    </rPh>
    <rPh sb="83" eb="84">
      <t>イナ</t>
    </rPh>
    <rPh sb="86" eb="88">
      <t>ヒョウジ</t>
    </rPh>
    <rPh sb="105" eb="107">
      <t>サクセイ</t>
    </rPh>
    <rPh sb="113" eb="115">
      <t>サンコウ</t>
    </rPh>
    <rPh sb="123" eb="125">
      <t>テイシュツ</t>
    </rPh>
    <rPh sb="132" eb="134">
      <t>ソウゴウ</t>
    </rPh>
    <rPh sb="134" eb="136">
      <t>ハンテイ</t>
    </rPh>
    <rPh sb="150" eb="151">
      <t>カナラ</t>
    </rPh>
    <rPh sb="152" eb="154">
      <t>カクニン</t>
    </rPh>
    <phoneticPr fontId="1"/>
  </si>
  <si>
    <t>新型コロナウイルス感染症患者対応病床数</t>
    <rPh sb="0" eb="2">
      <t>シンガタ</t>
    </rPh>
    <rPh sb="9" eb="12">
      <t>カンセンショウ</t>
    </rPh>
    <rPh sb="12" eb="14">
      <t>カンジャ</t>
    </rPh>
    <rPh sb="14" eb="16">
      <t>タイオウ</t>
    </rPh>
    <rPh sb="16" eb="19">
      <t>ビョウショウスウ</t>
    </rPh>
    <phoneticPr fontId="1"/>
  </si>
  <si>
    <t>内、初度設備</t>
    <rPh sb="0" eb="1">
      <t>ウチ</t>
    </rPh>
    <rPh sb="2" eb="4">
      <t>ショド</t>
    </rPh>
    <rPh sb="4" eb="6">
      <t>セツビ</t>
    </rPh>
    <phoneticPr fontId="1"/>
  </si>
  <si>
    <t>内、人工呼吸器</t>
    <rPh sb="0" eb="1">
      <t>ウチ</t>
    </rPh>
    <rPh sb="2" eb="4">
      <t>ジンコウ</t>
    </rPh>
    <rPh sb="4" eb="7">
      <t>コキュウキ</t>
    </rPh>
    <phoneticPr fontId="1"/>
  </si>
  <si>
    <t>内、簡易病室</t>
    <rPh sb="0" eb="1">
      <t>ウチ</t>
    </rPh>
    <rPh sb="2" eb="4">
      <t>カンイ</t>
    </rPh>
    <rPh sb="4" eb="6">
      <t>ビョウシツ</t>
    </rPh>
    <phoneticPr fontId="1"/>
  </si>
  <si>
    <t>内、超音波画像</t>
    <rPh sb="0" eb="1">
      <t>ウチ</t>
    </rPh>
    <rPh sb="2" eb="5">
      <t>チョウオンパ</t>
    </rPh>
    <rPh sb="5" eb="7">
      <t>ガゾウ</t>
    </rPh>
    <phoneticPr fontId="1"/>
  </si>
  <si>
    <t>内、血液浄化</t>
    <rPh sb="0" eb="1">
      <t>ウチ</t>
    </rPh>
    <rPh sb="2" eb="4">
      <t>ケツエキ</t>
    </rPh>
    <rPh sb="4" eb="6">
      <t>ジョウカ</t>
    </rPh>
    <phoneticPr fontId="1"/>
  </si>
  <si>
    <t>内、気管支鏡</t>
    <rPh sb="0" eb="1">
      <t>ウチ</t>
    </rPh>
    <rPh sb="2" eb="6">
      <t>キカンシキョウ</t>
    </rPh>
    <phoneticPr fontId="1"/>
  </si>
  <si>
    <t>内、CT</t>
    <rPh sb="0" eb="1">
      <t>ウチ</t>
    </rPh>
    <phoneticPr fontId="1"/>
  </si>
  <si>
    <t>内、生体情報</t>
    <rPh sb="0" eb="1">
      <t>ウチ</t>
    </rPh>
    <rPh sb="2" eb="4">
      <t>セイタイ</t>
    </rPh>
    <rPh sb="4" eb="6">
      <t>ジョウホウ</t>
    </rPh>
    <phoneticPr fontId="1"/>
  </si>
  <si>
    <t>内、分娩監視</t>
    <rPh sb="0" eb="1">
      <t>ウチ</t>
    </rPh>
    <rPh sb="2" eb="4">
      <t>ブンベン</t>
    </rPh>
    <rPh sb="4" eb="6">
      <t>カンシ</t>
    </rPh>
    <phoneticPr fontId="1"/>
  </si>
  <si>
    <t>内、新生児</t>
    <rPh sb="0" eb="1">
      <t>ウチ</t>
    </rPh>
    <rPh sb="2" eb="5">
      <t>シンセイジ</t>
    </rPh>
    <phoneticPr fontId="1"/>
  </si>
  <si>
    <t>内、簡易陰圧</t>
    <rPh sb="0" eb="1">
      <t>ウチ</t>
    </rPh>
    <rPh sb="2" eb="4">
      <t>カンイ</t>
    </rPh>
    <rPh sb="4" eb="6">
      <t>インアツ</t>
    </rPh>
    <phoneticPr fontId="1"/>
  </si>
  <si>
    <t>内、簡易ベッド</t>
    <rPh sb="0" eb="1">
      <t>ウチ</t>
    </rPh>
    <rPh sb="2" eb="4">
      <t>カンイ</t>
    </rPh>
    <phoneticPr fontId="1"/>
  </si>
  <si>
    <t>内、人工肺</t>
    <rPh sb="0" eb="1">
      <t>ウチ</t>
    </rPh>
    <rPh sb="2" eb="5">
      <t>ジンコウハイ</t>
    </rPh>
    <phoneticPr fontId="1"/>
  </si>
  <si>
    <t>内、紫外線</t>
    <rPh sb="0" eb="1">
      <t>ウチ</t>
    </rPh>
    <rPh sb="2" eb="5">
      <t>シガイセン</t>
    </rPh>
    <phoneticPr fontId="1"/>
  </si>
  <si>
    <t>区分</t>
    <rPh sb="0" eb="2">
      <t>クブン</t>
    </rPh>
    <phoneticPr fontId="1"/>
  </si>
  <si>
    <t>初度設備</t>
    <rPh sb="0" eb="2">
      <t>ショド</t>
    </rPh>
    <rPh sb="2" eb="4">
      <t>セツビ</t>
    </rPh>
    <phoneticPr fontId="1"/>
  </si>
  <si>
    <t>人工呼吸器</t>
    <rPh sb="0" eb="2">
      <t>ジンコウ</t>
    </rPh>
    <rPh sb="2" eb="5">
      <t>コキュウキ</t>
    </rPh>
    <phoneticPr fontId="1"/>
  </si>
  <si>
    <t>個人防護具</t>
    <rPh sb="0" eb="2">
      <t>コジン</t>
    </rPh>
    <rPh sb="2" eb="4">
      <t>ボウゴ</t>
    </rPh>
    <rPh sb="4" eb="5">
      <t>グ</t>
    </rPh>
    <phoneticPr fontId="1"/>
  </si>
  <si>
    <t>官医院圧装置</t>
    <rPh sb="0" eb="1">
      <t>カン</t>
    </rPh>
    <rPh sb="1" eb="3">
      <t>イイン</t>
    </rPh>
    <rPh sb="3" eb="4">
      <t>アツ</t>
    </rPh>
    <rPh sb="4" eb="6">
      <t>ソウチ</t>
    </rPh>
    <phoneticPr fontId="1"/>
  </si>
  <si>
    <t>簡易ベッド</t>
    <rPh sb="0" eb="2">
      <t>カンイ</t>
    </rPh>
    <phoneticPr fontId="1"/>
  </si>
  <si>
    <t>ＥＣＭＯ</t>
  </si>
  <si>
    <t>簡易病室</t>
    <rPh sb="0" eb="2">
      <t>カンイ</t>
    </rPh>
    <rPh sb="2" eb="4">
      <t>ビョウシツ</t>
    </rPh>
    <phoneticPr fontId="1"/>
  </si>
  <si>
    <t>紫外線照射装置</t>
    <rPh sb="0" eb="3">
      <t>シガイセン</t>
    </rPh>
    <rPh sb="3" eb="5">
      <t>ショウシャ</t>
    </rPh>
    <rPh sb="5" eb="7">
      <t>ソウチ</t>
    </rPh>
    <phoneticPr fontId="1"/>
  </si>
  <si>
    <t>超音波画像診断装置</t>
    <rPh sb="0" eb="3">
      <t>チョウオンパ</t>
    </rPh>
    <rPh sb="3" eb="5">
      <t>ガゾウ</t>
    </rPh>
    <rPh sb="5" eb="7">
      <t>シンダン</t>
    </rPh>
    <rPh sb="7" eb="9">
      <t>ソウチ</t>
    </rPh>
    <phoneticPr fontId="1"/>
  </si>
  <si>
    <t>血液浄化装置</t>
    <rPh sb="0" eb="2">
      <t>ケツエキ</t>
    </rPh>
    <rPh sb="2" eb="4">
      <t>ジョウカ</t>
    </rPh>
    <rPh sb="4" eb="6">
      <t>ソウチ</t>
    </rPh>
    <phoneticPr fontId="1"/>
  </si>
  <si>
    <t>気管支鏡</t>
    <rPh sb="0" eb="4">
      <t>キカンシキョウ</t>
    </rPh>
    <phoneticPr fontId="1"/>
  </si>
  <si>
    <t>ＣＴ</t>
  </si>
  <si>
    <t>生体情報モニタ</t>
    <rPh sb="0" eb="2">
      <t>セイタイ</t>
    </rPh>
    <rPh sb="2" eb="4">
      <t>ジョウホウ</t>
    </rPh>
    <phoneticPr fontId="1"/>
  </si>
  <si>
    <t>分娩監視装置</t>
    <rPh sb="0" eb="2">
      <t>ブンベン</t>
    </rPh>
    <rPh sb="2" eb="4">
      <t>カンシ</t>
    </rPh>
    <rPh sb="4" eb="6">
      <t>ソウチ</t>
    </rPh>
    <phoneticPr fontId="1"/>
  </si>
  <si>
    <t>新生児モニタ</t>
    <rPh sb="0" eb="3">
      <t>シンセイジ</t>
    </rPh>
    <phoneticPr fontId="1"/>
  </si>
  <si>
    <t>ファイル名</t>
    <rPh sb="4" eb="5">
      <t>メイ</t>
    </rPh>
    <phoneticPr fontId="1"/>
  </si>
  <si>
    <t>申請額</t>
    <rPh sb="0" eb="3">
      <t>シンセイガク</t>
    </rPh>
    <phoneticPr fontId="1"/>
  </si>
  <si>
    <t>総事業費</t>
    <rPh sb="0" eb="1">
      <t>ソウ</t>
    </rPh>
    <rPh sb="1" eb="3">
      <t>ジギョウ</t>
    </rPh>
    <rPh sb="3" eb="4">
      <t>ヒ</t>
    </rPh>
    <phoneticPr fontId="1"/>
  </si>
  <si>
    <t>寄付金等</t>
    <rPh sb="0" eb="3">
      <t>キフキン</t>
    </rPh>
    <rPh sb="3" eb="4">
      <t>トウ</t>
    </rPh>
    <phoneticPr fontId="1"/>
  </si>
  <si>
    <t>差引</t>
    <rPh sb="0" eb="2">
      <t>サシヒキ</t>
    </rPh>
    <phoneticPr fontId="1"/>
  </si>
  <si>
    <t>支出予定額</t>
    <rPh sb="0" eb="2">
      <t>シシュツ</t>
    </rPh>
    <rPh sb="2" eb="4">
      <t>ヨテイ</t>
    </rPh>
    <rPh sb="4" eb="5">
      <t>ガク</t>
    </rPh>
    <phoneticPr fontId="1"/>
  </si>
  <si>
    <t>基準額</t>
    <rPh sb="0" eb="2">
      <t>キジュン</t>
    </rPh>
    <rPh sb="2" eb="3">
      <t>ガク</t>
    </rPh>
    <phoneticPr fontId="1"/>
  </si>
  <si>
    <t>選定額</t>
    <rPh sb="0" eb="2">
      <t>センテイ</t>
    </rPh>
    <rPh sb="2" eb="3">
      <t>ガク</t>
    </rPh>
    <phoneticPr fontId="1"/>
  </si>
  <si>
    <t>補助基本額</t>
    <rPh sb="0" eb="2">
      <t>ホジョ</t>
    </rPh>
    <rPh sb="2" eb="4">
      <t>キホン</t>
    </rPh>
    <rPh sb="4" eb="5">
      <t>ガク</t>
    </rPh>
    <phoneticPr fontId="1"/>
  </si>
  <si>
    <t>補助額</t>
    <rPh sb="0" eb="2">
      <t>ホジョ</t>
    </rPh>
    <rPh sb="2" eb="3">
      <t>ガク</t>
    </rPh>
    <phoneticPr fontId="1"/>
  </si>
  <si>
    <t>号</t>
    <rPh sb="0" eb="1">
      <t>ゴウ</t>
    </rPh>
    <phoneticPr fontId="1"/>
  </si>
  <si>
    <t>ああ</t>
    <phoneticPr fontId="1"/>
  </si>
  <si>
    <t>手続種別</t>
  </si>
  <si>
    <t>変更申請期間</t>
  </si>
  <si>
    <t>起</t>
  </si>
  <si>
    <t>終</t>
  </si>
  <si>
    <t>当初受付</t>
  </si>
  <si>
    <t>提出日</t>
  </si>
  <si>
    <t>交付決定日</t>
  </si>
  <si>
    <t>国事業完了日</t>
  </si>
  <si>
    <t>岐阜信用金庫</t>
  </si>
  <si>
    <t>奥町支店</t>
  </si>
  <si>
    <t>豊川信用金庫</t>
  </si>
  <si>
    <t>本店営業部</t>
  </si>
  <si>
    <t>三菱ＵＦＪ銀行</t>
  </si>
  <si>
    <t>大府支店</t>
  </si>
  <si>
    <t>名古屋銀行</t>
  </si>
  <si>
    <t>梅森支店</t>
  </si>
  <si>
    <t>岡崎信用金庫</t>
  </si>
  <si>
    <t>海部東農業協同組合</t>
  </si>
  <si>
    <t>甚目寺支店</t>
  </si>
  <si>
    <t>豊橋支店</t>
  </si>
  <si>
    <t>いちい信用金庫</t>
  </si>
  <si>
    <t>津島営業部</t>
  </si>
  <si>
    <t>野並支店</t>
  </si>
  <si>
    <t>知多信用金庫</t>
  </si>
  <si>
    <t>あすか台支店</t>
  </si>
  <si>
    <t>百五銀行</t>
  </si>
  <si>
    <t>西春支店</t>
  </si>
  <si>
    <t>東支店</t>
  </si>
  <si>
    <t>藤が丘支店</t>
  </si>
  <si>
    <t>みずほ銀行</t>
  </si>
  <si>
    <t>名古屋支店</t>
  </si>
  <si>
    <t>東海支店</t>
  </si>
  <si>
    <t>三井住友銀行</t>
  </si>
  <si>
    <t>刈谷支店</t>
  </si>
  <si>
    <t>平針支店</t>
  </si>
  <si>
    <t>今池支店</t>
  </si>
  <si>
    <t>尾張旭支店</t>
  </si>
  <si>
    <t>滝子支店</t>
  </si>
  <si>
    <t>静岡銀行</t>
  </si>
  <si>
    <t>大曽根支店</t>
  </si>
  <si>
    <t>東海公務部</t>
  </si>
  <si>
    <t>蒲郡信用金庫</t>
  </si>
  <si>
    <t>愛知県中央信用組合</t>
  </si>
  <si>
    <t>内田橋支店</t>
  </si>
  <si>
    <t>一ツ木支店</t>
  </si>
  <si>
    <t>大清水支店</t>
  </si>
  <si>
    <t>西尾支店</t>
  </si>
  <si>
    <t>星ヶ丘支店</t>
  </si>
  <si>
    <t>豊橋信用金庫</t>
  </si>
  <si>
    <t>岩田支店</t>
  </si>
  <si>
    <t>鶴舞支店</t>
  </si>
  <si>
    <t>小牧支店</t>
  </si>
  <si>
    <t>豊田支店</t>
  </si>
  <si>
    <t>名古屋営業部</t>
  </si>
  <si>
    <t>大津町支店</t>
  </si>
  <si>
    <t>りそな銀行</t>
  </si>
  <si>
    <t>サンライズ支店</t>
  </si>
  <si>
    <t>中京銀行</t>
  </si>
  <si>
    <t>高蔵寺支店</t>
  </si>
  <si>
    <t>瀬戸支店</t>
  </si>
  <si>
    <t>大垣共立銀行</t>
  </si>
  <si>
    <t>瀬戸信用金庫</t>
  </si>
  <si>
    <t>碧海信用金庫</t>
  </si>
  <si>
    <t>今村支店</t>
  </si>
  <si>
    <t>柴田支店</t>
  </si>
  <si>
    <t>新城支店</t>
  </si>
  <si>
    <t>笹島支店</t>
  </si>
  <si>
    <t>西尾信用金庫</t>
  </si>
  <si>
    <t>名古屋港支店</t>
  </si>
  <si>
    <t>名古屋駅前支店</t>
  </si>
  <si>
    <t>大津橋支店</t>
  </si>
  <si>
    <t>本店営業部</t>
    <rPh sb="0" eb="2">
      <t>ホンテン</t>
    </rPh>
    <rPh sb="2" eb="5">
      <t>エイギョウブ</t>
    </rPh>
    <phoneticPr fontId="1"/>
  </si>
  <si>
    <t>普通</t>
  </si>
  <si>
    <t>当座</t>
  </si>
  <si>
    <t>令和　　年　　月　　日　</t>
    <phoneticPr fontId="1"/>
  </si>
  <si>
    <t>　　愛知県知事　殿</t>
    <rPh sb="2" eb="5">
      <t>アイチケン</t>
    </rPh>
    <rPh sb="5" eb="7">
      <t>チジ</t>
    </rPh>
    <rPh sb="8" eb="9">
      <t>ドノ</t>
    </rPh>
    <phoneticPr fontId="1"/>
  </si>
  <si>
    <t>住所</t>
    <rPh sb="0" eb="2">
      <t>ジュウショ</t>
    </rPh>
    <phoneticPr fontId="1"/>
  </si>
  <si>
    <t>請　求　書</t>
    <rPh sb="0" eb="1">
      <t>ショウ</t>
    </rPh>
    <rPh sb="2" eb="3">
      <t>モトム</t>
    </rPh>
    <rPh sb="4" eb="5">
      <t>ショ</t>
    </rPh>
    <phoneticPr fontId="1"/>
  </si>
  <si>
    <t>１．請求金額</t>
    <rPh sb="2" eb="4">
      <t>セイキュウ</t>
    </rPh>
    <rPh sb="4" eb="6">
      <t>キンガク</t>
    </rPh>
    <phoneticPr fontId="1"/>
  </si>
  <si>
    <t>２．振込先口座</t>
    <rPh sb="2" eb="5">
      <t>フリコミサキ</t>
    </rPh>
    <rPh sb="5" eb="7">
      <t>コウザ</t>
    </rPh>
    <phoneticPr fontId="1"/>
  </si>
  <si>
    <t>金融機関名</t>
    <rPh sb="0" eb="2">
      <t>キンユウ</t>
    </rPh>
    <rPh sb="2" eb="4">
      <t>キカン</t>
    </rPh>
    <rPh sb="4" eb="5">
      <t>メイ</t>
    </rPh>
    <phoneticPr fontId="1"/>
  </si>
  <si>
    <t>口座種別</t>
    <rPh sb="0" eb="2">
      <t>コウザ</t>
    </rPh>
    <rPh sb="2" eb="4">
      <t>シュベツ</t>
    </rPh>
    <phoneticPr fontId="1"/>
  </si>
  <si>
    <t>　令和４年度愛知県新型コロナウイルス感染症入院医療機関設備整備費補助金について、下記の金額を請求します。なお、支払は下記の口座に振り込んでください。</t>
    <rPh sb="21" eb="23">
      <t>ニュウイン</t>
    </rPh>
    <rPh sb="23" eb="25">
      <t>イリョウ</t>
    </rPh>
    <rPh sb="40" eb="42">
      <t>カキ</t>
    </rPh>
    <rPh sb="58" eb="60">
      <t>カキ</t>
    </rPh>
    <phoneticPr fontId="1"/>
  </si>
  <si>
    <t>事業者名（法人名または屋号）</t>
    <rPh sb="0" eb="3">
      <t>ジギョウシャ</t>
    </rPh>
    <rPh sb="3" eb="4">
      <t>メイ</t>
    </rPh>
    <rPh sb="5" eb="7">
      <t>ホウジン</t>
    </rPh>
    <rPh sb="7" eb="8">
      <t>メイ</t>
    </rPh>
    <rPh sb="11" eb="13">
      <t>ヤゴウ</t>
    </rPh>
    <phoneticPr fontId="1"/>
  </si>
  <si>
    <t>代表者職氏名</t>
    <rPh sb="0" eb="3">
      <t>ダイヒョウシャ</t>
    </rPh>
    <rPh sb="3" eb="4">
      <t>ショク</t>
    </rPh>
    <rPh sb="4" eb="6">
      <t>シメイ</t>
    </rPh>
    <phoneticPr fontId="5"/>
  </si>
  <si>
    <t>補助事業者名　</t>
    <rPh sb="0" eb="2">
      <t>ホジョ</t>
    </rPh>
    <rPh sb="2" eb="5">
      <t>ジギョウシャ</t>
    </rPh>
    <rPh sb="5" eb="6">
      <t>メイ</t>
    </rPh>
    <phoneticPr fontId="1"/>
  </si>
  <si>
    <r>
      <rPr>
        <b/>
        <u/>
        <sz val="12"/>
        <rFont val="游ゴシック"/>
        <family val="3"/>
        <charset val="128"/>
        <scheme val="minor"/>
      </rPr>
      <t xml:space="preserve">１．はじめに（確保病床での「従事日数※」及び「従事人数」（黄色セル）を記入してください。）
</t>
    </r>
    <r>
      <rPr>
        <b/>
        <sz val="12"/>
        <rFont val="游ゴシック"/>
        <family val="3"/>
        <charset val="128"/>
        <scheme val="minor"/>
      </rPr>
      <t>※令和4年4月1日（入院医療機関の指定を受けた日が4月1日以降の場合は、指定日）から令和4年9月30日（または、入院医療機関の指定取下日）までの期間の従事日数</t>
    </r>
    <rPh sb="7" eb="9">
      <t>カクホ</t>
    </rPh>
    <rPh sb="9" eb="11">
      <t>ビョウショウ</t>
    </rPh>
    <rPh sb="20" eb="21">
      <t>オヨ</t>
    </rPh>
    <rPh sb="29" eb="31">
      <t>キイロ</t>
    </rPh>
    <rPh sb="56" eb="58">
      <t>ニュウイン</t>
    </rPh>
    <rPh sb="102" eb="104">
      <t>ニュウイン</t>
    </rPh>
    <phoneticPr fontId="1"/>
  </si>
  <si>
    <t>1112713</t>
    <phoneticPr fontId="1"/>
  </si>
  <si>
    <t>４感対第１４０９－</t>
    <rPh sb="1" eb="2">
      <t>カン</t>
    </rPh>
    <rPh sb="2" eb="3">
      <t>タイ</t>
    </rPh>
    <rPh sb="3" eb="4">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</si>
</sst>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0_);[Red]\(#,##0\)"/>
    <numFmt numFmtId="177" formatCode="[$-411]ggge&quot;年&quot;m&quot;月&quot;d&quot;日&quot;;@"/>
    <numFmt numFmtId="178" formatCode="#,##0_ "/>
    <numFmt numFmtId="179" formatCode="#,##0&quot;円&quot;;[Red]\(#,##0\)&quot;円&quot;"/>
    <numFmt numFmtId="180" formatCode="#,##0&quot;円&quot;"/>
    <numFmt numFmtId="181" formatCode="#,##0&quot;台&quot;"/>
    <numFmt numFmtId="182" formatCode="#,##0&quot;式&quot;"/>
    <numFmt numFmtId="183" formatCode="#,##0&quot;日&quot;"/>
    <numFmt numFmtId="184" formatCode="#,##0&quot;人&quot;"/>
    <numFmt numFmtId="185" formatCode="&quot;延&quot;&quot;べ&quot;#,##0&quot;人&quot;"/>
    <numFmt numFmtId="186" formatCode="#,##0&quot;床&quot;"/>
    <numFmt numFmtId="187" formatCode="#,##0&quot;円&quot;\ "/>
    <numFmt numFmtId="188" formatCode="&quot;金&quot;#,##0&quot;円&quot;"/>
    <numFmt numFmtId="189" formatCode="#,##0&quot;行&quot;&quot;目&quot;"/>
    <numFmt numFmtId="190" formatCode="0_);[Red]\(0\)"/>
    <numFmt numFmtId="191" formatCode="\4&quot;感&quot;&quot;対&quot;&quot;第1411－&quot;0&quot;号&quot;\ "/>
    <numFmt numFmtId="192" formatCode="\(#,##0&quot;円&quot;\)"/>
    <numFmt numFmtId="193" formatCode="&quot;入&quot;&quot;院&quot;&quot;第&quot;0&quot;号&quot;"/>
    <numFmt numFmtId="194" formatCode="&quot;金&quot;#,##0&quot;円&quot;;&quot;金&quot;&quot;△ &quot;#,##0&quot;円&quot;"/>
    <numFmt numFmtId="195" formatCode="yyyy&quot;年&quot;m&quot;月&quot;d&quot;日&quot;;@"/>
  </numFmts>
  <fonts count="44">
    <font>
      <sz val="11"/>
      <color theme="1"/>
      <name val="游ゴシック"/>
      <family val="2"/>
      <charset val="128"/>
      <scheme val="minor"/>
    </font>
    <font>
      <sz val="6"/>
      <name val="游ゴシック"/>
      <family val="2"/>
      <charset val="128"/>
      <scheme val="minor"/>
    </font>
    <font>
      <b/>
      <sz val="9"/>
      <color indexed="81"/>
      <name val="MS P ゴシック"/>
      <family val="3"/>
      <charset val="128"/>
    </font>
    <font>
      <u/>
      <sz val="11"/>
      <color theme="10"/>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b/>
      <sz val="10"/>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1"/>
      <color rgb="FFFF0000"/>
      <name val="游ゴシック"/>
      <family val="3"/>
      <charset val="128"/>
      <scheme val="minor"/>
    </font>
    <font>
      <sz val="14"/>
      <name val="游ゴシック"/>
      <family val="3"/>
      <charset val="128"/>
      <scheme val="minor"/>
    </font>
    <font>
      <sz val="10.5"/>
      <name val="游ゴシック"/>
      <family val="3"/>
      <charset val="128"/>
      <scheme val="minor"/>
    </font>
    <font>
      <b/>
      <sz val="12"/>
      <color rgb="FFFF0000"/>
      <name val="游ゴシック"/>
      <family val="3"/>
      <charset val="128"/>
      <scheme val="minor"/>
    </font>
    <font>
      <sz val="6"/>
      <name val="游ゴシック"/>
      <family val="3"/>
      <charset val="128"/>
      <scheme val="minor"/>
    </font>
    <font>
      <sz val="14"/>
      <color theme="1"/>
      <name val="游ゴシック"/>
      <family val="3"/>
      <charset val="128"/>
      <scheme val="minor"/>
    </font>
    <font>
      <b/>
      <sz val="14"/>
      <color rgb="FFFF0000"/>
      <name val="游ゴシック"/>
      <family val="3"/>
      <charset val="128"/>
      <scheme val="minor"/>
    </font>
    <font>
      <b/>
      <u val="double"/>
      <sz val="14"/>
      <color rgb="FFFF0000"/>
      <name val="游ゴシック"/>
      <family val="3"/>
      <charset val="128"/>
      <scheme val="minor"/>
    </font>
    <font>
      <b/>
      <sz val="12"/>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6"/>
      <color theme="1"/>
      <name val="游ゴシック"/>
      <family val="3"/>
      <charset val="128"/>
      <scheme val="minor"/>
    </font>
    <font>
      <b/>
      <sz val="11"/>
      <name val="游ゴシック"/>
      <family val="3"/>
      <charset val="128"/>
      <scheme val="minor"/>
    </font>
    <font>
      <b/>
      <u/>
      <sz val="15"/>
      <color rgb="FFFF0000"/>
      <name val="游ゴシック"/>
      <family val="3"/>
      <charset val="128"/>
      <scheme val="minor"/>
    </font>
    <font>
      <b/>
      <sz val="14"/>
      <name val="游ゴシック"/>
      <family val="3"/>
      <charset val="128"/>
      <scheme val="minor"/>
    </font>
    <font>
      <b/>
      <u/>
      <sz val="12"/>
      <name val="游ゴシック"/>
      <family val="3"/>
      <charset val="128"/>
      <scheme val="minor"/>
    </font>
    <font>
      <b/>
      <sz val="18"/>
      <color theme="1"/>
      <name val="游ゴシック"/>
      <family val="3"/>
      <charset val="128"/>
      <scheme val="minor"/>
    </font>
    <font>
      <b/>
      <u/>
      <sz val="11"/>
      <color theme="10"/>
      <name val="游ゴシック"/>
      <family val="3"/>
      <charset val="128"/>
      <scheme val="minor"/>
    </font>
    <font>
      <b/>
      <sz val="9"/>
      <color theme="1"/>
      <name val="游ゴシック"/>
      <family val="3"/>
      <charset val="128"/>
      <scheme val="minor"/>
    </font>
    <font>
      <b/>
      <sz val="10"/>
      <color rgb="FFFFFF00"/>
      <name val="游ゴシック"/>
      <family val="3"/>
      <charset val="128"/>
      <scheme val="minor"/>
    </font>
    <font>
      <b/>
      <sz val="10"/>
      <color rgb="FF444444"/>
      <name val="游ゴシック"/>
      <family val="3"/>
      <charset val="128"/>
      <scheme val="minor"/>
    </font>
    <font>
      <b/>
      <sz val="10"/>
      <color rgb="FFFF0000"/>
      <name val="游ゴシック"/>
      <family val="3"/>
      <charset val="128"/>
      <scheme val="minor"/>
    </font>
    <font>
      <b/>
      <u/>
      <sz val="12"/>
      <color rgb="FFFF0000"/>
      <name val="游ゴシック"/>
      <family val="3"/>
      <charset val="128"/>
      <scheme val="minor"/>
    </font>
    <font>
      <b/>
      <u/>
      <sz val="11"/>
      <color rgb="FFFF0000"/>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b/>
      <sz val="22"/>
      <color theme="1"/>
      <name val="游ゴシック"/>
      <family val="3"/>
      <charset val="128"/>
      <scheme val="minor"/>
    </font>
    <font>
      <sz val="22"/>
      <color theme="1"/>
      <name val="游ゴシック"/>
      <family val="3"/>
      <charset val="128"/>
      <scheme val="minor"/>
    </font>
    <font>
      <b/>
      <sz val="36"/>
      <color theme="1"/>
      <name val="游ゴシック"/>
      <family val="3"/>
      <charset val="128"/>
      <scheme val="minor"/>
    </font>
    <font>
      <sz val="36"/>
      <color theme="1"/>
      <name val="游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FFFF99"/>
        <bgColor indexed="64"/>
      </patternFill>
    </fill>
    <fill>
      <patternFill patternType="solid">
        <fgColor theme="6"/>
        <bgColor indexed="64"/>
      </patternFill>
    </fill>
    <fill>
      <patternFill patternType="solid">
        <fgColor theme="0" tint="-0.14999847407452621"/>
        <bgColor indexed="64"/>
      </patternFill>
    </fill>
    <fill>
      <patternFill patternType="solid">
        <fgColor theme="0" tint="-4.9989318521683403E-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medium">
        <color auto="1"/>
      </top>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hair">
        <color indexed="64"/>
      </left>
      <right style="medium">
        <color indexed="64"/>
      </right>
      <top style="hair">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bottom style="hair">
        <color indexed="64"/>
      </bottom>
      <diagonal/>
    </border>
  </borders>
  <cellStyleXfs count="6">
    <xf numFmtId="0" fontId="0" fillId="0" borderId="0">
      <alignment vertical="center"/>
    </xf>
    <xf numFmtId="0" fontId="3" fillId="0" borderId="0" applyNumberForma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xf numFmtId="38" fontId="6" fillId="0" borderId="0" applyFont="0" applyFill="0" applyBorder="0" applyAlignment="0" applyProtection="0">
      <alignment vertical="center"/>
    </xf>
  </cellStyleXfs>
  <cellXfs count="833">
    <xf numFmtId="0" fontId="0" fillId="0" borderId="0" xfId="0">
      <alignment vertical="center"/>
    </xf>
    <xf numFmtId="0" fontId="9" fillId="0" borderId="0" xfId="0" applyFont="1" applyProtection="1">
      <alignment vertical="center"/>
    </xf>
    <xf numFmtId="0" fontId="9" fillId="0" borderId="0" xfId="0" applyFont="1" applyAlignment="1" applyProtection="1">
      <alignment vertical="center"/>
    </xf>
    <xf numFmtId="0" fontId="8" fillId="0" borderId="0" xfId="2" applyFont="1">
      <alignment vertical="center"/>
    </xf>
    <xf numFmtId="0" fontId="8" fillId="0" borderId="2" xfId="2" applyFont="1" applyBorder="1" applyAlignment="1">
      <alignment horizontal="right" vertical="top"/>
    </xf>
    <xf numFmtId="3" fontId="16" fillId="0" borderId="0" xfId="2" applyNumberFormat="1" applyFont="1" applyAlignment="1">
      <alignment horizontal="right" vertical="center"/>
    </xf>
    <xf numFmtId="0" fontId="8" fillId="0" borderId="8" xfId="2" applyFont="1" applyBorder="1" applyAlignment="1">
      <alignment horizontal="center" vertical="center"/>
    </xf>
    <xf numFmtId="0" fontId="16" fillId="0" borderId="0" xfId="2" applyFont="1" applyAlignment="1">
      <alignment horizontal="right" vertical="center"/>
    </xf>
    <xf numFmtId="3" fontId="16" fillId="0" borderId="0" xfId="2" applyNumberFormat="1" applyFont="1">
      <alignment vertical="center"/>
    </xf>
    <xf numFmtId="0" fontId="8" fillId="0" borderId="0" xfId="2" applyFont="1" applyAlignment="1"/>
    <xf numFmtId="3" fontId="8" fillId="0" borderId="0" xfId="2" applyNumberFormat="1" applyFont="1">
      <alignment vertical="center"/>
    </xf>
    <xf numFmtId="0" fontId="9" fillId="0" borderId="0" xfId="0" applyFont="1" applyAlignment="1" applyProtection="1">
      <alignment horizontal="center" vertical="center"/>
    </xf>
    <xf numFmtId="0" fontId="9" fillId="0" borderId="0" xfId="0" applyFont="1">
      <alignment vertical="center"/>
    </xf>
    <xf numFmtId="0" fontId="9" fillId="0" borderId="0" xfId="0" applyFont="1" applyBorder="1" applyAlignment="1">
      <alignment vertical="center"/>
    </xf>
    <xf numFmtId="0" fontId="9" fillId="0" borderId="1" xfId="0" applyFont="1" applyBorder="1">
      <alignment vertical="center"/>
    </xf>
    <xf numFmtId="0" fontId="9" fillId="0" borderId="0" xfId="0" applyFont="1" applyFill="1" applyBorder="1">
      <alignment vertical="center"/>
    </xf>
    <xf numFmtId="0" fontId="9" fillId="0" borderId="0" xfId="0" applyFont="1" applyBorder="1" applyAlignment="1" applyProtection="1">
      <alignment horizontal="center" vertical="center"/>
    </xf>
    <xf numFmtId="0" fontId="25" fillId="0" borderId="0" xfId="0" applyFont="1">
      <alignment vertical="center"/>
    </xf>
    <xf numFmtId="0" fontId="25" fillId="0" borderId="0" xfId="0" applyFont="1" applyAlignment="1">
      <alignment horizontal="center" vertical="center"/>
    </xf>
    <xf numFmtId="14" fontId="25" fillId="0" borderId="0" xfId="0" applyNumberFormat="1" applyFont="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vertical="top" wrapText="1"/>
    </xf>
    <xf numFmtId="14" fontId="25" fillId="0" borderId="1" xfId="0" applyNumberFormat="1" applyFont="1" applyBorder="1" applyAlignment="1">
      <alignment horizontal="center" vertical="top" wrapText="1"/>
    </xf>
    <xf numFmtId="180" fontId="25" fillId="0" borderId="1" xfId="0" applyNumberFormat="1" applyFont="1" applyBorder="1" applyAlignment="1">
      <alignment vertical="top" wrapText="1"/>
    </xf>
    <xf numFmtId="0" fontId="25" fillId="0" borderId="0" xfId="0" applyFont="1" applyAlignment="1">
      <alignment vertical="top" wrapText="1"/>
    </xf>
    <xf numFmtId="0" fontId="13" fillId="0" borderId="0" xfId="0" applyFont="1" applyAlignment="1" applyProtection="1">
      <alignment horizontal="center" vertical="center"/>
    </xf>
    <xf numFmtId="0" fontId="9" fillId="0" borderId="0" xfId="0" applyFont="1" applyAlignment="1" applyProtection="1">
      <alignment vertical="center" shrinkToFit="1"/>
    </xf>
    <xf numFmtId="0" fontId="9" fillId="0" borderId="0" xfId="0" applyFont="1" applyAlignment="1" applyProtection="1">
      <alignment vertical="center" wrapText="1"/>
    </xf>
    <xf numFmtId="0" fontId="9" fillId="0" borderId="0" xfId="0" applyFont="1" applyAlignment="1">
      <alignment horizontal="right" vertical="center"/>
    </xf>
    <xf numFmtId="0" fontId="9" fillId="0" borderId="0" xfId="0" applyFont="1" applyBorder="1" applyAlignment="1" applyProtection="1">
      <alignment vertical="center" wrapText="1"/>
    </xf>
    <xf numFmtId="184" fontId="9" fillId="0" borderId="0" xfId="0" applyNumberFormat="1" applyFont="1" applyBorder="1" applyAlignment="1" applyProtection="1">
      <alignment vertical="center" shrinkToFit="1"/>
    </xf>
    <xf numFmtId="0" fontId="9" fillId="2" borderId="1" xfId="0" applyFont="1" applyFill="1" applyBorder="1" applyAlignment="1" applyProtection="1">
      <alignment horizontal="center" vertical="center" wrapText="1"/>
    </xf>
    <xf numFmtId="0" fontId="9" fillId="2" borderId="1" xfId="0" applyFont="1" applyFill="1" applyBorder="1" applyAlignment="1">
      <alignment horizontal="center" vertical="center"/>
    </xf>
    <xf numFmtId="0" fontId="9" fillId="0" borderId="0" xfId="0" applyFont="1" applyAlignment="1">
      <alignment vertical="center" shrinkToFit="1"/>
    </xf>
    <xf numFmtId="0" fontId="9" fillId="2" borderId="1" xfId="0" applyFont="1" applyFill="1" applyBorder="1" applyAlignment="1">
      <alignment horizontal="center" vertical="center" shrinkToFit="1"/>
    </xf>
    <xf numFmtId="0" fontId="9" fillId="0" borderId="1" xfId="0" applyFont="1" applyBorder="1" applyAlignment="1">
      <alignment vertical="center" shrinkToFit="1"/>
    </xf>
    <xf numFmtId="0" fontId="13" fillId="0" borderId="0" xfId="0" applyFont="1" applyAlignment="1" applyProtection="1">
      <alignment vertical="center"/>
    </xf>
    <xf numFmtId="0" fontId="24" fillId="0" borderId="0" xfId="0" applyFont="1" applyAlignment="1" applyProtection="1">
      <alignment vertical="center"/>
    </xf>
    <xf numFmtId="0" fontId="13" fillId="0" borderId="0" xfId="0" applyFont="1" applyAlignment="1" applyProtection="1">
      <alignment vertical="center" shrinkToFit="1"/>
    </xf>
    <xf numFmtId="0" fontId="13" fillId="0" borderId="0" xfId="0" applyFont="1" applyAlignment="1" applyProtection="1">
      <alignment vertical="center" wrapText="1"/>
    </xf>
    <xf numFmtId="0" fontId="13" fillId="0" borderId="0" xfId="0" applyFont="1" applyProtection="1">
      <alignment vertical="center"/>
    </xf>
    <xf numFmtId="0" fontId="13" fillId="0" borderId="0" xfId="0" applyFont="1">
      <alignment vertical="center"/>
    </xf>
    <xf numFmtId="0" fontId="13" fillId="7" borderId="1" xfId="0" applyFont="1" applyFill="1" applyBorder="1" applyAlignment="1" applyProtection="1">
      <alignment horizontal="center" vertical="center" shrinkToFit="1"/>
    </xf>
    <xf numFmtId="180" fontId="22" fillId="0" borderId="1" xfId="0" applyNumberFormat="1" applyFont="1" applyBorder="1" applyProtection="1">
      <alignment vertical="center"/>
    </xf>
    <xf numFmtId="0" fontId="13" fillId="0" borderId="1" xfId="0" applyFont="1" applyBorder="1" applyAlignment="1" applyProtection="1">
      <alignment horizontal="center" vertical="center" shrinkToFit="1"/>
    </xf>
    <xf numFmtId="180" fontId="22" fillId="0" borderId="1" xfId="0" applyNumberFormat="1" applyFont="1" applyBorder="1" applyAlignment="1" applyProtection="1">
      <alignment vertical="center" shrinkToFit="1"/>
    </xf>
    <xf numFmtId="186" fontId="23" fillId="0" borderId="1" xfId="0" applyNumberFormat="1" applyFont="1" applyBorder="1" applyAlignment="1">
      <alignment horizontal="right" vertical="center" shrinkToFit="1"/>
    </xf>
    <xf numFmtId="186" fontId="23" fillId="0" borderId="1" xfId="0" applyNumberFormat="1" applyFont="1" applyBorder="1" applyAlignment="1" applyProtection="1">
      <alignment horizontal="right" vertical="center" shrinkToFit="1"/>
    </xf>
    <xf numFmtId="0" fontId="9" fillId="0" borderId="0" xfId="0" applyFont="1" applyAlignment="1">
      <alignment vertical="center" wrapText="1"/>
    </xf>
    <xf numFmtId="0" fontId="13" fillId="0" borderId="0" xfId="0" applyFont="1" applyAlignment="1">
      <alignment horizontal="right" vertical="center"/>
    </xf>
    <xf numFmtId="0" fontId="13" fillId="0" borderId="1" xfId="0" applyFont="1" applyBorder="1" applyAlignment="1" applyProtection="1">
      <alignment horizontal="center" vertical="center"/>
    </xf>
    <xf numFmtId="0" fontId="13" fillId="0" borderId="1" xfId="0" applyFont="1" applyBorder="1" applyAlignment="1">
      <alignment vertical="center"/>
    </xf>
    <xf numFmtId="0" fontId="13" fillId="0" borderId="1" xfId="0" applyFont="1" applyBorder="1">
      <alignment vertical="center"/>
    </xf>
    <xf numFmtId="0" fontId="13" fillId="0" borderId="1" xfId="0" applyFont="1" applyBorder="1" applyAlignment="1" applyProtection="1">
      <alignment vertical="center" wrapText="1"/>
    </xf>
    <xf numFmtId="184" fontId="13" fillId="0" borderId="1" xfId="0" applyNumberFormat="1" applyFont="1" applyBorder="1" applyAlignment="1" applyProtection="1">
      <alignment vertical="center" shrinkToFit="1"/>
    </xf>
    <xf numFmtId="0" fontId="13" fillId="0" borderId="0" xfId="0" applyFont="1" applyBorder="1" applyAlignment="1">
      <alignment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vertical="center" wrapText="1"/>
    </xf>
    <xf numFmtId="184" fontId="13" fillId="0" borderId="0" xfId="0" applyNumberFormat="1" applyFont="1" applyBorder="1" applyAlignment="1" applyProtection="1">
      <alignment vertical="center" shrinkToFit="1"/>
    </xf>
    <xf numFmtId="0" fontId="13" fillId="0" borderId="0" xfId="0" applyFont="1" applyFill="1" applyBorder="1">
      <alignment vertical="center"/>
    </xf>
    <xf numFmtId="0" fontId="13" fillId="0" borderId="0" xfId="0" applyFont="1" applyBorder="1" applyAlignment="1">
      <alignment horizontal="center" vertical="center"/>
    </xf>
    <xf numFmtId="0" fontId="13" fillId="2" borderId="1" xfId="0" applyFont="1" applyFill="1" applyBorder="1" applyAlignment="1" applyProtection="1">
      <alignment horizontal="center" vertical="center" shrinkToFit="1"/>
    </xf>
    <xf numFmtId="0" fontId="13" fillId="2" borderId="1" xfId="0" applyFont="1" applyFill="1" applyBorder="1" applyAlignment="1" applyProtection="1">
      <alignment horizontal="center" vertical="center" wrapText="1"/>
    </xf>
    <xf numFmtId="0" fontId="13" fillId="2" borderId="1" xfId="0" applyFont="1" applyFill="1" applyBorder="1" applyAlignment="1">
      <alignment horizontal="center" vertical="center"/>
    </xf>
    <xf numFmtId="0" fontId="13" fillId="0" borderId="24" xfId="0" applyFont="1" applyBorder="1" applyAlignment="1">
      <alignment horizontal="center" vertical="center"/>
    </xf>
    <xf numFmtId="3" fontId="13" fillId="0" borderId="0" xfId="0" applyNumberFormat="1" applyFont="1" applyProtection="1">
      <alignment vertical="center"/>
    </xf>
    <xf numFmtId="0" fontId="13" fillId="0" borderId="0" xfId="0" applyFont="1" applyAlignment="1" applyProtection="1">
      <alignment horizontal="center" vertical="center" shrinkToFit="1"/>
    </xf>
    <xf numFmtId="0" fontId="13" fillId="0" borderId="0" xfId="0" applyFont="1" applyAlignment="1" applyProtection="1">
      <alignment horizontal="left" vertical="center"/>
    </xf>
    <xf numFmtId="3" fontId="13" fillId="0" borderId="0" xfId="0" applyNumberFormat="1" applyFont="1" applyBorder="1" applyProtection="1">
      <alignment vertical="center"/>
    </xf>
    <xf numFmtId="0" fontId="13" fillId="0" borderId="0" xfId="0" applyFont="1" applyBorder="1" applyProtection="1">
      <alignment vertical="center"/>
    </xf>
    <xf numFmtId="0" fontId="13" fillId="0" borderId="3" xfId="0" applyFont="1" applyBorder="1" applyAlignment="1" applyProtection="1">
      <alignment horizontal="center" vertical="center" wrapText="1"/>
    </xf>
    <xf numFmtId="0" fontId="13" fillId="0" borderId="3" xfId="0" applyFont="1" applyBorder="1" applyAlignment="1" applyProtection="1">
      <alignment horizontal="center" vertical="center"/>
    </xf>
    <xf numFmtId="0" fontId="13" fillId="0" borderId="3" xfId="0" applyFont="1" applyBorder="1" applyAlignment="1" applyProtection="1">
      <alignment horizontal="right" vertical="center"/>
    </xf>
    <xf numFmtId="0" fontId="13" fillId="0" borderId="3" xfId="0" applyFont="1" applyBorder="1" applyAlignment="1" applyProtection="1">
      <alignment horizontal="right" vertical="center" wrapText="1"/>
    </xf>
    <xf numFmtId="0" fontId="13" fillId="0" borderId="1" xfId="0" applyFont="1" applyBorder="1" applyProtection="1">
      <alignment vertical="center"/>
    </xf>
    <xf numFmtId="0" fontId="13" fillId="0" borderId="3" xfId="0" applyFont="1" applyBorder="1" applyAlignment="1" applyProtection="1">
      <alignment horizontal="left" vertical="center"/>
    </xf>
    <xf numFmtId="0" fontId="13" fillId="0" borderId="1" xfId="0" applyNumberFormat="1" applyFont="1" applyBorder="1" applyAlignment="1" applyProtection="1">
      <alignment horizontal="center" vertical="center" shrinkToFit="1"/>
    </xf>
    <xf numFmtId="14" fontId="13" fillId="0" borderId="1" xfId="0" applyNumberFormat="1" applyFont="1" applyBorder="1" applyAlignment="1" applyProtection="1">
      <alignment horizontal="center" vertical="center" shrinkToFit="1"/>
    </xf>
    <xf numFmtId="14" fontId="13" fillId="0" borderId="0" xfId="0" applyNumberFormat="1" applyFont="1" applyBorder="1" applyProtection="1">
      <alignment vertical="center"/>
    </xf>
    <xf numFmtId="0" fontId="13" fillId="0" borderId="47" xfId="0" applyFont="1" applyBorder="1" applyAlignment="1" applyProtection="1">
      <alignment horizontal="center" vertical="center"/>
    </xf>
    <xf numFmtId="0" fontId="13" fillId="0" borderId="20" xfId="0" applyFont="1" applyBorder="1" applyAlignment="1" applyProtection="1">
      <alignment horizontal="left" vertical="center" wrapText="1"/>
    </xf>
    <xf numFmtId="180" fontId="13" fillId="0" borderId="26" xfId="0" applyNumberFormat="1" applyFont="1" applyBorder="1" applyAlignment="1" applyProtection="1">
      <alignment horizontal="center" vertical="center" shrinkToFit="1"/>
    </xf>
    <xf numFmtId="180" fontId="13" fillId="0" borderId="27" xfId="0" applyNumberFormat="1" applyFont="1" applyBorder="1" applyAlignment="1" applyProtection="1">
      <alignment horizontal="center" vertical="center" shrinkToFit="1"/>
    </xf>
    <xf numFmtId="0" fontId="13" fillId="0" borderId="0" xfId="0" applyFont="1" applyFill="1" applyBorder="1" applyAlignment="1" applyProtection="1">
      <alignment horizontal="center" vertical="center"/>
    </xf>
    <xf numFmtId="0" fontId="13" fillId="4" borderId="18" xfId="0" applyFont="1" applyFill="1" applyBorder="1" applyAlignment="1" applyProtection="1">
      <alignment horizontal="center" vertical="center" wrapText="1"/>
      <protection locked="0"/>
    </xf>
    <xf numFmtId="180" fontId="13" fillId="0" borderId="28" xfId="0" applyNumberFormat="1" applyFont="1" applyBorder="1" applyAlignment="1" applyProtection="1">
      <alignment horizontal="center" vertical="center" shrinkToFit="1"/>
    </xf>
    <xf numFmtId="180" fontId="13" fillId="0" borderId="29" xfId="0" applyNumberFormat="1" applyFont="1" applyBorder="1" applyAlignment="1" applyProtection="1">
      <alignment horizontal="center" vertical="center" shrinkToFit="1"/>
    </xf>
    <xf numFmtId="0" fontId="13" fillId="4" borderId="19" xfId="0" applyFont="1" applyFill="1" applyBorder="1" applyAlignment="1" applyProtection="1">
      <alignment horizontal="center" vertical="center" wrapText="1"/>
      <protection locked="0"/>
    </xf>
    <xf numFmtId="180" fontId="13" fillId="0" borderId="32" xfId="0" applyNumberFormat="1" applyFont="1" applyBorder="1" applyAlignment="1" applyProtection="1">
      <alignment horizontal="center" vertical="center" shrinkToFit="1"/>
    </xf>
    <xf numFmtId="180" fontId="13" fillId="0" borderId="33" xfId="0" applyNumberFormat="1" applyFont="1" applyBorder="1" applyAlignment="1" applyProtection="1">
      <alignment horizontal="center" vertical="center" shrinkToFit="1"/>
    </xf>
    <xf numFmtId="0" fontId="13" fillId="4" borderId="21" xfId="0" applyFont="1" applyFill="1" applyBorder="1" applyAlignment="1" applyProtection="1">
      <alignment horizontal="center" vertical="center" wrapText="1"/>
      <protection locked="0"/>
    </xf>
    <xf numFmtId="180" fontId="13" fillId="0" borderId="30" xfId="0" applyNumberFormat="1" applyFont="1" applyBorder="1" applyAlignment="1" applyProtection="1">
      <alignment horizontal="center" vertical="center" shrinkToFit="1"/>
    </xf>
    <xf numFmtId="180" fontId="13" fillId="0" borderId="31" xfId="0" applyNumberFormat="1" applyFont="1" applyBorder="1" applyAlignment="1" applyProtection="1">
      <alignment horizontal="center" vertical="center" shrinkToFit="1"/>
    </xf>
    <xf numFmtId="14" fontId="13" fillId="0" borderId="0" xfId="0" applyNumberFormat="1" applyFont="1" applyAlignment="1" applyProtection="1">
      <alignment horizontal="center" vertical="center" shrinkToFit="1"/>
    </xf>
    <xf numFmtId="0" fontId="13" fillId="4" borderId="20" xfId="0" applyFont="1" applyFill="1" applyBorder="1" applyAlignment="1" applyProtection="1">
      <alignment horizontal="center" vertical="center" wrapText="1"/>
      <protection locked="0"/>
    </xf>
    <xf numFmtId="0" fontId="13" fillId="4" borderId="54" xfId="0" applyFont="1" applyFill="1" applyBorder="1" applyAlignment="1" applyProtection="1">
      <alignment horizontal="center" vertical="center" wrapText="1"/>
      <protection locked="0"/>
    </xf>
    <xf numFmtId="180" fontId="13" fillId="0" borderId="55" xfId="0" applyNumberFormat="1" applyFont="1" applyBorder="1" applyAlignment="1" applyProtection="1">
      <alignment horizontal="center" vertical="center" shrinkToFit="1"/>
    </xf>
    <xf numFmtId="180" fontId="13" fillId="0" borderId="56" xfId="0" applyNumberFormat="1" applyFont="1" applyBorder="1" applyAlignment="1" applyProtection="1">
      <alignment horizontal="center" vertical="center" shrinkToFit="1"/>
    </xf>
    <xf numFmtId="0" fontId="13" fillId="0" borderId="15" xfId="0" applyFont="1" applyBorder="1" applyAlignment="1" applyProtection="1">
      <alignment horizontal="center" vertical="center" wrapText="1"/>
    </xf>
    <xf numFmtId="180" fontId="13" fillId="0" borderId="58" xfId="0" applyNumberFormat="1" applyFont="1" applyBorder="1" applyAlignment="1" applyProtection="1">
      <alignment horizontal="center" vertical="center" shrinkToFit="1"/>
    </xf>
    <xf numFmtId="180" fontId="13" fillId="0" borderId="59" xfId="0" applyNumberFormat="1" applyFont="1" applyBorder="1" applyAlignment="1" applyProtection="1">
      <alignment horizontal="center" vertical="center" shrinkToFit="1"/>
    </xf>
    <xf numFmtId="180" fontId="13" fillId="0" borderId="60" xfId="0" applyNumberFormat="1" applyFont="1" applyBorder="1" applyAlignment="1" applyProtection="1">
      <alignment horizontal="center" vertical="center" shrinkToFit="1"/>
    </xf>
    <xf numFmtId="180" fontId="13" fillId="0" borderId="61" xfId="0" applyNumberFormat="1" applyFont="1" applyBorder="1" applyAlignment="1" applyProtection="1">
      <alignment horizontal="center" vertical="center" shrinkToFit="1"/>
    </xf>
    <xf numFmtId="180" fontId="13" fillId="0" borderId="62" xfId="0" applyNumberFormat="1" applyFont="1" applyBorder="1" applyAlignment="1" applyProtection="1">
      <alignment horizontal="center" vertical="center" shrinkToFit="1"/>
    </xf>
    <xf numFmtId="180" fontId="13" fillId="0" borderId="63" xfId="0" applyNumberFormat="1" applyFont="1" applyBorder="1" applyAlignment="1" applyProtection="1">
      <alignment horizontal="center" vertical="center" shrinkToFit="1"/>
    </xf>
    <xf numFmtId="180" fontId="13" fillId="0" borderId="64" xfId="0" applyNumberFormat="1" applyFont="1" applyBorder="1" applyAlignment="1" applyProtection="1">
      <alignment horizontal="center" vertical="center" shrinkToFit="1"/>
    </xf>
    <xf numFmtId="180" fontId="13" fillId="0" borderId="67" xfId="0" applyNumberFormat="1" applyFont="1" applyBorder="1" applyAlignment="1" applyProtection="1">
      <alignment horizontal="center" vertical="center" shrinkToFit="1"/>
    </xf>
    <xf numFmtId="0" fontId="13" fillId="0" borderId="69" xfId="0" applyFont="1" applyFill="1" applyBorder="1" applyAlignment="1" applyProtection="1">
      <alignment horizontal="center" vertical="center"/>
    </xf>
    <xf numFmtId="180" fontId="13" fillId="0" borderId="38" xfId="0" applyNumberFormat="1" applyFont="1" applyBorder="1" applyAlignment="1" applyProtection="1">
      <alignment horizontal="center" vertical="center" shrinkToFit="1"/>
    </xf>
    <xf numFmtId="180" fontId="13" fillId="0" borderId="39" xfId="0" applyNumberFormat="1" applyFont="1" applyBorder="1" applyAlignment="1" applyProtection="1">
      <alignment horizontal="center" vertical="center" shrinkToFit="1"/>
    </xf>
    <xf numFmtId="180" fontId="13" fillId="0" borderId="72" xfId="0" applyNumberFormat="1" applyFont="1" applyBorder="1" applyAlignment="1" applyProtection="1">
      <alignment horizontal="center" vertical="center" shrinkToFit="1"/>
    </xf>
    <xf numFmtId="0" fontId="13" fillId="0" borderId="69" xfId="0" applyFont="1" applyBorder="1" applyAlignment="1" applyProtection="1">
      <alignment horizontal="center" vertical="center"/>
    </xf>
    <xf numFmtId="0" fontId="13" fillId="0" borderId="73" xfId="0" applyFont="1" applyBorder="1" applyAlignment="1" applyProtection="1">
      <alignment horizontal="center" vertical="center"/>
    </xf>
    <xf numFmtId="0" fontId="13" fillId="0" borderId="74" xfId="0" applyFont="1" applyBorder="1" applyProtection="1">
      <alignment vertical="center"/>
    </xf>
    <xf numFmtId="0" fontId="13" fillId="0" borderId="75" xfId="0" applyFont="1" applyBorder="1" applyProtection="1">
      <alignment vertical="center"/>
    </xf>
    <xf numFmtId="0" fontId="13" fillId="0" borderId="76" xfId="0" applyFont="1" applyBorder="1" applyAlignment="1" applyProtection="1">
      <alignment horizontal="center" vertical="center"/>
    </xf>
    <xf numFmtId="0" fontId="13" fillId="0" borderId="2" xfId="0" applyFont="1" applyFill="1" applyBorder="1" applyAlignment="1" applyProtection="1">
      <alignment horizontal="center" vertical="center" shrinkToFit="1"/>
    </xf>
    <xf numFmtId="180" fontId="13" fillId="0" borderId="41" xfId="0" applyNumberFormat="1" applyFont="1" applyBorder="1" applyAlignment="1" applyProtection="1">
      <alignment horizontal="center" vertical="center" shrinkToFit="1"/>
    </xf>
    <xf numFmtId="180" fontId="13" fillId="0" borderId="42" xfId="0" applyNumberFormat="1" applyFont="1" applyBorder="1" applyAlignment="1" applyProtection="1">
      <alignment horizontal="center" vertical="center" shrinkToFit="1"/>
    </xf>
    <xf numFmtId="180" fontId="13" fillId="0" borderId="77" xfId="0" applyNumberFormat="1" applyFont="1" applyBorder="1" applyAlignment="1" applyProtection="1">
      <alignment horizontal="center" vertical="center" shrinkToFit="1"/>
    </xf>
    <xf numFmtId="0" fontId="13" fillId="0" borderId="1" xfId="0" applyFont="1" applyFill="1" applyBorder="1" applyAlignment="1" applyProtection="1">
      <alignment horizontal="center" vertical="center" shrinkToFit="1"/>
    </xf>
    <xf numFmtId="181" fontId="13" fillId="0" borderId="57" xfId="0" applyNumberFormat="1" applyFont="1" applyFill="1" applyBorder="1" applyAlignment="1" applyProtection="1">
      <alignment vertical="top" wrapText="1"/>
    </xf>
    <xf numFmtId="180" fontId="13" fillId="0" borderId="57" xfId="0" applyNumberFormat="1" applyFont="1" applyBorder="1" applyAlignment="1" applyProtection="1">
      <alignment vertical="top" shrinkToFit="1"/>
    </xf>
    <xf numFmtId="181" fontId="13" fillId="0" borderId="20" xfId="0" applyNumberFormat="1" applyFont="1" applyFill="1" applyBorder="1" applyAlignment="1" applyProtection="1">
      <alignment vertical="top" wrapText="1"/>
    </xf>
    <xf numFmtId="180" fontId="13" fillId="0" borderId="20" xfId="0" applyNumberFormat="1" applyFont="1" applyBorder="1" applyAlignment="1" applyProtection="1">
      <alignment vertical="top" shrinkToFit="1"/>
    </xf>
    <xf numFmtId="180" fontId="13" fillId="0" borderId="2" xfId="0" applyNumberFormat="1" applyFont="1" applyBorder="1" applyAlignment="1" applyProtection="1">
      <alignment vertical="top" shrinkToFit="1"/>
    </xf>
    <xf numFmtId="181" fontId="13" fillId="0" borderId="1" xfId="0" applyNumberFormat="1" applyFont="1" applyBorder="1" applyAlignment="1" applyProtection="1">
      <alignment vertical="top" wrapText="1"/>
    </xf>
    <xf numFmtId="180" fontId="13" fillId="0" borderId="1" xfId="0" applyNumberFormat="1" applyFont="1" applyBorder="1" applyAlignment="1" applyProtection="1">
      <alignment vertical="top" shrinkToFit="1"/>
    </xf>
    <xf numFmtId="181" fontId="13" fillId="0" borderId="18" xfId="0" applyNumberFormat="1" applyFont="1" applyFill="1" applyBorder="1" applyAlignment="1" applyProtection="1">
      <alignment vertical="top" wrapText="1"/>
    </xf>
    <xf numFmtId="180" fontId="13" fillId="0" borderId="18" xfId="0" applyNumberFormat="1" applyFont="1" applyBorder="1" applyAlignment="1" applyProtection="1">
      <alignment vertical="top" shrinkToFit="1"/>
    </xf>
    <xf numFmtId="180" fontId="13" fillId="4" borderId="18" xfId="0" applyNumberFormat="1" applyFont="1" applyFill="1" applyBorder="1" applyAlignment="1" applyProtection="1">
      <alignment vertical="top" shrinkToFit="1"/>
      <protection locked="0"/>
    </xf>
    <xf numFmtId="181" fontId="13" fillId="0" borderId="21" xfId="0" applyNumberFormat="1" applyFont="1" applyFill="1" applyBorder="1" applyAlignment="1" applyProtection="1">
      <alignment vertical="top" wrapText="1"/>
    </xf>
    <xf numFmtId="180" fontId="13" fillId="0" borderId="21" xfId="0" applyNumberFormat="1" applyFont="1" applyBorder="1" applyAlignment="1" applyProtection="1">
      <alignment vertical="top" shrinkToFit="1"/>
    </xf>
    <xf numFmtId="180" fontId="13" fillId="4" borderId="21" xfId="0" applyNumberFormat="1" applyFont="1" applyFill="1" applyBorder="1" applyAlignment="1" applyProtection="1">
      <alignment vertical="top" shrinkToFit="1"/>
      <protection locked="0"/>
    </xf>
    <xf numFmtId="181" fontId="13" fillId="4" borderId="20" xfId="0" applyNumberFormat="1" applyFont="1" applyFill="1" applyBorder="1" applyAlignment="1" applyProtection="1">
      <alignment vertical="top" wrapText="1"/>
      <protection locked="0"/>
    </xf>
    <xf numFmtId="180" fontId="13" fillId="4" borderId="20" xfId="0" applyNumberFormat="1" applyFont="1" applyFill="1" applyBorder="1" applyAlignment="1" applyProtection="1">
      <alignment vertical="top" shrinkToFit="1"/>
      <protection locked="0"/>
    </xf>
    <xf numFmtId="181" fontId="13" fillId="4" borderId="21" xfId="0" applyNumberFormat="1" applyFont="1" applyFill="1" applyBorder="1" applyAlignment="1" applyProtection="1">
      <alignment vertical="top" wrapText="1"/>
      <protection locked="0"/>
    </xf>
    <xf numFmtId="180" fontId="13" fillId="0" borderId="19" xfId="0" applyNumberFormat="1" applyFont="1" applyBorder="1" applyAlignment="1" applyProtection="1">
      <alignment vertical="top" shrinkToFit="1"/>
    </xf>
    <xf numFmtId="181" fontId="13" fillId="4" borderId="19" xfId="0" applyNumberFormat="1" applyFont="1" applyFill="1" applyBorder="1" applyAlignment="1" applyProtection="1">
      <alignment vertical="top" wrapText="1"/>
      <protection locked="0"/>
    </xf>
    <xf numFmtId="180" fontId="13" fillId="4" borderId="19" xfId="0" applyNumberFormat="1" applyFont="1" applyFill="1" applyBorder="1" applyAlignment="1" applyProtection="1">
      <alignment vertical="top" shrinkToFit="1"/>
      <protection locked="0"/>
    </xf>
    <xf numFmtId="180" fontId="13" fillId="0" borderId="54" xfId="0" applyNumberFormat="1" applyFont="1" applyBorder="1" applyAlignment="1" applyProtection="1">
      <alignment vertical="top" shrinkToFit="1"/>
    </xf>
    <xf numFmtId="181" fontId="13" fillId="4" borderId="54" xfId="0" applyNumberFormat="1" applyFont="1" applyFill="1" applyBorder="1" applyAlignment="1" applyProtection="1">
      <alignment vertical="top" wrapText="1"/>
      <protection locked="0"/>
    </xf>
    <xf numFmtId="180" fontId="13" fillId="4" borderId="54" xfId="0" applyNumberFormat="1" applyFont="1" applyFill="1" applyBorder="1" applyAlignment="1" applyProtection="1">
      <alignment vertical="top" shrinkToFit="1"/>
      <protection locked="0"/>
    </xf>
    <xf numFmtId="3" fontId="13" fillId="0" borderId="69" xfId="0" applyNumberFormat="1" applyFont="1" applyFill="1" applyBorder="1" applyAlignment="1" applyProtection="1">
      <alignment vertical="top"/>
    </xf>
    <xf numFmtId="180" fontId="13" fillId="0" borderId="69" xfId="0" applyNumberFormat="1" applyFont="1" applyFill="1" applyBorder="1" applyAlignment="1" applyProtection="1">
      <alignment vertical="top" shrinkToFit="1"/>
    </xf>
    <xf numFmtId="180" fontId="13" fillId="0" borderId="51" xfId="0" applyNumberFormat="1" applyFont="1" applyFill="1" applyBorder="1" applyAlignment="1" applyProtection="1">
      <alignment vertical="top" shrinkToFit="1"/>
    </xf>
    <xf numFmtId="0" fontId="13" fillId="0" borderId="69" xfId="0" applyFont="1" applyFill="1" applyBorder="1" applyAlignment="1" applyProtection="1">
      <alignment vertical="top"/>
    </xf>
    <xf numFmtId="180" fontId="13" fillId="0" borderId="70" xfId="0" applyNumberFormat="1" applyFont="1" applyFill="1" applyBorder="1" applyAlignment="1" applyProtection="1">
      <alignment vertical="top" shrinkToFit="1"/>
    </xf>
    <xf numFmtId="180" fontId="13" fillId="0" borderId="51" xfId="0" applyNumberFormat="1" applyFont="1" applyBorder="1" applyAlignment="1" applyProtection="1">
      <alignment vertical="top" shrinkToFit="1"/>
    </xf>
    <xf numFmtId="181" fontId="13" fillId="0" borderId="2" xfId="0" applyNumberFormat="1" applyFont="1" applyFill="1" applyBorder="1" applyAlignment="1" applyProtection="1">
      <alignment vertical="top" wrapText="1"/>
    </xf>
    <xf numFmtId="0" fontId="13" fillId="0" borderId="75" xfId="0" applyFont="1" applyBorder="1" applyAlignment="1" applyProtection="1">
      <alignment vertical="top"/>
    </xf>
    <xf numFmtId="180" fontId="13" fillId="0" borderId="52" xfId="0" applyNumberFormat="1" applyFont="1" applyBorder="1" applyAlignment="1" applyProtection="1">
      <alignment vertical="top"/>
    </xf>
    <xf numFmtId="181" fontId="13" fillId="0" borderId="2" xfId="0" applyNumberFormat="1" applyFont="1" applyBorder="1" applyAlignment="1" applyProtection="1">
      <alignment vertical="top" wrapText="1"/>
    </xf>
    <xf numFmtId="181" fontId="13" fillId="0" borderId="18" xfId="0" applyNumberFormat="1" applyFont="1" applyBorder="1" applyAlignment="1" applyProtection="1">
      <alignment vertical="top" wrapText="1"/>
    </xf>
    <xf numFmtId="0" fontId="23" fillId="0" borderId="0" xfId="0" applyFont="1" applyProtection="1">
      <alignment vertical="center"/>
    </xf>
    <xf numFmtId="0" fontId="9" fillId="0" borderId="0" xfId="0" applyFont="1" applyAlignment="1">
      <alignment vertical="center"/>
    </xf>
    <xf numFmtId="0" fontId="9" fillId="0" borderId="0" xfId="0" applyFont="1" applyBorder="1" applyAlignment="1" applyProtection="1"/>
    <xf numFmtId="0" fontId="23" fillId="0" borderId="0" xfId="0" applyFont="1" applyBorder="1" applyAlignment="1" applyProtection="1">
      <alignment vertical="center"/>
    </xf>
    <xf numFmtId="0" fontId="23" fillId="0" borderId="0" xfId="0" applyFont="1" applyFill="1" applyBorder="1" applyAlignment="1" applyProtection="1">
      <alignment horizontal="center" vertical="center" shrinkToFit="1"/>
    </xf>
    <xf numFmtId="0" fontId="9" fillId="0" borderId="0" xfId="0" applyFont="1" applyBorder="1" applyAlignment="1" applyProtection="1">
      <alignment vertical="center"/>
    </xf>
    <xf numFmtId="0" fontId="23" fillId="0" borderId="0" xfId="0" applyFont="1" applyAlignment="1" applyProtection="1"/>
    <xf numFmtId="0" fontId="28" fillId="4" borderId="38" xfId="0" applyFont="1" applyFill="1" applyBorder="1" applyAlignment="1" applyProtection="1">
      <alignment horizontal="center" vertical="center"/>
      <protection locked="0"/>
    </xf>
    <xf numFmtId="0" fontId="28" fillId="4" borderId="39" xfId="0" applyFont="1" applyFill="1" applyBorder="1" applyAlignment="1" applyProtection="1">
      <alignment horizontal="center" vertical="center"/>
      <protection locked="0"/>
    </xf>
    <xf numFmtId="0" fontId="28" fillId="4" borderId="40" xfId="0" applyFont="1" applyFill="1" applyBorder="1" applyAlignment="1" applyProtection="1">
      <alignment horizontal="center" vertical="center"/>
      <protection locked="0"/>
    </xf>
    <xf numFmtId="0" fontId="23" fillId="4" borderId="41" xfId="0" applyFont="1" applyFill="1" applyBorder="1" applyAlignment="1" applyProtection="1">
      <alignment horizontal="center" vertical="center" shrinkToFit="1"/>
      <protection locked="0"/>
    </xf>
    <xf numFmtId="0" fontId="23" fillId="4" borderId="42" xfId="0" applyFont="1" applyFill="1" applyBorder="1" applyAlignment="1" applyProtection="1">
      <alignment horizontal="center" vertical="center" shrinkToFit="1"/>
      <protection locked="0"/>
    </xf>
    <xf numFmtId="0" fontId="23" fillId="4" borderId="43" xfId="0" applyFont="1" applyFill="1" applyBorder="1" applyAlignment="1" applyProtection="1">
      <alignment horizontal="center" vertical="center" shrinkToFit="1"/>
      <protection locked="0"/>
    </xf>
    <xf numFmtId="0" fontId="10" fillId="0" borderId="0" xfId="0" applyFont="1" applyAlignment="1">
      <alignment vertical="top" wrapText="1"/>
    </xf>
    <xf numFmtId="0" fontId="10" fillId="0" borderId="0" xfId="0" applyFont="1" applyAlignment="1">
      <alignment vertical="top"/>
    </xf>
    <xf numFmtId="0" fontId="10" fillId="0" borderId="0" xfId="0" applyFont="1" applyAlignment="1">
      <alignment horizontal="center" vertical="top"/>
    </xf>
    <xf numFmtId="0" fontId="10" fillId="0" borderId="0" xfId="0" applyFont="1" applyAlignment="1">
      <alignment horizontal="left" vertical="top" wrapText="1"/>
    </xf>
    <xf numFmtId="0" fontId="11" fillId="0" borderId="0" xfId="0" applyFont="1" applyAlignment="1">
      <alignment vertical="top"/>
    </xf>
    <xf numFmtId="0" fontId="35" fillId="0" borderId="0" xfId="0" applyFont="1" applyAlignment="1">
      <alignment vertical="top"/>
    </xf>
    <xf numFmtId="0" fontId="22" fillId="6" borderId="1" xfId="0" applyFont="1" applyFill="1" applyBorder="1" applyAlignment="1" applyProtection="1">
      <alignment horizontal="center" vertical="center"/>
    </xf>
    <xf numFmtId="181" fontId="13" fillId="4" borderId="18" xfId="0" applyNumberFormat="1" applyFont="1" applyFill="1" applyBorder="1" applyAlignment="1" applyProtection="1">
      <alignment vertical="top" wrapText="1"/>
      <protection locked="0"/>
    </xf>
    <xf numFmtId="181" fontId="13" fillId="0" borderId="54" xfId="0" applyNumberFormat="1" applyFont="1" applyFill="1" applyBorder="1" applyAlignment="1" applyProtection="1">
      <alignment vertical="top" wrapText="1"/>
    </xf>
    <xf numFmtId="0" fontId="13" fillId="0" borderId="15" xfId="0" applyFont="1" applyBorder="1" applyAlignment="1" applyProtection="1">
      <alignment horizontal="center" vertical="center" shrinkToFit="1"/>
    </xf>
    <xf numFmtId="0" fontId="13" fillId="0" borderId="20" xfId="0" applyFont="1" applyBorder="1" applyAlignment="1" applyProtection="1">
      <alignment horizontal="center" vertical="center" shrinkToFit="1"/>
    </xf>
    <xf numFmtId="0" fontId="13" fillId="0" borderId="18" xfId="0" applyFont="1" applyBorder="1" applyAlignment="1" applyProtection="1">
      <alignment horizontal="center" vertical="center" shrinkToFit="1"/>
    </xf>
    <xf numFmtId="0" fontId="13" fillId="0" borderId="21" xfId="0" applyFont="1" applyBorder="1" applyAlignment="1" applyProtection="1">
      <alignment horizontal="center" vertical="center" shrinkToFit="1"/>
    </xf>
    <xf numFmtId="0" fontId="13" fillId="0" borderId="19" xfId="0" applyFont="1" applyBorder="1" applyAlignment="1" applyProtection="1">
      <alignment horizontal="center" vertical="center" shrinkToFit="1"/>
    </xf>
    <xf numFmtId="0" fontId="13" fillId="0" borderId="54" xfId="0" applyFont="1" applyBorder="1" applyAlignment="1" applyProtection="1">
      <alignment horizontal="center" vertical="center" shrinkToFit="1"/>
    </xf>
    <xf numFmtId="0" fontId="13" fillId="0" borderId="69" xfId="0" applyFont="1" applyFill="1" applyBorder="1" applyAlignment="1" applyProtection="1">
      <alignment vertical="center" shrinkToFit="1"/>
    </xf>
    <xf numFmtId="0" fontId="13" fillId="0" borderId="78" xfId="0" applyFont="1" applyBorder="1" applyAlignment="1" applyProtection="1">
      <alignment horizontal="center" vertical="center" wrapText="1"/>
    </xf>
    <xf numFmtId="0" fontId="13" fillId="0" borderId="78" xfId="0" applyFont="1" applyFill="1" applyBorder="1" applyAlignment="1" applyProtection="1">
      <alignment horizontal="center" vertical="center" shrinkToFit="1"/>
    </xf>
    <xf numFmtId="181" fontId="13" fillId="0" borderId="78" xfId="0" applyNumberFormat="1" applyFont="1" applyBorder="1" applyAlignment="1" applyProtection="1">
      <alignment vertical="top" wrapText="1"/>
    </xf>
    <xf numFmtId="180" fontId="13" fillId="0" borderId="78" xfId="0" applyNumberFormat="1" applyFont="1" applyBorder="1" applyAlignment="1" applyProtection="1">
      <alignment vertical="top" shrinkToFit="1"/>
    </xf>
    <xf numFmtId="0" fontId="13" fillId="0" borderId="78" xfId="0" applyFont="1" applyBorder="1" applyAlignment="1" applyProtection="1">
      <alignment horizontal="center" vertical="center" shrinkToFit="1"/>
    </xf>
    <xf numFmtId="180" fontId="13" fillId="0" borderId="79" xfId="0" applyNumberFormat="1" applyFont="1" applyBorder="1" applyAlignment="1" applyProtection="1">
      <alignment horizontal="center" vertical="center" shrinkToFit="1"/>
    </xf>
    <xf numFmtId="180" fontId="13" fillId="0" borderId="80" xfId="0" applyNumberFormat="1" applyFont="1" applyBorder="1" applyAlignment="1" applyProtection="1">
      <alignment horizontal="center" vertical="center" shrinkToFit="1"/>
    </xf>
    <xf numFmtId="180" fontId="13" fillId="0" borderId="81" xfId="0" applyNumberFormat="1" applyFont="1" applyBorder="1" applyAlignment="1" applyProtection="1">
      <alignment horizontal="center" vertical="center" shrinkToFit="1"/>
    </xf>
    <xf numFmtId="181" fontId="13" fillId="0" borderId="2" xfId="0" applyNumberFormat="1" applyFont="1" applyFill="1" applyBorder="1" applyAlignment="1" applyProtection="1">
      <alignment vertical="top"/>
    </xf>
    <xf numFmtId="182" fontId="13" fillId="0" borderId="57" xfId="0" applyNumberFormat="1" applyFont="1" applyFill="1" applyBorder="1" applyAlignment="1" applyProtection="1">
      <alignment vertical="top" wrapText="1"/>
    </xf>
    <xf numFmtId="0" fontId="25" fillId="0" borderId="1" xfId="0" applyFont="1" applyBorder="1" applyAlignment="1">
      <alignment horizontal="center" vertical="center" shrinkToFit="1"/>
    </xf>
    <xf numFmtId="0" fontId="25" fillId="0" borderId="1" xfId="0" applyFont="1" applyBorder="1" applyAlignment="1">
      <alignment horizontal="left" vertical="top" wrapText="1"/>
    </xf>
    <xf numFmtId="0" fontId="25" fillId="0" borderId="0" xfId="0" applyFont="1" applyAlignment="1">
      <alignment horizontal="left" vertical="center"/>
    </xf>
    <xf numFmtId="0" fontId="13" fillId="0" borderId="7" xfId="0" applyFont="1" applyBorder="1" applyAlignment="1">
      <alignment horizontal="center" vertical="center"/>
    </xf>
    <xf numFmtId="0" fontId="13" fillId="0" borderId="0" xfId="0" applyFont="1" applyAlignment="1">
      <alignment vertical="center"/>
    </xf>
    <xf numFmtId="0" fontId="13" fillId="0" borderId="1" xfId="0" applyFont="1" applyBorder="1" applyAlignment="1">
      <alignment horizontal="center" vertical="center"/>
    </xf>
    <xf numFmtId="0" fontId="23" fillId="0" borderId="0" xfId="0" applyFont="1" applyAlignment="1" applyProtection="1">
      <alignment vertical="center"/>
    </xf>
    <xf numFmtId="0" fontId="13" fillId="0" borderId="0" xfId="0" applyFont="1" applyAlignment="1">
      <alignment horizontal="center" vertical="center"/>
    </xf>
    <xf numFmtId="0" fontId="13" fillId="0" borderId="0" xfId="0" applyFont="1" applyAlignment="1">
      <alignment vertical="center" shrinkToFit="1"/>
    </xf>
    <xf numFmtId="186" fontId="13" fillId="0" borderId="1" xfId="0" applyNumberFormat="1" applyFont="1" applyBorder="1" applyAlignment="1">
      <alignment horizontal="right" vertical="center" shrinkToFit="1"/>
    </xf>
    <xf numFmtId="0" fontId="13" fillId="0" borderId="0" xfId="0" applyFont="1" applyAlignment="1">
      <alignment vertical="center" wrapText="1"/>
    </xf>
    <xf numFmtId="181" fontId="13" fillId="0" borderId="2" xfId="0" applyNumberFormat="1" applyFont="1" applyBorder="1" applyAlignment="1" applyProtection="1">
      <alignment horizontal="right" vertical="center" shrinkToFit="1"/>
    </xf>
    <xf numFmtId="181" fontId="13" fillId="0" borderId="17" xfId="0" applyNumberFormat="1" applyFont="1" applyBorder="1" applyAlignment="1" applyProtection="1">
      <alignment horizontal="right" vertical="center" shrinkToFit="1"/>
    </xf>
    <xf numFmtId="0" fontId="13" fillId="2" borderId="1" xfId="0" applyFont="1" applyFill="1" applyBorder="1" applyAlignment="1">
      <alignment horizontal="center" vertical="center" shrinkToFit="1"/>
    </xf>
    <xf numFmtId="186" fontId="13" fillId="0" borderId="2" xfId="0" applyNumberFormat="1" applyFont="1" applyBorder="1" applyAlignment="1" applyProtection="1">
      <alignment horizontal="right" vertical="center" shrinkToFit="1"/>
    </xf>
    <xf numFmtId="186" fontId="13" fillId="0" borderId="17" xfId="0" applyNumberFormat="1" applyFont="1" applyBorder="1" applyAlignment="1" applyProtection="1">
      <alignment horizontal="right" vertical="center" shrinkToFit="1"/>
    </xf>
    <xf numFmtId="0" fontId="9" fillId="0" borderId="0" xfId="0" applyFont="1" applyBorder="1" applyAlignment="1">
      <alignment horizontal="center" vertical="center"/>
    </xf>
    <xf numFmtId="3" fontId="13" fillId="0" borderId="0" xfId="0" applyNumberFormat="1" applyFont="1" applyBorder="1" applyAlignment="1" applyProtection="1">
      <alignment vertical="center" shrinkToFit="1"/>
    </xf>
    <xf numFmtId="3" fontId="13" fillId="0" borderId="0" xfId="0" applyNumberFormat="1" applyFont="1" applyAlignment="1" applyProtection="1">
      <alignment vertical="center" shrinkToFit="1"/>
    </xf>
    <xf numFmtId="0" fontId="13" fillId="0" borderId="1" xfId="0" applyNumberFormat="1" applyFont="1" applyBorder="1" applyAlignment="1" applyProtection="1">
      <alignment vertical="center" shrinkToFit="1"/>
    </xf>
    <xf numFmtId="0" fontId="13" fillId="0" borderId="0" xfId="0" applyFont="1" applyProtection="1">
      <alignment vertical="center"/>
      <protection locked="0"/>
    </xf>
    <xf numFmtId="0" fontId="13" fillId="4" borderId="1" xfId="0" applyFont="1" applyFill="1" applyBorder="1" applyAlignment="1" applyProtection="1">
      <alignment vertical="center" shrinkToFit="1"/>
      <protection locked="0"/>
    </xf>
    <xf numFmtId="49" fontId="13" fillId="4" borderId="1" xfId="0" applyNumberFormat="1" applyFont="1" applyFill="1" applyBorder="1" applyAlignment="1" applyProtection="1">
      <alignment horizontal="left" vertical="center" shrinkToFit="1"/>
      <protection locked="0"/>
    </xf>
    <xf numFmtId="3" fontId="13" fillId="4" borderId="1" xfId="0" applyNumberFormat="1" applyFont="1" applyFill="1" applyBorder="1" applyProtection="1">
      <alignment vertical="center"/>
      <protection locked="0"/>
    </xf>
    <xf numFmtId="180" fontId="13" fillId="4" borderId="1" xfId="0" applyNumberFormat="1" applyFont="1" applyFill="1" applyBorder="1" applyProtection="1">
      <alignment vertical="center"/>
      <protection locked="0"/>
    </xf>
    <xf numFmtId="181" fontId="13" fillId="0" borderId="21" xfId="0" applyNumberFormat="1" applyFont="1" applyBorder="1" applyAlignment="1" applyProtection="1">
      <alignment vertical="top" wrapText="1"/>
    </xf>
    <xf numFmtId="182" fontId="13" fillId="0" borderId="1" xfId="0" applyNumberFormat="1" applyFont="1" applyFill="1" applyBorder="1" applyAlignment="1" applyProtection="1">
      <alignment vertical="top" wrapText="1"/>
    </xf>
    <xf numFmtId="0" fontId="13" fillId="0" borderId="7" xfId="0" applyFont="1" applyBorder="1" applyAlignment="1">
      <alignment horizontal="center" vertical="center"/>
    </xf>
    <xf numFmtId="0" fontId="13" fillId="0" borderId="22" xfId="0" applyFont="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9" fillId="0" borderId="0" xfId="0" applyFont="1" applyAlignment="1">
      <alignment horizontal="center" vertical="center"/>
    </xf>
    <xf numFmtId="0" fontId="13" fillId="6" borderId="1" xfId="0" applyFont="1" applyFill="1" applyBorder="1" applyAlignment="1" applyProtection="1">
      <alignment horizontal="center" vertical="center" wrapText="1"/>
    </xf>
    <xf numFmtId="0" fontId="13" fillId="6" borderId="1" xfId="0" applyFont="1" applyFill="1" applyBorder="1" applyAlignment="1" applyProtection="1">
      <alignment horizontal="center" vertical="center"/>
    </xf>
    <xf numFmtId="0" fontId="13" fillId="0" borderId="2" xfId="0" applyFont="1" applyBorder="1" applyAlignment="1" applyProtection="1">
      <alignment horizontal="center" vertical="center" wrapText="1"/>
    </xf>
    <xf numFmtId="0" fontId="13" fillId="0" borderId="0" xfId="0" applyFont="1" applyBorder="1" applyAlignment="1" applyProtection="1">
      <alignment horizontal="center" vertical="center" shrinkToFit="1"/>
    </xf>
    <xf numFmtId="0" fontId="8" fillId="0" borderId="1" xfId="2"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13" fillId="0" borderId="1" xfId="0" applyFont="1" applyBorder="1" applyAlignment="1" applyProtection="1">
      <alignment horizontal="center" vertical="center" shrinkToFit="1"/>
    </xf>
    <xf numFmtId="0" fontId="13" fillId="0" borderId="1" xfId="0" applyFont="1" applyBorder="1" applyAlignment="1" applyProtection="1">
      <alignment horizontal="center" vertical="center" wrapText="1"/>
    </xf>
    <xf numFmtId="0" fontId="13" fillId="0" borderId="1" xfId="0" applyFont="1" applyBorder="1" applyAlignment="1">
      <alignment horizontal="center" vertical="center"/>
    </xf>
    <xf numFmtId="0" fontId="13" fillId="0" borderId="2" xfId="0" applyFont="1" applyBorder="1" applyAlignment="1" applyProtection="1">
      <alignment horizontal="center" vertical="center" shrinkToFit="1"/>
    </xf>
    <xf numFmtId="0" fontId="13" fillId="0" borderId="17" xfId="0" applyFont="1" applyBorder="1" applyAlignment="1" applyProtection="1">
      <alignment horizontal="center" vertical="center" shrinkToFit="1"/>
    </xf>
    <xf numFmtId="0" fontId="13" fillId="0" borderId="0" xfId="0" applyFont="1" applyAlignment="1">
      <alignment vertical="center"/>
    </xf>
    <xf numFmtId="0" fontId="25" fillId="0" borderId="1" xfId="0" applyFont="1" applyBorder="1" applyAlignment="1">
      <alignment horizontal="center" vertical="center"/>
    </xf>
    <xf numFmtId="0" fontId="9"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pplyProtection="1">
      <alignment horizontal="left" vertical="center" wrapText="1"/>
    </xf>
    <xf numFmtId="0" fontId="26" fillId="0" borderId="1" xfId="2" applyFont="1" applyBorder="1" applyAlignment="1">
      <alignment horizontal="center" vertical="center"/>
    </xf>
    <xf numFmtId="0" fontId="26" fillId="0" borderId="0" xfId="2" applyFont="1" applyAlignment="1">
      <alignment vertical="center"/>
    </xf>
    <xf numFmtId="0" fontId="38" fillId="0" borderId="0" xfId="0" applyFont="1" applyBorder="1" applyAlignment="1">
      <alignment vertical="center" wrapText="1"/>
    </xf>
    <xf numFmtId="0" fontId="38" fillId="0" borderId="1" xfId="0" applyFont="1" applyBorder="1" applyAlignment="1">
      <alignment vertical="center" wrapText="1"/>
    </xf>
    <xf numFmtId="0" fontId="38" fillId="0" borderId="0" xfId="0" applyFont="1" applyAlignment="1">
      <alignment vertical="center" wrapText="1"/>
    </xf>
    <xf numFmtId="0" fontId="10" fillId="0" borderId="0" xfId="0" applyFont="1" applyAlignment="1">
      <alignment vertical="center" wrapText="1"/>
    </xf>
    <xf numFmtId="0" fontId="10" fillId="0" borderId="1" xfId="0" applyFont="1" applyBorder="1" applyAlignment="1">
      <alignment horizontal="center" vertical="center" wrapText="1" shrinkToFit="1"/>
    </xf>
    <xf numFmtId="38" fontId="38" fillId="0" borderId="6" xfId="5" applyFont="1" applyBorder="1" applyAlignment="1">
      <alignment horizontal="center" vertical="center" wrapText="1"/>
    </xf>
    <xf numFmtId="38" fontId="38" fillId="0" borderId="0" xfId="5" applyFont="1" applyBorder="1" applyAlignment="1">
      <alignment horizontal="center" vertical="center" wrapText="1"/>
    </xf>
    <xf numFmtId="0" fontId="38" fillId="0" borderId="1" xfId="0" applyFont="1" applyBorder="1" applyAlignment="1">
      <alignment horizontal="center" vertical="center" wrapText="1"/>
    </xf>
    <xf numFmtId="0" fontId="10" fillId="0" borderId="1" xfId="0" applyFont="1" applyBorder="1" applyAlignment="1">
      <alignment vertical="center" wrapText="1" shrinkToFit="1"/>
    </xf>
    <xf numFmtId="0" fontId="38" fillId="0" borderId="0" xfId="0" applyFont="1" applyBorder="1" applyAlignment="1">
      <alignment horizontal="left" vertical="center" wrapText="1" shrinkToFit="1"/>
    </xf>
    <xf numFmtId="0" fontId="10" fillId="0" borderId="40" xfId="0" applyFont="1" applyBorder="1" applyAlignment="1">
      <alignment horizontal="center" vertical="center" wrapText="1"/>
    </xf>
    <xf numFmtId="178" fontId="10" fillId="0" borderId="8" xfId="0" applyNumberFormat="1" applyFont="1" applyBorder="1" applyAlignment="1">
      <alignment horizontal="center" vertical="center" wrapText="1" shrinkToFit="1"/>
    </xf>
    <xf numFmtId="0" fontId="10" fillId="0" borderId="6" xfId="0" applyFont="1" applyBorder="1" applyAlignment="1">
      <alignment horizontal="center" vertical="center" wrapText="1"/>
    </xf>
    <xf numFmtId="177" fontId="10" fillId="0" borderId="7" xfId="0" applyNumberFormat="1" applyFont="1" applyFill="1" applyBorder="1" applyAlignment="1" applyProtection="1">
      <alignment horizontal="center" vertical="center" wrapText="1"/>
      <protection locked="0"/>
    </xf>
    <xf numFmtId="0" fontId="10" fillId="3" borderId="39" xfId="0" applyNumberFormat="1" applyFont="1" applyFill="1" applyBorder="1" applyAlignment="1" applyProtection="1">
      <alignment horizontal="center" vertical="center" wrapText="1"/>
      <protection locked="0"/>
    </xf>
    <xf numFmtId="177" fontId="10" fillId="0" borderId="8" xfId="0" applyNumberFormat="1" applyFont="1" applyFill="1" applyBorder="1" applyAlignment="1" applyProtection="1">
      <alignment horizontal="center" vertical="center" wrapText="1"/>
      <protection locked="0"/>
    </xf>
    <xf numFmtId="177" fontId="10" fillId="0" borderId="6" xfId="0" applyNumberFormat="1" applyFont="1" applyFill="1" applyBorder="1" applyAlignment="1" applyProtection="1">
      <alignment horizontal="center" vertical="center" wrapText="1"/>
      <protection locked="0"/>
    </xf>
    <xf numFmtId="0" fontId="38" fillId="0" borderId="0" xfId="0" applyNumberFormat="1" applyFont="1" applyAlignment="1">
      <alignment horizontal="center" vertical="center" wrapText="1"/>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0" xfId="0" applyFont="1" applyBorder="1" applyAlignment="1">
      <alignment horizontal="left" vertical="center" wrapText="1"/>
    </xf>
    <xf numFmtId="0" fontId="10" fillId="0" borderId="0" xfId="0" applyFont="1" applyBorder="1" applyAlignment="1">
      <alignment vertical="center" wrapText="1" shrinkToFit="1"/>
    </xf>
    <xf numFmtId="0" fontId="38" fillId="0" borderId="0" xfId="0" applyFont="1" applyBorder="1" applyAlignment="1">
      <alignment vertical="center" wrapText="1" shrinkToFit="1"/>
    </xf>
    <xf numFmtId="0" fontId="38"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Fill="1" applyBorder="1" applyAlignment="1">
      <alignment vertical="top" wrapText="1" shrinkToFit="1"/>
    </xf>
    <xf numFmtId="0" fontId="38" fillId="0" borderId="0" xfId="0" applyFont="1" applyAlignment="1">
      <alignment vertical="top"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38" fillId="0" borderId="0" xfId="0" applyFont="1" applyAlignment="1">
      <alignment horizontal="left" vertical="center" wrapText="1"/>
    </xf>
    <xf numFmtId="0" fontId="10" fillId="0" borderId="1" xfId="0" applyFont="1" applyBorder="1" applyAlignment="1">
      <alignment vertical="center" shrinkToFit="1"/>
    </xf>
    <xf numFmtId="0" fontId="38" fillId="0" borderId="0" xfId="0" applyFont="1" applyAlignment="1" applyProtection="1">
      <alignment vertical="center" wrapText="1"/>
      <protection locked="0"/>
    </xf>
    <xf numFmtId="178" fontId="10" fillId="3" borderId="39" xfId="0" applyNumberFormat="1" applyFont="1" applyFill="1" applyBorder="1" applyAlignment="1" applyProtection="1">
      <alignment horizontal="center" vertical="center" wrapText="1" shrinkToFit="1"/>
      <protection locked="0"/>
    </xf>
    <xf numFmtId="0" fontId="9" fillId="0" borderId="0" xfId="0" applyFont="1" applyAlignment="1" applyProtection="1"/>
    <xf numFmtId="0" fontId="13" fillId="0" borderId="0" xfId="0" applyFont="1" applyAlignment="1" applyProtection="1">
      <alignment horizontal="center"/>
    </xf>
    <xf numFmtId="0" fontId="17" fillId="0" borderId="0" xfId="0" applyFont="1" applyAlignment="1" applyProtection="1">
      <alignment horizontal="left"/>
    </xf>
    <xf numFmtId="0" fontId="22" fillId="0" borderId="1" xfId="0" applyFont="1" applyBorder="1" applyAlignment="1" applyProtection="1">
      <alignment horizontal="center"/>
    </xf>
    <xf numFmtId="0" fontId="22" fillId="0" borderId="1" xfId="0" applyFont="1" applyBorder="1" applyAlignment="1" applyProtection="1">
      <alignment horizontal="center" vertical="center"/>
    </xf>
    <xf numFmtId="0" fontId="23" fillId="0" borderId="8" xfId="0" applyFont="1" applyBorder="1" applyAlignment="1" applyProtection="1">
      <alignment vertical="center" shrinkToFit="1"/>
    </xf>
    <xf numFmtId="0" fontId="22" fillId="0" borderId="1" xfId="0" applyFont="1" applyBorder="1" applyAlignment="1" applyProtection="1">
      <alignment horizontal="left" vertical="center" shrinkToFit="1"/>
    </xf>
    <xf numFmtId="0" fontId="26" fillId="0" borderId="1" xfId="0" applyFont="1" applyBorder="1" applyAlignment="1" applyProtection="1"/>
    <xf numFmtId="0" fontId="9" fillId="0" borderId="1" xfId="0" applyFont="1" applyBorder="1" applyAlignment="1" applyProtection="1"/>
    <xf numFmtId="0" fontId="20" fillId="0" borderId="0" xfId="0" applyFont="1" applyAlignment="1" applyProtection="1"/>
    <xf numFmtId="3" fontId="9" fillId="0" borderId="0" xfId="0" applyNumberFormat="1" applyFont="1" applyProtection="1">
      <alignment vertical="center"/>
    </xf>
    <xf numFmtId="0" fontId="9" fillId="0" borderId="0" xfId="0" applyFont="1" applyBorder="1" applyProtection="1">
      <alignment vertical="center"/>
    </xf>
    <xf numFmtId="0" fontId="9" fillId="0" borderId="5" xfId="0" applyFont="1" applyBorder="1" applyAlignment="1" applyProtection="1">
      <alignment horizontal="center" vertical="center"/>
    </xf>
    <xf numFmtId="177" fontId="9" fillId="0" borderId="5" xfId="0" applyNumberFormat="1" applyFont="1" applyFill="1" applyBorder="1" applyAlignment="1" applyProtection="1">
      <alignment vertical="center"/>
    </xf>
    <xf numFmtId="3" fontId="9" fillId="0" borderId="0" xfId="0" applyNumberFormat="1" applyFont="1" applyAlignment="1" applyProtection="1">
      <alignment vertical="center"/>
    </xf>
    <xf numFmtId="0" fontId="9" fillId="0" borderId="2" xfId="0" applyFont="1" applyBorder="1" applyAlignment="1" applyProtection="1">
      <alignment vertical="center"/>
    </xf>
    <xf numFmtId="0" fontId="9" fillId="0" borderId="2" xfId="0" applyFont="1" applyBorder="1" applyAlignment="1" applyProtection="1">
      <alignment horizontal="right" vertical="center"/>
    </xf>
    <xf numFmtId="0" fontId="9" fillId="0" borderId="2" xfId="0" applyFont="1" applyBorder="1" applyAlignment="1" applyProtection="1">
      <alignment horizontal="center" vertical="center"/>
    </xf>
    <xf numFmtId="3" fontId="9" fillId="0" borderId="0" xfId="0" applyNumberFormat="1" applyFont="1" applyBorder="1" applyProtection="1">
      <alignment vertical="center"/>
    </xf>
    <xf numFmtId="0" fontId="13" fillId="0" borderId="57" xfId="0" applyFont="1" applyFill="1" applyBorder="1" applyAlignment="1" applyProtection="1">
      <alignment horizontal="center" vertical="center" shrinkToFit="1"/>
    </xf>
    <xf numFmtId="180" fontId="13" fillId="0" borderId="57" xfId="0" applyNumberFormat="1" applyFont="1" applyFill="1" applyBorder="1" applyAlignment="1" applyProtection="1">
      <alignment vertical="top" shrinkToFit="1"/>
    </xf>
    <xf numFmtId="180" fontId="13" fillId="0" borderId="20" xfId="0" applyNumberFormat="1" applyFont="1" applyFill="1" applyBorder="1" applyAlignment="1" applyProtection="1">
      <alignment vertical="top" shrinkToFit="1"/>
    </xf>
    <xf numFmtId="185" fontId="13" fillId="0" borderId="2" xfId="0" applyNumberFormat="1" applyFont="1" applyFill="1" applyBorder="1" applyAlignment="1" applyProtection="1">
      <alignment horizontal="right" vertical="top" wrapText="1" shrinkToFit="1"/>
    </xf>
    <xf numFmtId="181" fontId="13" fillId="0" borderId="1" xfId="0" applyNumberFormat="1" applyFont="1" applyFill="1" applyBorder="1" applyAlignment="1" applyProtection="1">
      <alignment vertical="top" wrapText="1"/>
    </xf>
    <xf numFmtId="180" fontId="13" fillId="0" borderId="21" xfId="0" applyNumberFormat="1" applyFont="1" applyFill="1" applyBorder="1" applyAlignment="1" applyProtection="1">
      <alignment vertical="top" shrinkToFit="1"/>
    </xf>
    <xf numFmtId="181" fontId="13" fillId="0" borderId="78" xfId="0" applyNumberFormat="1" applyFont="1" applyFill="1" applyBorder="1" applyAlignment="1" applyProtection="1">
      <alignment vertical="top" wrapText="1"/>
    </xf>
    <xf numFmtId="3" fontId="13" fillId="4" borderId="59" xfId="0" applyNumberFormat="1" applyFont="1" applyFill="1" applyBorder="1" applyAlignment="1" applyProtection="1">
      <alignment horizontal="center" vertical="center" shrinkToFit="1"/>
      <protection locked="0"/>
    </xf>
    <xf numFmtId="3" fontId="13" fillId="4" borderId="42" xfId="0" applyNumberFormat="1" applyFont="1" applyFill="1" applyBorder="1" applyAlignment="1" applyProtection="1">
      <alignment horizontal="center" vertical="center" shrinkToFit="1"/>
      <protection locked="0"/>
    </xf>
    <xf numFmtId="3" fontId="13" fillId="4" borderId="39" xfId="0" applyNumberFormat="1" applyFont="1" applyFill="1" applyBorder="1" applyAlignment="1" applyProtection="1">
      <alignment horizontal="center" vertical="center" shrinkToFit="1"/>
      <protection locked="0"/>
    </xf>
    <xf numFmtId="3" fontId="13" fillId="4" borderId="80" xfId="0" applyNumberFormat="1" applyFont="1" applyFill="1" applyBorder="1" applyAlignment="1" applyProtection="1">
      <alignment horizontal="center" vertical="center" shrinkToFit="1"/>
      <protection locked="0"/>
    </xf>
    <xf numFmtId="3" fontId="13" fillId="4" borderId="27" xfId="0" applyNumberFormat="1" applyFont="1" applyFill="1" applyBorder="1" applyAlignment="1" applyProtection="1">
      <alignment horizontal="center" vertical="center" shrinkToFit="1"/>
      <protection locked="0"/>
    </xf>
    <xf numFmtId="3" fontId="13" fillId="4" borderId="29" xfId="0" applyNumberFormat="1" applyFont="1" applyFill="1" applyBorder="1" applyAlignment="1" applyProtection="1">
      <alignment horizontal="center" vertical="center" shrinkToFit="1"/>
      <protection locked="0"/>
    </xf>
    <xf numFmtId="3" fontId="13" fillId="4" borderId="33" xfId="0" applyNumberFormat="1" applyFont="1" applyFill="1" applyBorder="1" applyAlignment="1" applyProtection="1">
      <alignment horizontal="center" vertical="center" shrinkToFit="1"/>
      <protection locked="0"/>
    </xf>
    <xf numFmtId="3" fontId="13" fillId="4" borderId="31" xfId="0" applyNumberFormat="1" applyFont="1" applyFill="1" applyBorder="1" applyAlignment="1" applyProtection="1">
      <alignment horizontal="center" vertical="center" shrinkToFit="1"/>
      <protection locked="0"/>
    </xf>
    <xf numFmtId="3" fontId="13" fillId="4" borderId="56" xfId="0" applyNumberFormat="1" applyFont="1" applyFill="1" applyBorder="1" applyAlignment="1" applyProtection="1">
      <alignment horizontal="center" vertical="center" shrinkToFit="1"/>
      <protection locked="0"/>
    </xf>
    <xf numFmtId="0" fontId="22" fillId="4" borderId="1" xfId="0" applyFont="1" applyFill="1" applyBorder="1" applyAlignment="1" applyProtection="1">
      <alignment horizontal="center" vertical="center" shrinkToFit="1"/>
      <protection locked="0"/>
    </xf>
    <xf numFmtId="0" fontId="13" fillId="4" borderId="1" xfId="0" applyFont="1" applyFill="1" applyBorder="1" applyAlignment="1" applyProtection="1">
      <alignment horizontal="center" vertical="center" shrinkToFit="1"/>
      <protection locked="0"/>
    </xf>
    <xf numFmtId="3" fontId="13" fillId="4" borderId="1" xfId="0" applyNumberFormat="1" applyFont="1" applyFill="1" applyBorder="1" applyAlignment="1" applyProtection="1">
      <alignment horizontal="center" vertical="center" shrinkToFit="1"/>
      <protection locked="0"/>
    </xf>
    <xf numFmtId="180" fontId="13" fillId="4" borderId="1" xfId="0" applyNumberFormat="1" applyFont="1" applyFill="1" applyBorder="1" applyAlignment="1" applyProtection="1">
      <alignment horizontal="right" vertical="center" shrinkToFit="1"/>
      <protection locked="0"/>
    </xf>
    <xf numFmtId="180" fontId="22" fillId="4" borderId="1" xfId="0" applyNumberFormat="1" applyFont="1" applyFill="1" applyBorder="1" applyAlignment="1" applyProtection="1">
      <alignment horizontal="center" vertical="center" shrinkToFit="1"/>
      <protection locked="0"/>
    </xf>
    <xf numFmtId="181" fontId="22" fillId="4" borderId="1" xfId="0" applyNumberFormat="1" applyFont="1" applyFill="1" applyBorder="1" applyAlignment="1" applyProtection="1">
      <alignment horizontal="right" vertical="center" shrinkToFit="1"/>
      <protection locked="0"/>
    </xf>
    <xf numFmtId="183" fontId="13" fillId="4" borderId="1" xfId="0" applyNumberFormat="1" applyFont="1" applyFill="1" applyBorder="1" applyAlignment="1" applyProtection="1">
      <alignment vertical="center" shrinkToFit="1"/>
      <protection locked="0"/>
    </xf>
    <xf numFmtId="184" fontId="13" fillId="4" borderId="1" xfId="0" applyNumberFormat="1" applyFont="1" applyFill="1" applyBorder="1" applyAlignment="1" applyProtection="1">
      <alignment vertical="center" shrinkToFit="1"/>
      <protection locked="0"/>
    </xf>
    <xf numFmtId="0" fontId="24" fillId="0" borderId="0" xfId="0" applyFont="1" applyProtection="1">
      <alignment vertical="center"/>
    </xf>
    <xf numFmtId="0" fontId="7" fillId="0" borderId="14" xfId="0" applyFont="1" applyBorder="1" applyAlignment="1" applyProtection="1">
      <alignment vertical="center"/>
    </xf>
    <xf numFmtId="0" fontId="7" fillId="0" borderId="0" xfId="0" applyFont="1" applyBorder="1" applyAlignment="1" applyProtection="1">
      <alignment vertical="center"/>
    </xf>
    <xf numFmtId="180" fontId="13" fillId="0" borderId="0" xfId="0" applyNumberFormat="1" applyFont="1" applyBorder="1" applyAlignment="1" applyProtection="1">
      <alignment horizontal="center" vertical="center"/>
    </xf>
    <xf numFmtId="0" fontId="13" fillId="0" borderId="1" xfId="0" applyFont="1" applyBorder="1" applyAlignment="1" applyProtection="1">
      <alignment vertical="center" shrinkToFit="1"/>
    </xf>
    <xf numFmtId="0" fontId="13" fillId="0" borderId="0" xfId="0" applyFont="1" applyBorder="1" applyAlignment="1" applyProtection="1">
      <alignment vertical="center"/>
    </xf>
    <xf numFmtId="0" fontId="13" fillId="0" borderId="0" xfId="0" applyFont="1" applyFill="1" applyBorder="1" applyAlignment="1" applyProtection="1">
      <alignment vertical="center"/>
    </xf>
    <xf numFmtId="0" fontId="0" fillId="0" borderId="0" xfId="0" applyBorder="1" applyAlignment="1" applyProtection="1">
      <alignment vertical="center"/>
    </xf>
    <xf numFmtId="189" fontId="13" fillId="0" borderId="1" xfId="0" applyNumberFormat="1" applyFont="1" applyBorder="1" applyAlignment="1" applyProtection="1">
      <alignment horizontal="center" vertical="center"/>
    </xf>
    <xf numFmtId="0" fontId="10" fillId="0" borderId="82" xfId="0" applyFont="1" applyBorder="1" applyAlignment="1" applyProtection="1">
      <alignment vertical="top"/>
      <protection locked="0"/>
    </xf>
    <xf numFmtId="0" fontId="10" fillId="0" borderId="83" xfId="0" applyFont="1" applyBorder="1" applyAlignment="1" applyProtection="1">
      <alignment vertical="top"/>
      <protection locked="0"/>
    </xf>
    <xf numFmtId="0" fontId="10" fillId="0" borderId="84" xfId="0" applyFont="1" applyBorder="1" applyAlignment="1" applyProtection="1">
      <alignment vertical="top"/>
      <protection locked="0"/>
    </xf>
    <xf numFmtId="0" fontId="10" fillId="0" borderId="85" xfId="0" applyFont="1" applyBorder="1" applyAlignment="1" applyProtection="1">
      <alignment vertical="top"/>
      <protection locked="0"/>
    </xf>
    <xf numFmtId="0" fontId="10" fillId="0" borderId="0" xfId="0" applyFont="1" applyBorder="1" applyAlignment="1" applyProtection="1">
      <alignment vertical="top"/>
      <protection locked="0"/>
    </xf>
    <xf numFmtId="0" fontId="10" fillId="0" borderId="86" xfId="0" applyFont="1" applyBorder="1" applyAlignment="1" applyProtection="1">
      <alignment vertical="top"/>
      <protection locked="0"/>
    </xf>
    <xf numFmtId="0" fontId="10" fillId="0" borderId="87" xfId="0" applyFont="1" applyBorder="1" applyAlignment="1" applyProtection="1">
      <alignment vertical="top"/>
      <protection locked="0"/>
    </xf>
    <xf numFmtId="0" fontId="10" fillId="0" borderId="88" xfId="0" applyFont="1" applyBorder="1" applyAlignment="1" applyProtection="1">
      <alignment vertical="top"/>
      <protection locked="0"/>
    </xf>
    <xf numFmtId="0" fontId="10" fillId="0" borderId="89" xfId="0" applyFont="1" applyBorder="1" applyAlignment="1" applyProtection="1">
      <alignment vertical="top"/>
      <protection locked="0"/>
    </xf>
    <xf numFmtId="0" fontId="12" fillId="0" borderId="0" xfId="0" applyFont="1" applyAlignment="1" applyProtection="1">
      <alignment horizontal="center" vertical="top"/>
      <protection locked="0"/>
    </xf>
    <xf numFmtId="0" fontId="12" fillId="0" borderId="86" xfId="0" applyFont="1" applyBorder="1" applyAlignment="1" applyProtection="1">
      <alignment horizontal="center" vertical="top"/>
      <protection locked="0"/>
    </xf>
    <xf numFmtId="0" fontId="12" fillId="0" borderId="85" xfId="0" applyFont="1" applyBorder="1" applyAlignment="1" applyProtection="1">
      <alignment horizontal="center" vertical="top"/>
      <protection locked="0"/>
    </xf>
    <xf numFmtId="180" fontId="13" fillId="0" borderId="20" xfId="0" applyNumberFormat="1" applyFont="1" applyBorder="1" applyAlignment="1" applyProtection="1">
      <alignment vertical="top" shrinkToFit="1"/>
      <protection locked="0"/>
    </xf>
    <xf numFmtId="184" fontId="13" fillId="0" borderId="20" xfId="0" applyNumberFormat="1" applyFont="1" applyFill="1" applyBorder="1" applyAlignment="1" applyProtection="1">
      <alignment vertical="top" wrapText="1"/>
    </xf>
    <xf numFmtId="0" fontId="13" fillId="0" borderId="1" xfId="0" applyFont="1" applyBorder="1" applyAlignment="1" applyProtection="1">
      <alignment horizontal="center" vertical="center"/>
    </xf>
    <xf numFmtId="0" fontId="25" fillId="0" borderId="1" xfId="0" applyFont="1" applyBorder="1" applyAlignment="1">
      <alignment horizontal="center" vertical="center"/>
    </xf>
    <xf numFmtId="179" fontId="9" fillId="0" borderId="2" xfId="0" applyNumberFormat="1" applyFont="1" applyBorder="1" applyAlignment="1" applyProtection="1">
      <alignment vertical="top" shrinkToFit="1"/>
    </xf>
    <xf numFmtId="179" fontId="9" fillId="0" borderId="15" xfId="0" applyNumberFormat="1" applyFont="1" applyBorder="1" applyAlignment="1" applyProtection="1">
      <alignment vertical="top" shrinkToFit="1"/>
    </xf>
    <xf numFmtId="180" fontId="25" fillId="0" borderId="1" xfId="0" applyNumberFormat="1" applyFont="1" applyBorder="1">
      <alignment vertical="center"/>
    </xf>
    <xf numFmtId="191" fontId="10" fillId="0" borderId="6" xfId="0" applyNumberFormat="1" applyFont="1" applyBorder="1" applyAlignment="1" applyProtection="1">
      <alignment horizontal="center" vertical="center"/>
      <protection locked="0"/>
    </xf>
    <xf numFmtId="14" fontId="23" fillId="0" borderId="7" xfId="0" applyNumberFormat="1" applyFont="1" applyBorder="1" applyAlignment="1" applyProtection="1">
      <alignment horizontal="center" vertical="center" shrinkToFit="1"/>
    </xf>
    <xf numFmtId="0" fontId="23" fillId="0" borderId="1" xfId="0" applyFont="1" applyBorder="1" applyProtection="1">
      <alignment vertical="center"/>
    </xf>
    <xf numFmtId="3" fontId="23" fillId="0" borderId="1" xfId="0" applyNumberFormat="1" applyFont="1" applyBorder="1" applyProtection="1">
      <alignment vertical="center"/>
    </xf>
    <xf numFmtId="180" fontId="25" fillId="0" borderId="1" xfId="0" applyNumberFormat="1" applyFont="1" applyFill="1" applyBorder="1" applyAlignment="1">
      <alignment horizontal="center" vertical="center"/>
    </xf>
    <xf numFmtId="0" fontId="25" fillId="0" borderId="1" xfId="0" applyFont="1" applyBorder="1">
      <alignment vertical="center"/>
    </xf>
    <xf numFmtId="3" fontId="25" fillId="0" borderId="1" xfId="0" applyNumberFormat="1" applyFont="1" applyBorder="1">
      <alignment vertical="center"/>
    </xf>
    <xf numFmtId="0" fontId="38" fillId="0" borderId="0" xfId="0" applyNumberFormat="1" applyFont="1" applyAlignment="1">
      <alignment horizontal="right" vertical="center" wrapText="1"/>
    </xf>
    <xf numFmtId="0" fontId="9" fillId="6" borderId="13" xfId="0" applyFont="1" applyFill="1" applyBorder="1" applyAlignment="1" applyProtection="1">
      <alignment horizontal="center" vertical="center"/>
    </xf>
    <xf numFmtId="0" fontId="9" fillId="7" borderId="3" xfId="0" applyFont="1" applyFill="1" applyBorder="1" applyAlignment="1" applyProtection="1">
      <alignment horizontal="center" vertical="center"/>
    </xf>
    <xf numFmtId="179" fontId="9" fillId="7" borderId="3" xfId="0" applyNumberFormat="1" applyFont="1" applyFill="1" applyBorder="1" applyAlignment="1" applyProtection="1">
      <alignment vertical="center" shrinkToFit="1"/>
    </xf>
    <xf numFmtId="0" fontId="9" fillId="7" borderId="50" xfId="0" applyFont="1" applyFill="1" applyBorder="1" applyAlignment="1" applyProtection="1">
      <alignment horizontal="center" vertical="center" wrapText="1"/>
    </xf>
    <xf numFmtId="0" fontId="9" fillId="6" borderId="90" xfId="0" applyFont="1" applyFill="1" applyBorder="1" applyAlignment="1" applyProtection="1">
      <alignment horizontal="center" vertical="center"/>
    </xf>
    <xf numFmtId="0" fontId="9" fillId="7" borderId="91" xfId="0" applyFont="1" applyFill="1" applyBorder="1" applyAlignment="1" applyProtection="1">
      <alignment horizontal="center" vertical="center"/>
    </xf>
    <xf numFmtId="0" fontId="9" fillId="7" borderId="92" xfId="0" applyFont="1" applyFill="1" applyBorder="1" applyAlignment="1" applyProtection="1">
      <alignment horizontal="center" vertical="center" wrapText="1"/>
    </xf>
    <xf numFmtId="0" fontId="9" fillId="6" borderId="93" xfId="0" applyFont="1" applyFill="1" applyBorder="1" applyAlignment="1" applyProtection="1">
      <alignment horizontal="center" vertical="center"/>
    </xf>
    <xf numFmtId="0" fontId="9" fillId="7" borderId="94" xfId="0" applyFont="1" applyFill="1" applyBorder="1" applyAlignment="1" applyProtection="1">
      <alignment horizontal="center" vertical="center"/>
    </xf>
    <xf numFmtId="179" fontId="9" fillId="7" borderId="94" xfId="0" applyNumberFormat="1" applyFont="1" applyFill="1" applyBorder="1" applyAlignment="1" applyProtection="1">
      <alignment vertical="center" shrinkToFit="1"/>
    </xf>
    <xf numFmtId="0" fontId="9" fillId="7" borderId="95" xfId="0" applyFont="1" applyFill="1" applyBorder="1" applyAlignment="1" applyProtection="1">
      <alignment horizontal="center" vertical="center" wrapText="1"/>
    </xf>
    <xf numFmtId="192" fontId="9" fillId="7" borderId="91" xfId="0" applyNumberFormat="1" applyFont="1" applyFill="1" applyBorder="1" applyAlignment="1" applyProtection="1">
      <alignment vertical="center" shrinkToFit="1"/>
    </xf>
    <xf numFmtId="192" fontId="9" fillId="0" borderId="4" xfId="0" applyNumberFormat="1" applyFont="1" applyBorder="1" applyAlignment="1" applyProtection="1">
      <alignment vertical="top" shrinkToFit="1"/>
    </xf>
    <xf numFmtId="0" fontId="40" fillId="0" borderId="0" xfId="0" applyFont="1">
      <alignment vertical="center"/>
    </xf>
    <xf numFmtId="0" fontId="40" fillId="0" borderId="0" xfId="0" applyFont="1" applyAlignment="1">
      <alignment horizontal="right" vertical="center"/>
    </xf>
    <xf numFmtId="0" fontId="40" fillId="0" borderId="0" xfId="0" applyFont="1" applyAlignment="1">
      <alignment horizontal="distributed" vertical="center"/>
    </xf>
    <xf numFmtId="0" fontId="30" fillId="0" borderId="1" xfId="0" applyFont="1" applyBorder="1" applyAlignment="1">
      <alignment horizontal="center" vertical="center"/>
    </xf>
    <xf numFmtId="177" fontId="10" fillId="0" borderId="0" xfId="0" applyNumberFormat="1" applyFont="1" applyAlignment="1">
      <alignment horizontal="center" vertical="top"/>
    </xf>
    <xf numFmtId="188" fontId="10" fillId="0" borderId="0" xfId="0" applyNumberFormat="1" applyFont="1" applyAlignment="1">
      <alignment horizontal="left" vertical="top" wrapText="1"/>
    </xf>
    <xf numFmtId="0" fontId="10" fillId="0" borderId="0" xfId="0" applyFont="1" applyAlignment="1">
      <alignment vertical="top"/>
    </xf>
    <xf numFmtId="0" fontId="9" fillId="0" borderId="0" xfId="0" applyFont="1" applyAlignment="1" applyProtection="1">
      <alignment horizontal="center" vertical="center"/>
    </xf>
    <xf numFmtId="0" fontId="9" fillId="0" borderId="1" xfId="0" applyFont="1" applyBorder="1" applyAlignment="1" applyProtection="1">
      <alignment horizontal="center" vertical="center" wrapText="1"/>
    </xf>
    <xf numFmtId="0" fontId="13" fillId="0" borderId="1" xfId="0" applyFont="1" applyBorder="1" applyAlignment="1">
      <alignment horizontal="center" vertical="center"/>
    </xf>
    <xf numFmtId="0" fontId="13" fillId="0" borderId="1" xfId="0" applyFont="1" applyBorder="1" applyAlignment="1" applyProtection="1">
      <alignment horizontal="left" vertical="center"/>
    </xf>
    <xf numFmtId="0" fontId="0" fillId="0" borderId="0" xfId="0" applyBorder="1" applyAlignment="1" applyProtection="1">
      <alignment vertical="center"/>
    </xf>
    <xf numFmtId="177" fontId="8" fillId="0" borderId="0" xfId="2" applyNumberFormat="1" applyFont="1" applyAlignment="1">
      <alignment horizontal="distributed" vertical="center"/>
    </xf>
    <xf numFmtId="0" fontId="8" fillId="0" borderId="0" xfId="2" applyFont="1" applyAlignment="1">
      <alignment horizontal="distributed" vertical="center"/>
    </xf>
    <xf numFmtId="0" fontId="0" fillId="0" borderId="0" xfId="0" applyAlignment="1">
      <alignment horizontal="distributed" vertical="center"/>
    </xf>
    <xf numFmtId="0" fontId="13" fillId="0" borderId="1" xfId="0" applyFont="1" applyBorder="1" applyAlignment="1" applyProtection="1">
      <alignment horizontal="center" vertical="center" shrinkToFit="1"/>
    </xf>
    <xf numFmtId="0" fontId="13" fillId="0" borderId="0" xfId="0" applyFont="1" applyAlignment="1" applyProtection="1">
      <alignment horizontal="right" vertical="center"/>
    </xf>
    <xf numFmtId="0" fontId="9" fillId="0" borderId="0" xfId="0" applyFont="1" applyAlignment="1" applyProtection="1">
      <alignment horizontal="right" vertical="center"/>
    </xf>
    <xf numFmtId="0" fontId="8" fillId="0" borderId="0" xfId="2" applyFont="1" applyAlignment="1">
      <alignment horizontal="right" vertical="center"/>
    </xf>
    <xf numFmtId="14" fontId="38" fillId="0" borderId="0" xfId="0" applyNumberFormat="1" applyFont="1" applyAlignment="1">
      <alignment horizontal="left" vertical="center" wrapText="1"/>
    </xf>
    <xf numFmtId="0" fontId="38" fillId="0" borderId="0" xfId="0" applyFont="1" applyBorder="1" applyAlignment="1">
      <alignment horizontal="center" vertical="center" wrapText="1" shrinkToFit="1"/>
    </xf>
    <xf numFmtId="179" fontId="9" fillId="3" borderId="15" xfId="0" applyNumberFormat="1" applyFont="1" applyFill="1" applyBorder="1" applyAlignment="1" applyProtection="1">
      <alignment vertical="top" shrinkToFit="1"/>
    </xf>
    <xf numFmtId="192" fontId="9" fillId="3" borderId="4" xfId="0" applyNumberFormat="1" applyFont="1" applyFill="1" applyBorder="1" applyAlignment="1" applyProtection="1">
      <alignment vertical="top" shrinkToFit="1"/>
    </xf>
    <xf numFmtId="179" fontId="9" fillId="3" borderId="2" xfId="0" applyNumberFormat="1" applyFont="1" applyFill="1" applyBorder="1" applyAlignment="1" applyProtection="1">
      <alignment vertical="top" shrinkToFit="1"/>
    </xf>
    <xf numFmtId="0" fontId="10" fillId="0" borderId="0" xfId="0" applyFont="1" applyAlignment="1">
      <alignment horizontal="right" vertical="top"/>
    </xf>
    <xf numFmtId="0" fontId="33" fillId="5" borderId="0" xfId="0" applyFont="1" applyFill="1" applyBorder="1" applyAlignment="1">
      <alignment horizontal="center" vertical="top" wrapText="1" shrinkToFit="1"/>
    </xf>
    <xf numFmtId="176" fontId="33" fillId="5" borderId="0" xfId="0" applyNumberFormat="1" applyFont="1" applyFill="1" applyBorder="1" applyAlignment="1">
      <alignment horizontal="center" vertical="top" wrapText="1"/>
    </xf>
    <xf numFmtId="38" fontId="10" fillId="0" borderId="0" xfId="0" applyNumberFormat="1" applyFont="1" applyBorder="1" applyAlignment="1">
      <alignment vertical="top"/>
    </xf>
    <xf numFmtId="0" fontId="10" fillId="0" borderId="0" xfId="0" applyFont="1" applyBorder="1" applyAlignment="1">
      <alignment vertical="top"/>
    </xf>
    <xf numFmtId="38" fontId="10" fillId="0" borderId="0" xfId="5" applyFont="1" applyBorder="1" applyAlignment="1">
      <alignment vertical="top"/>
    </xf>
    <xf numFmtId="0" fontId="34" fillId="0" borderId="0" xfId="0" applyFont="1" applyBorder="1" applyAlignment="1">
      <alignment vertical="top"/>
    </xf>
    <xf numFmtId="0" fontId="10" fillId="0" borderId="0" xfId="0" applyFont="1" applyBorder="1" applyAlignment="1">
      <alignment horizontal="center" vertical="top"/>
    </xf>
    <xf numFmtId="0" fontId="13" fillId="0" borderId="0" xfId="0" applyFont="1" applyBorder="1">
      <alignment vertical="center"/>
    </xf>
    <xf numFmtId="180" fontId="13" fillId="0" borderId="96" xfId="0" applyNumberFormat="1" applyFont="1" applyBorder="1" applyAlignment="1" applyProtection="1">
      <alignment vertical="top" shrinkToFit="1"/>
    </xf>
    <xf numFmtId="0" fontId="13" fillId="0" borderId="85" xfId="0" applyFont="1" applyBorder="1" applyAlignment="1" applyProtection="1">
      <alignment horizontal="center" vertical="center" shrinkToFit="1"/>
      <protection locked="0"/>
    </xf>
    <xf numFmtId="0" fontId="12" fillId="0" borderId="86" xfId="0" applyFont="1" applyBorder="1" applyAlignment="1" applyProtection="1">
      <alignment horizontal="center" vertical="center" shrinkToFit="1"/>
      <protection locked="0"/>
    </xf>
    <xf numFmtId="0" fontId="12" fillId="0" borderId="85" xfId="0" applyFont="1" applyBorder="1" applyAlignment="1" applyProtection="1">
      <alignment horizontal="center" vertical="center" shrinkToFit="1"/>
      <protection locked="0"/>
    </xf>
    <xf numFmtId="0" fontId="10" fillId="0" borderId="0" xfId="0" applyFont="1" applyAlignment="1" applyProtection="1">
      <alignment horizontal="center" vertical="top"/>
      <protection locked="0"/>
    </xf>
    <xf numFmtId="0" fontId="25" fillId="0" borderId="2" xfId="0" applyFont="1" applyBorder="1" applyAlignment="1">
      <alignment horizontal="center" vertical="center"/>
    </xf>
    <xf numFmtId="0" fontId="0" fillId="0" borderId="4" xfId="0" applyBorder="1" applyAlignment="1">
      <alignment vertical="center"/>
    </xf>
    <xf numFmtId="0" fontId="25" fillId="0" borderId="1" xfId="0" applyFont="1" applyBorder="1" applyAlignment="1">
      <alignment horizontal="center" vertical="center"/>
    </xf>
    <xf numFmtId="0" fontId="0" fillId="0" borderId="1" xfId="0" applyBorder="1" applyAlignment="1">
      <alignment horizontal="center" vertical="center"/>
    </xf>
    <xf numFmtId="0" fontId="25" fillId="0" borderId="1" xfId="0" applyFont="1" applyBorder="1" applyAlignment="1">
      <alignment horizontal="center" vertical="center" shrinkToFit="1"/>
    </xf>
    <xf numFmtId="0" fontId="0" fillId="0" borderId="1" xfId="0" applyBorder="1" applyAlignment="1">
      <alignment horizontal="center" vertical="center" shrinkToFit="1"/>
    </xf>
    <xf numFmtId="14" fontId="25" fillId="0" borderId="2" xfId="0" applyNumberFormat="1" applyFont="1" applyBorder="1" applyAlignment="1">
      <alignment horizontal="center" vertical="center"/>
    </xf>
    <xf numFmtId="0" fontId="0" fillId="0" borderId="4" xfId="0" applyBorder="1" applyAlignment="1">
      <alignment horizontal="center" vertical="center"/>
    </xf>
    <xf numFmtId="0" fontId="10" fillId="0" borderId="0" xfId="0" applyFont="1" applyBorder="1" applyAlignment="1">
      <alignment vertical="center" wrapText="1" shrinkToFit="1"/>
    </xf>
    <xf numFmtId="0" fontId="38" fillId="0" borderId="0" xfId="0" applyFont="1" applyBorder="1" applyAlignment="1">
      <alignment vertical="center" wrapText="1" shrinkToFit="1"/>
    </xf>
    <xf numFmtId="0" fontId="10" fillId="0" borderId="0" xfId="0" applyFont="1" applyBorder="1" applyAlignment="1">
      <alignment horizontal="left" vertical="center" wrapText="1"/>
    </xf>
    <xf numFmtId="0" fontId="10" fillId="0" borderId="0" xfId="0" applyFont="1" applyBorder="1" applyAlignment="1">
      <alignment vertical="center" wrapText="1"/>
    </xf>
    <xf numFmtId="0" fontId="38" fillId="0" borderId="0" xfId="0" applyFont="1" applyBorder="1" applyAlignment="1">
      <alignment vertical="center" wrapText="1"/>
    </xf>
    <xf numFmtId="0" fontId="10" fillId="0" borderId="0" xfId="0" applyFont="1" applyBorder="1" applyAlignment="1">
      <alignment horizontal="center" vertical="center" wrapText="1"/>
    </xf>
    <xf numFmtId="0" fontId="38" fillId="0" borderId="0" xfId="0" applyFont="1" applyBorder="1" applyAlignment="1">
      <alignment horizontal="center" vertical="center" wrapText="1"/>
    </xf>
    <xf numFmtId="0" fontId="10" fillId="0" borderId="7" xfId="0" applyFont="1" applyBorder="1" applyAlignment="1">
      <alignment vertical="center" wrapText="1" shrinkToFit="1"/>
    </xf>
    <xf numFmtId="0" fontId="10" fillId="0" borderId="8" xfId="0" applyFont="1" applyBorder="1" applyAlignment="1">
      <alignment vertical="center" wrapText="1" shrinkToFit="1"/>
    </xf>
    <xf numFmtId="0" fontId="10" fillId="0" borderId="6" xfId="0" applyFont="1" applyBorder="1" applyAlignment="1">
      <alignment vertical="center" wrapText="1" shrinkToFi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vertical="center" wrapText="1"/>
    </xf>
    <xf numFmtId="0" fontId="38" fillId="0" borderId="8" xfId="0" applyFont="1" applyBorder="1" applyAlignment="1">
      <alignment vertical="center" wrapText="1"/>
    </xf>
    <xf numFmtId="0" fontId="38" fillId="0" borderId="6" xfId="0" applyFont="1" applyBorder="1" applyAlignment="1">
      <alignment vertical="center" wrapText="1"/>
    </xf>
    <xf numFmtId="0" fontId="10" fillId="0" borderId="8" xfId="0" applyFont="1" applyBorder="1" applyAlignment="1">
      <alignment vertical="center" wrapText="1"/>
    </xf>
    <xf numFmtId="0" fontId="10" fillId="0" borderId="6" xfId="0" applyFont="1" applyBorder="1" applyAlignment="1">
      <alignment vertical="center" wrapText="1"/>
    </xf>
    <xf numFmtId="0" fontId="10" fillId="0" borderId="1" xfId="0" applyFont="1" applyBorder="1" applyAlignment="1">
      <alignment vertical="center" wrapText="1" shrinkToFit="1"/>
    </xf>
    <xf numFmtId="0" fontId="38" fillId="0" borderId="1" xfId="0" applyFont="1" applyBorder="1" applyAlignment="1">
      <alignment vertical="center" wrapText="1" shrinkToFit="1"/>
    </xf>
    <xf numFmtId="0" fontId="38"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9" fillId="0" borderId="6" xfId="0" applyFont="1" applyBorder="1" applyAlignment="1">
      <alignment horizontal="center" vertical="center" wrapText="1"/>
    </xf>
    <xf numFmtId="0" fontId="10" fillId="0" borderId="7" xfId="0" applyFont="1" applyBorder="1" applyAlignment="1">
      <alignment vertical="top" wrapText="1"/>
    </xf>
    <xf numFmtId="0" fontId="38" fillId="0" borderId="8" xfId="0" applyFont="1" applyBorder="1" applyAlignment="1">
      <alignment vertical="top" wrapText="1"/>
    </xf>
    <xf numFmtId="0" fontId="38" fillId="0" borderId="6" xfId="0" applyFont="1" applyBorder="1" applyAlignment="1">
      <alignment vertical="top" wrapText="1"/>
    </xf>
    <xf numFmtId="0" fontId="10" fillId="0" borderId="1" xfId="0" applyFont="1" applyBorder="1" applyAlignment="1">
      <alignment horizontal="center" vertical="center" wrapText="1" shrinkToFit="1"/>
    </xf>
    <xf numFmtId="0" fontId="38" fillId="0" borderId="1" xfId="0" applyFont="1" applyBorder="1" applyAlignment="1">
      <alignment horizontal="center" vertical="center" wrapText="1" shrinkToFit="1"/>
    </xf>
    <xf numFmtId="0" fontId="38" fillId="0" borderId="8" xfId="0" applyFont="1" applyBorder="1" applyAlignment="1">
      <alignment horizontal="center" vertical="center" wrapText="1"/>
    </xf>
    <xf numFmtId="187" fontId="10" fillId="3" borderId="7" xfId="0" applyNumberFormat="1" applyFont="1" applyFill="1" applyBorder="1" applyAlignment="1" applyProtection="1">
      <alignment horizontal="left" vertical="center" wrapText="1"/>
      <protection locked="0"/>
    </xf>
    <xf numFmtId="187" fontId="38" fillId="0" borderId="8" xfId="0" applyNumberFormat="1" applyFont="1" applyBorder="1" applyAlignment="1" applyProtection="1">
      <alignment horizontal="left" vertical="center" wrapText="1"/>
      <protection locked="0"/>
    </xf>
    <xf numFmtId="187" fontId="38" fillId="0" borderId="6" xfId="0" applyNumberFormat="1" applyFont="1" applyBorder="1" applyAlignment="1" applyProtection="1">
      <alignment horizontal="left" vertical="center" wrapText="1"/>
      <protection locked="0"/>
    </xf>
    <xf numFmtId="0" fontId="10" fillId="0" borderId="1" xfId="0" applyFont="1" applyBorder="1" applyAlignment="1">
      <alignment horizontal="center" vertical="center" wrapText="1"/>
    </xf>
    <xf numFmtId="0" fontId="38" fillId="0" borderId="1" xfId="0" applyFont="1" applyBorder="1" applyAlignment="1">
      <alignment vertical="center" wrapText="1"/>
    </xf>
    <xf numFmtId="0" fontId="10" fillId="3" borderId="7" xfId="0" applyFont="1" applyFill="1" applyBorder="1" applyAlignment="1" applyProtection="1">
      <alignment horizontal="left" vertical="center" wrapText="1"/>
      <protection locked="0"/>
    </xf>
    <xf numFmtId="0" fontId="38" fillId="0" borderId="8" xfId="0" applyFont="1" applyBorder="1" applyAlignment="1" applyProtection="1">
      <alignment horizontal="left" vertical="center" wrapText="1"/>
      <protection locked="0"/>
    </xf>
    <xf numFmtId="0" fontId="38" fillId="0" borderId="6" xfId="0" applyFont="1" applyBorder="1" applyAlignment="1" applyProtection="1">
      <alignment horizontal="left" vertical="center" wrapText="1"/>
      <protection locked="0"/>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3" fillId="0" borderId="0" xfId="0" applyFont="1" applyFill="1" applyBorder="1" applyAlignment="1">
      <alignment vertical="center" wrapText="1" shrinkToFit="1"/>
    </xf>
    <xf numFmtId="0" fontId="12" fillId="0" borderId="0" xfId="0" applyFont="1" applyAlignment="1">
      <alignmen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2" xfId="0" applyFont="1" applyBorder="1" applyAlignment="1">
      <alignment vertical="center" wrapText="1" shrinkToFit="1"/>
    </xf>
    <xf numFmtId="0" fontId="10" fillId="0" borderId="23" xfId="0" applyFont="1" applyBorder="1" applyAlignment="1">
      <alignment vertical="center" wrapText="1" shrinkToFit="1"/>
    </xf>
    <xf numFmtId="0" fontId="10" fillId="0" borderId="24" xfId="0" applyFont="1" applyBorder="1" applyAlignment="1">
      <alignment vertical="center" wrapText="1" shrinkToFit="1"/>
    </xf>
    <xf numFmtId="0" fontId="10" fillId="0" borderId="14" xfId="0" applyFont="1" applyBorder="1" applyAlignment="1">
      <alignment vertical="center" wrapText="1" shrinkToFit="1"/>
    </xf>
    <xf numFmtId="0" fontId="10" fillId="0" borderId="9" xfId="0" applyFont="1" applyBorder="1" applyAlignment="1">
      <alignment vertical="center" wrapText="1" shrinkToFit="1"/>
    </xf>
    <xf numFmtId="0" fontId="10" fillId="0" borderId="25" xfId="0" applyFont="1" applyBorder="1" applyAlignment="1">
      <alignment vertical="center" wrapText="1" shrinkToFit="1"/>
    </xf>
    <xf numFmtId="0" fontId="10" fillId="0" borderId="5" xfId="0" applyFont="1" applyBorder="1" applyAlignment="1">
      <alignment vertical="center" wrapText="1" shrinkToFit="1"/>
    </xf>
    <xf numFmtId="0" fontId="10" fillId="0" borderId="10" xfId="0" applyFont="1" applyBorder="1" applyAlignment="1">
      <alignment vertical="center" wrapText="1" shrinkToFit="1"/>
    </xf>
    <xf numFmtId="0" fontId="3" fillId="3" borderId="7" xfId="1" applyNumberFormat="1" applyFill="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38" fillId="0" borderId="8" xfId="0" applyFont="1" applyBorder="1" applyAlignment="1">
      <alignment vertical="center" wrapText="1" shrinkToFit="1"/>
    </xf>
    <xf numFmtId="0" fontId="10" fillId="0" borderId="7" xfId="0" applyFont="1" applyBorder="1" applyAlignment="1" applyProtection="1">
      <alignment horizontal="center" vertical="center"/>
    </xf>
    <xf numFmtId="0" fontId="9" fillId="0" borderId="8" xfId="0" applyFont="1" applyBorder="1" applyAlignment="1">
      <alignment horizontal="center" vertical="center"/>
    </xf>
    <xf numFmtId="190" fontId="10" fillId="3" borderId="8" xfId="0" applyNumberFormat="1" applyFont="1" applyFill="1" applyBorder="1" applyAlignment="1" applyProtection="1">
      <alignment horizontal="center" vertical="center" shrinkToFit="1"/>
      <protection locked="0"/>
    </xf>
    <xf numFmtId="190" fontId="9" fillId="0" borderId="8" xfId="0" applyNumberFormat="1" applyFont="1" applyBorder="1" applyAlignment="1" applyProtection="1">
      <alignment horizontal="center" vertical="center" shrinkToFit="1"/>
      <protection locked="0"/>
    </xf>
    <xf numFmtId="0" fontId="10" fillId="0" borderId="7" xfId="0" applyFont="1" applyBorder="1" applyAlignment="1">
      <alignment horizontal="left" vertical="center" wrapText="1" shrinkToFit="1"/>
    </xf>
    <xf numFmtId="0" fontId="38" fillId="0" borderId="8" xfId="0" applyFont="1" applyBorder="1" applyAlignment="1">
      <alignment horizontal="left" vertical="center" wrapText="1" shrinkToFit="1"/>
    </xf>
    <xf numFmtId="0" fontId="38" fillId="0" borderId="6" xfId="0" applyFont="1" applyBorder="1" applyAlignment="1">
      <alignment horizontal="left" vertical="center" wrapText="1" shrinkToFit="1"/>
    </xf>
    <xf numFmtId="0" fontId="11" fillId="0" borderId="7" xfId="0" applyFont="1" applyBorder="1" applyAlignment="1">
      <alignment horizontal="left" vertical="center" wrapText="1" shrinkToFit="1"/>
    </xf>
    <xf numFmtId="0" fontId="10" fillId="0" borderId="22" xfId="0" applyFont="1" applyBorder="1" applyAlignment="1">
      <alignment horizontal="center" vertical="center" shrinkToFit="1"/>
    </xf>
    <xf numFmtId="0" fontId="38" fillId="0" borderId="23" xfId="0" applyFont="1" applyBorder="1" applyAlignment="1">
      <alignment horizontal="center" vertical="center" shrinkToFit="1"/>
    </xf>
    <xf numFmtId="0" fontId="38" fillId="0" borderId="24" xfId="0" applyFont="1" applyBorder="1" applyAlignment="1">
      <alignment horizontal="center" vertical="center" shrinkToFit="1"/>
    </xf>
    <xf numFmtId="0" fontId="38" fillId="0" borderId="25" xfId="0" applyFont="1" applyBorder="1" applyAlignment="1">
      <alignment horizontal="center" vertical="center" shrinkToFit="1"/>
    </xf>
    <xf numFmtId="0" fontId="38" fillId="0" borderId="5" xfId="0" applyFont="1" applyBorder="1" applyAlignment="1">
      <alignment horizontal="center" vertical="center" shrinkToFit="1"/>
    </xf>
    <xf numFmtId="0" fontId="38" fillId="0" borderId="10" xfId="0" applyFont="1" applyBorder="1" applyAlignment="1">
      <alignment horizontal="center" vertical="center" shrinkToFit="1"/>
    </xf>
    <xf numFmtId="0" fontId="10" fillId="0" borderId="38" xfId="0" applyFont="1" applyFill="1" applyBorder="1" applyAlignment="1" applyProtection="1">
      <alignment horizontal="center" vertical="center" wrapText="1"/>
      <protection locked="0"/>
    </xf>
    <xf numFmtId="0" fontId="38" fillId="0" borderId="39" xfId="0" applyFont="1" applyFill="1" applyBorder="1" applyAlignment="1">
      <alignment horizontal="center" vertical="center" wrapText="1"/>
    </xf>
    <xf numFmtId="0" fontId="10" fillId="0" borderId="2" xfId="0" applyFont="1" applyBorder="1" applyAlignment="1">
      <alignment vertical="center" wrapText="1" shrinkToFit="1"/>
    </xf>
    <xf numFmtId="0" fontId="0" fillId="0" borderId="3" xfId="0" applyBorder="1" applyAlignment="1">
      <alignment vertical="center" wrapText="1"/>
    </xf>
    <xf numFmtId="0" fontId="0" fillId="0" borderId="4" xfId="0" applyBorder="1" applyAlignment="1">
      <alignment vertical="center" wrapText="1"/>
    </xf>
    <xf numFmtId="0" fontId="10" fillId="0" borderId="1" xfId="0" applyFont="1" applyBorder="1" applyAlignment="1">
      <alignment horizontal="left" vertical="center" wrapText="1" shrinkToFit="1"/>
    </xf>
    <xf numFmtId="0" fontId="10" fillId="3" borderId="14" xfId="0" applyFont="1" applyFill="1" applyBorder="1" applyAlignment="1">
      <alignment horizontal="left" vertical="center" wrapText="1"/>
    </xf>
    <xf numFmtId="0" fontId="38" fillId="0" borderId="0" xfId="0" applyFont="1" applyBorder="1" applyAlignment="1">
      <alignment horizontal="left" vertical="center" wrapText="1"/>
    </xf>
    <xf numFmtId="0" fontId="38" fillId="0" borderId="9" xfId="0" applyFont="1" applyBorder="1" applyAlignment="1">
      <alignment horizontal="left" vertical="center" wrapText="1"/>
    </xf>
    <xf numFmtId="0" fontId="10" fillId="3" borderId="25" xfId="0" applyFont="1" applyFill="1" applyBorder="1" applyAlignment="1">
      <alignment horizontal="left" vertical="center" wrapText="1"/>
    </xf>
    <xf numFmtId="0" fontId="38" fillId="0" borderId="5" xfId="0" applyFont="1" applyBorder="1" applyAlignment="1">
      <alignment horizontal="left" vertical="center" wrapText="1"/>
    </xf>
    <xf numFmtId="0" fontId="38" fillId="0" borderId="10" xfId="0" applyFont="1" applyBorder="1" applyAlignment="1">
      <alignment horizontal="left" vertical="center" wrapText="1"/>
    </xf>
    <xf numFmtId="0" fontId="13" fillId="0" borderId="5" xfId="0" applyFont="1" applyBorder="1" applyAlignment="1">
      <alignment vertical="center" wrapText="1"/>
    </xf>
    <xf numFmtId="0" fontId="10" fillId="0" borderId="7" xfId="0" applyFont="1" applyFill="1" applyBorder="1" applyAlignment="1">
      <alignment horizontal="center" vertical="center" wrapText="1"/>
    </xf>
    <xf numFmtId="0" fontId="10" fillId="0" borderId="22"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4" xfId="0" applyFont="1" applyBorder="1" applyAlignment="1">
      <alignment horizontal="center" vertical="center" wrapText="1"/>
    </xf>
    <xf numFmtId="0" fontId="10" fillId="0" borderId="14" xfId="0" applyFont="1" applyBorder="1" applyAlignment="1">
      <alignment horizontal="center" vertical="center" wrapText="1"/>
    </xf>
    <xf numFmtId="0" fontId="38" fillId="0" borderId="9" xfId="0" applyFont="1" applyBorder="1" applyAlignment="1">
      <alignment horizontal="center" vertical="center" wrapText="1"/>
    </xf>
    <xf numFmtId="0" fontId="10" fillId="0" borderId="25"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10" xfId="0" applyFont="1" applyBorder="1" applyAlignment="1">
      <alignment horizontal="center" vertical="center" wrapText="1"/>
    </xf>
    <xf numFmtId="0" fontId="10" fillId="3" borderId="22" xfId="0" applyFont="1" applyFill="1" applyBorder="1" applyAlignment="1">
      <alignment horizontal="left" vertical="center" wrapText="1"/>
    </xf>
    <xf numFmtId="0" fontId="38" fillId="0" borderId="23" xfId="0" applyFont="1" applyBorder="1" applyAlignment="1">
      <alignment horizontal="left" vertical="center" wrapText="1"/>
    </xf>
    <xf numFmtId="0" fontId="38" fillId="0" borderId="24" xfId="0" applyFont="1" applyBorder="1" applyAlignment="1">
      <alignment horizontal="left" vertical="center" wrapText="1"/>
    </xf>
    <xf numFmtId="0" fontId="38" fillId="0" borderId="7" xfId="0" applyFont="1" applyBorder="1" applyAlignment="1">
      <alignment horizontal="left" vertical="center" wrapText="1" shrinkToFit="1"/>
    </xf>
    <xf numFmtId="0" fontId="30" fillId="0" borderId="16" xfId="0" applyFont="1" applyBorder="1" applyAlignment="1" applyProtection="1">
      <alignment horizontal="center" vertical="center" wrapText="1"/>
    </xf>
    <xf numFmtId="0" fontId="30" fillId="0" borderId="34" xfId="0" applyFont="1" applyBorder="1" applyAlignment="1" applyProtection="1">
      <alignment horizontal="center" vertical="center"/>
    </xf>
    <xf numFmtId="0" fontId="30" fillId="0" borderId="35" xfId="0" applyFont="1" applyBorder="1" applyAlignment="1" applyProtection="1">
      <alignment horizontal="center" vertical="center"/>
    </xf>
    <xf numFmtId="0" fontId="30" fillId="0" borderId="36"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37" xfId="0" applyFont="1" applyBorder="1" applyAlignment="1" applyProtection="1">
      <alignment horizontal="center" vertical="center"/>
    </xf>
    <xf numFmtId="0" fontId="30" fillId="0" borderId="44" xfId="0" applyFont="1" applyBorder="1" applyAlignment="1" applyProtection="1">
      <alignment horizontal="center" vertical="center"/>
    </xf>
    <xf numFmtId="0" fontId="30" fillId="0" borderId="45" xfId="0" applyFont="1" applyBorder="1" applyAlignment="1" applyProtection="1">
      <alignment horizontal="center" vertical="center"/>
    </xf>
    <xf numFmtId="0" fontId="30" fillId="0" borderId="46" xfId="0" applyFont="1" applyBorder="1" applyAlignment="1" applyProtection="1">
      <alignment horizontal="center" vertical="center"/>
    </xf>
    <xf numFmtId="0" fontId="23" fillId="0" borderId="8" xfId="0" applyFont="1" applyBorder="1" applyAlignment="1" applyProtection="1">
      <alignment horizontal="center" vertical="center" shrinkToFit="1"/>
    </xf>
    <xf numFmtId="0" fontId="23" fillId="0" borderId="6" xfId="0" applyFont="1" applyBorder="1" applyAlignment="1" applyProtection="1">
      <alignment horizontal="center" vertical="center" shrinkToFit="1"/>
    </xf>
    <xf numFmtId="0" fontId="23" fillId="4" borderId="7" xfId="0" applyFont="1" applyFill="1" applyBorder="1" applyAlignment="1" applyProtection="1">
      <alignment horizontal="left" vertical="center" shrinkToFit="1"/>
      <protection locked="0"/>
    </xf>
    <xf numFmtId="0" fontId="23" fillId="4" borderId="8" xfId="0" applyFont="1" applyFill="1" applyBorder="1" applyAlignment="1" applyProtection="1">
      <alignment horizontal="left" vertical="center" shrinkToFit="1"/>
      <protection locked="0"/>
    </xf>
    <xf numFmtId="0" fontId="22" fillId="0" borderId="1" xfId="0" applyFont="1" applyBorder="1" applyAlignment="1" applyProtection="1">
      <alignment horizontal="left"/>
    </xf>
    <xf numFmtId="0" fontId="26" fillId="0" borderId="1" xfId="0" applyFont="1" applyBorder="1" applyAlignment="1" applyProtection="1"/>
    <xf numFmtId="0" fontId="9" fillId="4" borderId="8" xfId="0" applyFont="1" applyFill="1" applyBorder="1" applyAlignment="1" applyProtection="1">
      <alignment horizontal="left" vertical="center" shrinkToFit="1"/>
      <protection locked="0"/>
    </xf>
    <xf numFmtId="0" fontId="28" fillId="0" borderId="8" xfId="0" applyFont="1" applyBorder="1" applyAlignment="1" applyProtection="1">
      <alignment horizontal="center" vertical="center"/>
    </xf>
    <xf numFmtId="0" fontId="23" fillId="0" borderId="8" xfId="0" applyFont="1" applyBorder="1" applyAlignment="1" applyProtection="1">
      <alignment horizontal="center" vertical="center"/>
    </xf>
    <xf numFmtId="0" fontId="23" fillId="4" borderId="7" xfId="0" applyFont="1" applyFill="1" applyBorder="1" applyAlignment="1" applyProtection="1">
      <alignment horizontal="center" vertical="center"/>
      <protection locked="0"/>
    </xf>
    <xf numFmtId="0" fontId="23" fillId="4" borderId="6" xfId="0" applyFont="1" applyFill="1" applyBorder="1" applyAlignment="1" applyProtection="1">
      <alignment horizontal="center" vertical="center"/>
      <protection locked="0"/>
    </xf>
    <xf numFmtId="0" fontId="28" fillId="0" borderId="7" xfId="0" applyFont="1" applyBorder="1" applyAlignment="1" applyProtection="1">
      <alignment vertical="center"/>
    </xf>
    <xf numFmtId="0" fontId="23" fillId="0" borderId="8" xfId="0" applyFont="1" applyBorder="1" applyAlignment="1" applyProtection="1">
      <alignment vertical="center"/>
    </xf>
    <xf numFmtId="0" fontId="20" fillId="0" borderId="23" xfId="0" applyFont="1" applyBorder="1" applyAlignment="1" applyProtection="1">
      <alignment horizontal="left" vertical="center"/>
    </xf>
    <xf numFmtId="0" fontId="14" fillId="0" borderId="0" xfId="0" applyFont="1" applyBorder="1" applyAlignment="1" applyProtection="1">
      <alignment horizontal="left" vertical="center"/>
    </xf>
    <xf numFmtId="0" fontId="23" fillId="0" borderId="6" xfId="0" applyFont="1" applyBorder="1" applyAlignment="1" applyProtection="1">
      <alignment horizontal="center" vertical="center"/>
    </xf>
    <xf numFmtId="0" fontId="23" fillId="4" borderId="7" xfId="0" applyFont="1" applyFill="1" applyBorder="1" applyAlignment="1" applyProtection="1">
      <alignment vertical="center" shrinkToFit="1"/>
      <protection locked="0"/>
    </xf>
    <xf numFmtId="0" fontId="23" fillId="4" borderId="8" xfId="0" applyFont="1" applyFill="1" applyBorder="1" applyAlignment="1" applyProtection="1">
      <alignment vertical="center" shrinkToFit="1"/>
      <protection locked="0"/>
    </xf>
    <xf numFmtId="0" fontId="23" fillId="4" borderId="6" xfId="0" applyFont="1" applyFill="1" applyBorder="1" applyAlignment="1" applyProtection="1">
      <alignment vertical="center" shrinkToFit="1"/>
      <protection locked="0"/>
    </xf>
    <xf numFmtId="0" fontId="23" fillId="0" borderId="8" xfId="0" applyFont="1" applyBorder="1" applyAlignment="1" applyProtection="1">
      <alignment vertical="center" shrinkToFit="1"/>
    </xf>
    <xf numFmtId="0" fontId="28" fillId="0" borderId="8" xfId="0" applyFont="1" applyBorder="1" applyAlignment="1" applyProtection="1">
      <alignment vertical="center" shrinkToFit="1"/>
    </xf>
    <xf numFmtId="0" fontId="23" fillId="0" borderId="0" xfId="0" applyFont="1" applyAlignment="1" applyProtection="1">
      <alignment shrinkToFit="1"/>
    </xf>
    <xf numFmtId="0" fontId="9" fillId="0" borderId="0" xfId="0" applyFont="1" applyAlignment="1" applyProtection="1">
      <alignment shrinkToFit="1"/>
    </xf>
    <xf numFmtId="0" fontId="9" fillId="0" borderId="0" xfId="0" applyFont="1" applyAlignment="1" applyProtection="1"/>
    <xf numFmtId="0" fontId="23" fillId="0" borderId="1" xfId="0" applyFont="1" applyBorder="1" applyAlignment="1" applyProtection="1">
      <alignment horizontal="center" vertical="center" textRotation="255" shrinkToFit="1"/>
    </xf>
    <xf numFmtId="0" fontId="23" fillId="0" borderId="1" xfId="0" applyFont="1" applyBorder="1" applyAlignment="1" applyProtection="1">
      <alignment vertical="center"/>
    </xf>
    <xf numFmtId="0" fontId="9" fillId="0" borderId="1" xfId="0" applyFont="1" applyBorder="1" applyAlignment="1" applyProtection="1">
      <alignment vertical="center"/>
    </xf>
    <xf numFmtId="0" fontId="28" fillId="0" borderId="8" xfId="0" applyFont="1" applyBorder="1" applyAlignment="1" applyProtection="1">
      <alignment horizontal="center" vertical="center" shrinkToFit="1"/>
    </xf>
    <xf numFmtId="0" fontId="28" fillId="0" borderId="6" xfId="0" applyFont="1" applyBorder="1" applyAlignment="1" applyProtection="1">
      <alignment horizontal="center" vertical="center" shrinkToFit="1"/>
    </xf>
    <xf numFmtId="0" fontId="23" fillId="0" borderId="1" xfId="0" applyFont="1" applyBorder="1" applyAlignment="1" applyProtection="1">
      <alignment vertical="center" shrinkToFit="1"/>
    </xf>
    <xf numFmtId="0" fontId="9" fillId="0" borderId="8" xfId="0" applyFont="1" applyBorder="1" applyAlignment="1" applyProtection="1">
      <alignment vertical="center"/>
    </xf>
    <xf numFmtId="0" fontId="23" fillId="0" borderId="22" xfId="0" applyFont="1" applyBorder="1" applyAlignment="1" applyProtection="1">
      <alignment vertical="center" shrinkToFit="1"/>
    </xf>
    <xf numFmtId="0" fontId="23" fillId="0" borderId="23" xfId="0" applyFont="1" applyBorder="1" applyAlignment="1" applyProtection="1">
      <alignment vertical="center"/>
    </xf>
    <xf numFmtId="0" fontId="28" fillId="4" borderId="7" xfId="0" applyFont="1" applyFill="1" applyBorder="1" applyAlignment="1" applyProtection="1">
      <alignment horizontal="left" vertical="center" shrinkToFit="1"/>
      <protection locked="0"/>
    </xf>
    <xf numFmtId="0" fontId="9" fillId="4" borderId="6" xfId="0" applyFont="1" applyFill="1" applyBorder="1" applyAlignment="1" applyProtection="1">
      <alignment horizontal="left" vertical="center" shrinkToFit="1"/>
      <protection locked="0"/>
    </xf>
    <xf numFmtId="0" fontId="23" fillId="0" borderId="7" xfId="0" applyFont="1" applyBorder="1" applyAlignment="1" applyProtection="1">
      <alignment vertical="center" shrinkToFit="1"/>
    </xf>
    <xf numFmtId="0" fontId="23" fillId="0" borderId="1" xfId="0" applyFont="1" applyBorder="1" applyAlignment="1" applyProtection="1">
      <alignment horizontal="center" vertical="center" shrinkToFit="1"/>
    </xf>
    <xf numFmtId="0" fontId="23" fillId="0" borderId="1" xfId="0" applyFont="1" applyFill="1" applyBorder="1" applyAlignment="1" applyProtection="1">
      <alignment horizontal="center" vertical="center" shrinkToFit="1"/>
    </xf>
    <xf numFmtId="0" fontId="23" fillId="0" borderId="1" xfId="0" applyFont="1" applyFill="1" applyBorder="1" applyAlignment="1" applyProtection="1">
      <alignment vertical="center" shrinkToFit="1"/>
    </xf>
    <xf numFmtId="0" fontId="31" fillId="0" borderId="1" xfId="1" applyFont="1" applyFill="1" applyBorder="1" applyAlignment="1" applyProtection="1">
      <alignment vertical="center" shrinkToFit="1"/>
    </xf>
    <xf numFmtId="0" fontId="23" fillId="0" borderId="22" xfId="0" applyFont="1" applyFill="1" applyBorder="1" applyAlignment="1" applyProtection="1">
      <alignment horizontal="left" vertical="center" shrinkToFit="1"/>
    </xf>
    <xf numFmtId="0" fontId="23" fillId="0" borderId="23" xfId="0" applyFont="1" applyFill="1" applyBorder="1" applyAlignment="1" applyProtection="1">
      <alignment horizontal="left" vertical="center" shrinkToFit="1"/>
    </xf>
    <xf numFmtId="0" fontId="9" fillId="0" borderId="23" xfId="0" applyFont="1" applyBorder="1" applyAlignment="1" applyProtection="1">
      <alignment horizontal="left" vertical="center" shrinkToFit="1"/>
    </xf>
    <xf numFmtId="0" fontId="9" fillId="0" borderId="24" xfId="0" applyFont="1" applyBorder="1" applyAlignment="1" applyProtection="1">
      <alignment horizontal="left" vertical="center" shrinkToFit="1"/>
    </xf>
    <xf numFmtId="0" fontId="23" fillId="0" borderId="25" xfId="0" applyFont="1" applyFill="1" applyBorder="1" applyAlignment="1" applyProtection="1">
      <alignment horizontal="left" vertical="center" shrinkToFit="1"/>
    </xf>
    <xf numFmtId="0" fontId="23" fillId="0" borderId="5" xfId="0" applyFont="1" applyFill="1" applyBorder="1" applyAlignment="1" applyProtection="1">
      <alignment horizontal="left" vertical="center" shrinkToFit="1"/>
    </xf>
    <xf numFmtId="0" fontId="9" fillId="0" borderId="5" xfId="0" applyFont="1" applyBorder="1" applyAlignment="1" applyProtection="1">
      <alignment horizontal="left" vertical="center" shrinkToFit="1"/>
    </xf>
    <xf numFmtId="0" fontId="9" fillId="0" borderId="10" xfId="0" applyFont="1" applyBorder="1" applyAlignment="1" applyProtection="1">
      <alignment horizontal="left" vertical="center" shrinkToFit="1"/>
    </xf>
    <xf numFmtId="0" fontId="24" fillId="0" borderId="0" xfId="0" applyFont="1" applyAlignment="1" applyProtection="1">
      <alignment horizontal="center" vertical="center" wrapText="1"/>
    </xf>
    <xf numFmtId="0" fontId="24" fillId="0" borderId="0" xfId="0" applyFont="1" applyAlignment="1" applyProtection="1">
      <alignment horizontal="center" vertical="center"/>
    </xf>
    <xf numFmtId="0" fontId="23" fillId="0" borderId="1" xfId="0" applyFont="1" applyFill="1" applyBorder="1" applyAlignment="1" applyProtection="1">
      <alignment horizontal="left" vertical="center" wrapText="1" shrinkToFit="1"/>
    </xf>
    <xf numFmtId="0" fontId="11" fillId="5" borderId="0" xfId="0" applyFont="1" applyFill="1" applyBorder="1" applyAlignment="1">
      <alignment vertical="top" shrinkToFit="1"/>
    </xf>
    <xf numFmtId="194" fontId="10" fillId="0" borderId="0" xfId="0" applyNumberFormat="1" applyFont="1" applyAlignment="1">
      <alignment horizontal="distributed" vertical="top"/>
    </xf>
    <xf numFmtId="0" fontId="10" fillId="0" borderId="0" xfId="0" applyFont="1" applyAlignment="1">
      <alignment vertical="top"/>
    </xf>
    <xf numFmtId="0" fontId="10" fillId="0" borderId="0" xfId="0" applyFont="1" applyAlignment="1">
      <alignment horizontal="left" vertical="top" wrapText="1"/>
    </xf>
    <xf numFmtId="188" fontId="10" fillId="0" borderId="0" xfId="0" applyNumberFormat="1" applyFont="1" applyAlignment="1">
      <alignment horizontal="distributed" vertical="top"/>
    </xf>
    <xf numFmtId="0" fontId="11" fillId="5" borderId="0" xfId="0" applyFont="1" applyFill="1" applyBorder="1" applyAlignment="1">
      <alignment vertical="top" wrapText="1" shrinkToFit="1"/>
    </xf>
    <xf numFmtId="0" fontId="10" fillId="0" borderId="0" xfId="0" applyFont="1" applyAlignment="1">
      <alignment horizontal="center" vertical="top"/>
    </xf>
    <xf numFmtId="0" fontId="10" fillId="0" borderId="0" xfId="0" applyFont="1" applyBorder="1" applyAlignment="1">
      <alignment vertical="top"/>
    </xf>
    <xf numFmtId="0" fontId="11" fillId="5" borderId="0" xfId="0" applyFont="1" applyFill="1" applyBorder="1" applyAlignment="1">
      <alignment horizontal="center" vertical="top"/>
    </xf>
    <xf numFmtId="0" fontId="10" fillId="0" borderId="0" xfId="0" applyFont="1" applyBorder="1" applyAlignment="1">
      <alignment vertical="top" wrapText="1"/>
    </xf>
    <xf numFmtId="176" fontId="33" fillId="5" borderId="0" xfId="0" applyNumberFormat="1" applyFont="1" applyFill="1" applyBorder="1" applyAlignment="1">
      <alignment horizontal="center" vertical="top" wrapText="1"/>
    </xf>
    <xf numFmtId="0" fontId="10" fillId="0" borderId="0" xfId="0" applyFont="1" applyAlignment="1">
      <alignment horizontal="center" vertical="top" shrinkToFit="1"/>
    </xf>
    <xf numFmtId="0" fontId="10" fillId="0" borderId="0" xfId="0" applyFont="1" applyAlignment="1">
      <alignment horizontal="distributed" vertical="top"/>
    </xf>
    <xf numFmtId="0" fontId="10" fillId="0" borderId="0" xfId="0" applyFont="1" applyAlignment="1">
      <alignment horizontal="left" vertical="top"/>
    </xf>
    <xf numFmtId="0" fontId="10" fillId="0" borderId="0" xfId="0" applyFont="1" applyFill="1" applyAlignment="1">
      <alignment vertical="top" shrinkToFit="1"/>
    </xf>
    <xf numFmtId="0" fontId="10" fillId="0" borderId="0" xfId="0" applyFont="1" applyAlignment="1">
      <alignment vertical="top" shrinkToFit="1"/>
    </xf>
    <xf numFmtId="177" fontId="10" fillId="0" borderId="0" xfId="0" applyNumberFormat="1" applyFont="1" applyAlignment="1">
      <alignment horizontal="distributed" vertical="top"/>
    </xf>
    <xf numFmtId="0" fontId="0" fillId="0" borderId="0" xfId="0" applyAlignment="1">
      <alignment horizontal="distributed" vertical="top"/>
    </xf>
    <xf numFmtId="0" fontId="32" fillId="0" borderId="0" xfId="0" applyFont="1" applyAlignment="1">
      <alignment vertical="center" wrapText="1"/>
    </xf>
    <xf numFmtId="0" fontId="11" fillId="5" borderId="0" xfId="0" applyFont="1" applyFill="1" applyBorder="1" applyAlignment="1">
      <alignment horizontal="center" vertical="top" shrinkToFit="1"/>
    </xf>
    <xf numFmtId="0" fontId="13" fillId="0" borderId="0" xfId="0" applyFont="1" applyAlignment="1" applyProtection="1">
      <alignment horizontal="distributed" shrinkToFit="1"/>
      <protection locked="0"/>
    </xf>
    <xf numFmtId="0" fontId="9" fillId="0" borderId="0" xfId="0" applyFont="1" applyAlignment="1" applyProtection="1">
      <alignment horizontal="distributed" shrinkToFit="1"/>
      <protection locked="0"/>
    </xf>
    <xf numFmtId="0" fontId="9" fillId="0" borderId="0" xfId="0" applyFont="1" applyAlignment="1">
      <alignment horizontal="distributed" shrinkToFit="1"/>
    </xf>
    <xf numFmtId="0" fontId="10" fillId="0" borderId="0" xfId="0" applyFont="1" applyAlignment="1">
      <alignment vertical="top" wrapText="1"/>
    </xf>
    <xf numFmtId="188" fontId="10" fillId="0" borderId="0" xfId="0" applyNumberFormat="1" applyFont="1" applyAlignment="1">
      <alignment horizontal="distributed" vertical="top" wrapText="1"/>
    </xf>
    <xf numFmtId="0" fontId="0" fillId="0" borderId="0" xfId="0" applyAlignment="1">
      <alignment horizontal="distributed" vertical="top" wrapText="1"/>
    </xf>
    <xf numFmtId="0" fontId="40" fillId="0" borderId="1" xfId="0" applyFont="1" applyBorder="1" applyAlignment="1">
      <alignment horizontal="distributed" vertical="center"/>
    </xf>
    <xf numFmtId="0" fontId="0" fillId="0" borderId="1" xfId="0" applyBorder="1" applyAlignment="1">
      <alignment horizontal="distributed" vertical="center"/>
    </xf>
    <xf numFmtId="0" fontId="40" fillId="0" borderId="1" xfId="0" applyFont="1" applyBorder="1" applyAlignment="1">
      <alignment horizontal="center" vertical="center"/>
    </xf>
    <xf numFmtId="0" fontId="40" fillId="0" borderId="0" xfId="0" applyFont="1" applyBorder="1" applyAlignment="1">
      <alignment horizontal="center" vertical="center"/>
    </xf>
    <xf numFmtId="0" fontId="0" fillId="0" borderId="0" xfId="0" applyBorder="1" applyAlignment="1">
      <alignment horizontal="center" vertical="center"/>
    </xf>
    <xf numFmtId="193" fontId="40" fillId="0" borderId="0" xfId="0" applyNumberFormat="1" applyFont="1" applyBorder="1" applyAlignment="1">
      <alignment horizontal="center" vertical="center"/>
    </xf>
    <xf numFmtId="193" fontId="0" fillId="0" borderId="0" xfId="0" applyNumberFormat="1" applyBorder="1" applyAlignment="1">
      <alignment horizontal="center" vertical="center"/>
    </xf>
    <xf numFmtId="0" fontId="40" fillId="0" borderId="0" xfId="0" applyFont="1" applyAlignment="1">
      <alignment vertical="center"/>
    </xf>
    <xf numFmtId="0" fontId="0" fillId="0" borderId="0" xfId="0" applyAlignment="1">
      <alignment vertical="center"/>
    </xf>
    <xf numFmtId="0" fontId="40" fillId="0" borderId="0" xfId="0" applyFont="1" applyAlignment="1">
      <alignment horizontal="distributed" vertical="center" wrapText="1"/>
    </xf>
    <xf numFmtId="0" fontId="41" fillId="0" borderId="0" xfId="0" applyFont="1" applyAlignment="1">
      <alignment horizontal="distributed" vertical="center" wrapText="1"/>
    </xf>
    <xf numFmtId="0" fontId="41" fillId="0" borderId="0" xfId="0" applyFont="1" applyAlignment="1">
      <alignment vertical="center"/>
    </xf>
    <xf numFmtId="0" fontId="42" fillId="0" borderId="0" xfId="0" applyFont="1" applyAlignment="1">
      <alignment horizontal="center" vertical="center"/>
    </xf>
    <xf numFmtId="0" fontId="43" fillId="0" borderId="0" xfId="0" applyFont="1" applyAlignment="1">
      <alignment horizontal="center" vertical="center"/>
    </xf>
    <xf numFmtId="0" fontId="40" fillId="0" borderId="0" xfId="0" applyFont="1" applyAlignment="1">
      <alignment vertical="center" wrapText="1"/>
    </xf>
    <xf numFmtId="0" fontId="0" fillId="0" borderId="0" xfId="0" applyAlignment="1">
      <alignment vertical="center" wrapText="1"/>
    </xf>
    <xf numFmtId="0" fontId="40" fillId="0" borderId="0" xfId="0" applyFont="1" applyAlignment="1">
      <alignment horizontal="center" vertical="center"/>
    </xf>
    <xf numFmtId="0" fontId="0" fillId="0" borderId="0" xfId="0" applyAlignment="1">
      <alignment horizontal="center" vertical="center"/>
    </xf>
    <xf numFmtId="0" fontId="30" fillId="0" borderId="2" xfId="0" applyFont="1" applyBorder="1" applyAlignment="1">
      <alignment horizontal="center" vertical="center"/>
    </xf>
    <xf numFmtId="0" fontId="30" fillId="0" borderId="2" xfId="0" applyFont="1" applyBorder="1" applyAlignment="1">
      <alignment horizontal="left" vertical="center" wrapText="1"/>
    </xf>
    <xf numFmtId="0" fontId="0" fillId="0" borderId="4" xfId="0" applyBorder="1" applyAlignment="1">
      <alignment horizontal="left" vertical="center" wrapText="1"/>
    </xf>
    <xf numFmtId="49" fontId="40" fillId="3" borderId="1" xfId="0" applyNumberFormat="1" applyFont="1" applyFill="1" applyBorder="1" applyAlignment="1" applyProtection="1">
      <alignment horizontal="center" vertical="center"/>
      <protection locked="0"/>
    </xf>
    <xf numFmtId="49" fontId="0" fillId="3" borderId="1" xfId="0" applyNumberFormat="1" applyFill="1" applyBorder="1" applyAlignment="1" applyProtection="1">
      <alignment horizontal="center" vertical="center"/>
      <protection locked="0"/>
    </xf>
    <xf numFmtId="0" fontId="9" fillId="0" borderId="0" xfId="0" applyFont="1" applyAlignment="1" applyProtection="1">
      <alignment horizontal="center" vertical="center"/>
    </xf>
    <xf numFmtId="0" fontId="9" fillId="0" borderId="48"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12" xfId="0"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4" xfId="0" applyFont="1" applyBorder="1" applyAlignment="1" applyProtection="1">
      <alignment horizontal="left" vertical="center" wrapText="1"/>
    </xf>
    <xf numFmtId="0" fontId="9" fillId="0" borderId="0" xfId="0" applyFont="1" applyBorder="1" applyAlignment="1" applyProtection="1">
      <alignment horizontal="center" vertical="center" shrinkToFit="1"/>
    </xf>
    <xf numFmtId="0" fontId="0" fillId="0" borderId="0" xfId="0" applyAlignment="1" applyProtection="1">
      <alignment horizontal="center" vertical="center" shrinkToFit="1"/>
    </xf>
    <xf numFmtId="177" fontId="9" fillId="0" borderId="5" xfId="0" applyNumberFormat="1" applyFont="1" applyFill="1" applyBorder="1" applyAlignment="1" applyProtection="1">
      <alignment horizontal="center" vertical="center"/>
    </xf>
    <xf numFmtId="0" fontId="9" fillId="0" borderId="49" xfId="0" applyFont="1" applyBorder="1" applyAlignment="1" applyProtection="1">
      <alignment horizontal="center" vertical="center" wrapText="1"/>
    </xf>
    <xf numFmtId="0" fontId="0" fillId="0" borderId="50" xfId="0" applyBorder="1" applyAlignment="1" applyProtection="1">
      <alignment horizontal="center" vertical="center" wrapText="1"/>
    </xf>
    <xf numFmtId="0" fontId="9" fillId="0" borderId="11" xfId="0" applyFont="1" applyBorder="1" applyAlignment="1" applyProtection="1">
      <alignment horizontal="left" vertical="center" wrapText="1"/>
    </xf>
    <xf numFmtId="0" fontId="9" fillId="0" borderId="2" xfId="0" applyFont="1" applyBorder="1" applyAlignment="1" applyProtection="1">
      <alignment horizontal="left" vertical="center" shrinkToFit="1"/>
    </xf>
    <xf numFmtId="0" fontId="9" fillId="0" borderId="4" xfId="0" applyFont="1" applyBorder="1" applyAlignment="1" applyProtection="1">
      <alignment horizontal="left" vertical="center" shrinkToFit="1"/>
    </xf>
    <xf numFmtId="0" fontId="9" fillId="0" borderId="15" xfId="0" applyFont="1" applyBorder="1" applyAlignment="1" applyProtection="1">
      <alignment horizontal="left" vertical="center" wrapText="1"/>
    </xf>
    <xf numFmtId="0" fontId="13" fillId="0" borderId="0" xfId="0" applyFont="1" applyAlignment="1" applyProtection="1">
      <alignment horizontal="right" vertical="center"/>
    </xf>
    <xf numFmtId="0" fontId="0" fillId="0" borderId="0" xfId="0" applyAlignment="1">
      <alignment horizontal="right" vertical="center"/>
    </xf>
    <xf numFmtId="0" fontId="13" fillId="0" borderId="48" xfId="0" applyFont="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12" xfId="0" applyBorder="1" applyAlignment="1" applyProtection="1">
      <alignment horizontal="center" vertical="center" wrapText="1"/>
    </xf>
    <xf numFmtId="180" fontId="13" fillId="0" borderId="68" xfId="0" applyNumberFormat="1" applyFont="1" applyBorder="1" applyAlignment="1" applyProtection="1">
      <alignment vertical="center" shrinkToFit="1"/>
    </xf>
    <xf numFmtId="0" fontId="12" fillId="0" borderId="69" xfId="0" applyFont="1" applyBorder="1" applyAlignment="1" applyProtection="1">
      <alignment vertical="center" shrinkToFit="1"/>
    </xf>
    <xf numFmtId="0" fontId="12" fillId="0" borderId="71" xfId="0" applyFont="1" applyBorder="1" applyAlignment="1" applyProtection="1">
      <alignment vertical="center" shrinkToFit="1"/>
    </xf>
    <xf numFmtId="0" fontId="23" fillId="0" borderId="0" xfId="0" applyFont="1" applyAlignment="1" applyProtection="1">
      <alignment horizontal="center" vertical="center"/>
    </xf>
    <xf numFmtId="0" fontId="19" fillId="0" borderId="0" xfId="0" applyFont="1" applyAlignment="1" applyProtection="1">
      <alignment vertical="center"/>
    </xf>
    <xf numFmtId="0" fontId="13"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3" fillId="0" borderId="22"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53" xfId="0" applyBorder="1" applyAlignment="1" applyProtection="1">
      <alignment horizontal="center" vertical="center" wrapText="1"/>
    </xf>
    <xf numFmtId="0" fontId="13" fillId="6" borderId="1" xfId="0" applyFont="1" applyFill="1" applyBorder="1" applyAlignment="1" applyProtection="1">
      <alignment horizontal="center" vertical="center" wrapText="1"/>
    </xf>
    <xf numFmtId="0" fontId="13" fillId="0" borderId="65" xfId="0" applyFont="1" applyBorder="1" applyAlignment="1" applyProtection="1">
      <alignment horizontal="center" vertical="center" wrapText="1"/>
    </xf>
    <xf numFmtId="0" fontId="0" fillId="0" borderId="36" xfId="0" applyBorder="1" applyAlignment="1" applyProtection="1">
      <alignment horizontal="center" vertical="center" wrapText="1"/>
    </xf>
    <xf numFmtId="0" fontId="0" fillId="0" borderId="66" xfId="0" applyBorder="1" applyAlignment="1" applyProtection="1">
      <alignment horizontal="center" vertical="center" wrapText="1"/>
    </xf>
    <xf numFmtId="0" fontId="13" fillId="0" borderId="5" xfId="0" applyFont="1" applyBorder="1" applyAlignment="1" applyProtection="1">
      <alignment vertical="center"/>
    </xf>
    <xf numFmtId="0" fontId="13" fillId="0" borderId="6" xfId="0" applyFont="1" applyBorder="1" applyAlignment="1" applyProtection="1">
      <alignment vertical="center"/>
    </xf>
    <xf numFmtId="0" fontId="13" fillId="0" borderId="3" xfId="0" applyFont="1" applyBorder="1" applyAlignment="1" applyProtection="1">
      <alignment horizontal="center" vertical="center" wrapText="1"/>
    </xf>
    <xf numFmtId="0" fontId="13" fillId="6" borderId="1" xfId="0" applyFont="1" applyFill="1" applyBorder="1" applyAlignment="1" applyProtection="1">
      <alignment horizontal="center" vertical="center"/>
    </xf>
    <xf numFmtId="0" fontId="13" fillId="6" borderId="7" xfId="0" applyFont="1" applyFill="1" applyBorder="1" applyAlignment="1" applyProtection="1">
      <alignment horizontal="center" vertical="center" wrapText="1"/>
    </xf>
    <xf numFmtId="0" fontId="13" fillId="6" borderId="8" xfId="0" applyFont="1" applyFill="1" applyBorder="1" applyAlignment="1" applyProtection="1">
      <alignment horizontal="center" vertical="center" wrapText="1"/>
    </xf>
    <xf numFmtId="0" fontId="13" fillId="6" borderId="8" xfId="0" applyFont="1" applyFill="1" applyBorder="1" applyAlignment="1" applyProtection="1">
      <alignment horizontal="center" vertical="center"/>
    </xf>
    <xf numFmtId="0" fontId="13" fillId="6" borderId="6" xfId="0"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13" fillId="0" borderId="0" xfId="0" applyFont="1" applyBorder="1" applyAlignment="1" applyProtection="1">
      <alignment horizontal="center" vertical="center" shrinkToFit="1"/>
    </xf>
    <xf numFmtId="0" fontId="12" fillId="0" borderId="5" xfId="0" applyFont="1" applyBorder="1" applyAlignment="1" applyProtection="1">
      <alignment horizontal="center" vertical="center" shrinkToFit="1"/>
    </xf>
    <xf numFmtId="0" fontId="13" fillId="0" borderId="22" xfId="0" applyFont="1" applyBorder="1" applyAlignment="1" applyProtection="1">
      <alignment horizontal="center" vertical="center"/>
    </xf>
    <xf numFmtId="0" fontId="12" fillId="0" borderId="24" xfId="0" applyFont="1" applyBorder="1" applyAlignment="1" applyProtection="1">
      <alignment vertical="center"/>
    </xf>
    <xf numFmtId="0" fontId="12" fillId="0" borderId="25" xfId="0" applyFont="1" applyBorder="1" applyAlignment="1" applyProtection="1">
      <alignment vertical="center"/>
    </xf>
    <xf numFmtId="0" fontId="12" fillId="0" borderId="10" xfId="0" applyFont="1" applyBorder="1" applyAlignment="1" applyProtection="1">
      <alignment vertical="center"/>
    </xf>
    <xf numFmtId="0" fontId="13" fillId="0" borderId="2" xfId="0" applyFont="1" applyFill="1" applyBorder="1" applyAlignment="1" applyProtection="1">
      <alignment horizontal="center" vertical="center"/>
    </xf>
    <xf numFmtId="0" fontId="12" fillId="0" borderId="4" xfId="0" applyFont="1" applyBorder="1" applyAlignment="1" applyProtection="1">
      <alignment vertical="center"/>
    </xf>
    <xf numFmtId="0" fontId="13" fillId="0" borderId="2" xfId="0" applyFont="1" applyBorder="1" applyAlignment="1" applyProtection="1">
      <alignment horizontal="left" vertical="center" wrapText="1"/>
    </xf>
    <xf numFmtId="0" fontId="12" fillId="0" borderId="4" xfId="0" applyFont="1" applyBorder="1" applyAlignment="1" applyProtection="1">
      <alignment vertical="center" wrapText="1"/>
    </xf>
    <xf numFmtId="195" fontId="8" fillId="0" borderId="0" xfId="2" applyNumberFormat="1" applyFont="1" applyAlignment="1">
      <alignment horizontal="distributed" vertical="center"/>
    </xf>
    <xf numFmtId="0" fontId="0" fillId="0" borderId="0" xfId="0" applyAlignment="1">
      <alignment horizontal="distributed" vertical="center"/>
    </xf>
    <xf numFmtId="0" fontId="8" fillId="4" borderId="3" xfId="2" applyFont="1" applyFill="1" applyBorder="1"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8" fillId="4" borderId="2" xfId="2" applyFont="1" applyFill="1" applyBorder="1" applyAlignment="1" applyProtection="1">
      <alignment vertical="center"/>
      <protection locked="0"/>
    </xf>
    <xf numFmtId="0" fontId="8" fillId="0" borderId="1" xfId="2" applyFont="1" applyBorder="1" applyAlignment="1">
      <alignment horizontal="center" vertical="center"/>
    </xf>
    <xf numFmtId="0" fontId="8" fillId="0" borderId="7" xfId="2" applyFont="1" applyBorder="1" applyAlignment="1">
      <alignment horizontal="center" vertical="center"/>
    </xf>
    <xf numFmtId="0" fontId="8" fillId="0" borderId="6" xfId="2" applyFont="1" applyBorder="1" applyAlignment="1">
      <alignment horizontal="center" vertical="center"/>
    </xf>
    <xf numFmtId="0" fontId="15" fillId="0" borderId="0" xfId="2" applyFont="1" applyAlignment="1">
      <alignment horizontal="center" vertical="center"/>
    </xf>
    <xf numFmtId="0" fontId="26" fillId="0" borderId="1" xfId="2" applyFont="1" applyBorder="1" applyAlignment="1">
      <alignment horizontal="center" vertical="center"/>
    </xf>
    <xf numFmtId="0" fontId="26" fillId="0" borderId="2" xfId="2" applyFont="1" applyBorder="1" applyAlignment="1">
      <alignment horizontal="center" vertical="center"/>
    </xf>
    <xf numFmtId="0" fontId="0" fillId="0" borderId="1" xfId="0" applyBorder="1" applyAlignment="1">
      <alignment vertical="center"/>
    </xf>
    <xf numFmtId="0" fontId="0" fillId="0" borderId="3" xfId="0" applyBorder="1" applyAlignment="1">
      <alignment horizontal="center" vertical="center"/>
    </xf>
    <xf numFmtId="0" fontId="26" fillId="0" borderId="2" xfId="2" applyFont="1" applyBorder="1" applyAlignment="1">
      <alignment vertical="center" wrapText="1"/>
    </xf>
    <xf numFmtId="0" fontId="0" fillId="0" borderId="2" xfId="0" applyBorder="1" applyAlignment="1">
      <alignment vertical="center" wrapText="1"/>
    </xf>
    <xf numFmtId="0" fontId="23"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9" fillId="7" borderId="2" xfId="0" applyFont="1" applyFill="1" applyBorder="1" applyAlignment="1">
      <alignment horizontal="center" vertical="center"/>
    </xf>
    <xf numFmtId="0" fontId="0" fillId="7" borderId="4" xfId="0" applyFill="1" applyBorder="1" applyAlignment="1">
      <alignment horizontal="center" vertical="center"/>
    </xf>
    <xf numFmtId="0" fontId="9" fillId="7" borderId="2" xfId="0" applyFont="1" applyFill="1" applyBorder="1" applyAlignment="1">
      <alignment horizontal="center" vertical="center" shrinkToFit="1"/>
    </xf>
    <xf numFmtId="0" fontId="23" fillId="0" borderId="2" xfId="0" applyFont="1" applyBorder="1" applyAlignment="1">
      <alignment horizontal="center" vertical="center"/>
    </xf>
    <xf numFmtId="0" fontId="19" fillId="0" borderId="3" xfId="0" applyFont="1" applyBorder="1" applyAlignment="1">
      <alignment vertical="center"/>
    </xf>
    <xf numFmtId="0" fontId="19" fillId="0" borderId="4" xfId="0" applyFont="1" applyBorder="1" applyAlignment="1">
      <alignment vertical="center"/>
    </xf>
    <xf numFmtId="0" fontId="23" fillId="0" borderId="2" xfId="0" applyFont="1" applyBorder="1" applyAlignment="1">
      <alignment vertical="top" wrapText="1" shrinkToFit="1"/>
    </xf>
    <xf numFmtId="0" fontId="19" fillId="0" borderId="3" xfId="0" applyFont="1" applyBorder="1" applyAlignment="1">
      <alignment vertical="top" wrapText="1" shrinkToFit="1"/>
    </xf>
    <xf numFmtId="0" fontId="23" fillId="0" borderId="5" xfId="0" applyFont="1" applyBorder="1" applyAlignment="1" applyProtection="1">
      <alignment vertical="center" shrinkToFit="1"/>
    </xf>
    <xf numFmtId="0" fontId="19" fillId="0" borderId="5" xfId="0" applyFont="1" applyBorder="1" applyAlignment="1">
      <alignment vertical="center" shrinkToFit="1"/>
    </xf>
    <xf numFmtId="0" fontId="23" fillId="0" borderId="1" xfId="0" applyFont="1" applyBorder="1" applyAlignment="1">
      <alignment horizontal="center" vertical="center" shrinkToFit="1"/>
    </xf>
    <xf numFmtId="0" fontId="19" fillId="0" borderId="1" xfId="0" applyFont="1" applyBorder="1" applyAlignment="1">
      <alignment horizontal="center" vertical="center"/>
    </xf>
    <xf numFmtId="180" fontId="23" fillId="0" borderId="1" xfId="0" applyNumberFormat="1" applyFont="1" applyBorder="1" applyAlignment="1">
      <alignment vertical="center"/>
    </xf>
    <xf numFmtId="0" fontId="19" fillId="0" borderId="1" xfId="0" applyFont="1" applyBorder="1" applyAlignment="1">
      <alignment vertical="center"/>
    </xf>
    <xf numFmtId="0" fontId="23" fillId="0" borderId="0" xfId="0" applyFont="1" applyBorder="1" applyAlignment="1" applyProtection="1">
      <alignment horizontal="left" vertical="center" wrapText="1"/>
    </xf>
    <xf numFmtId="0" fontId="19" fillId="0" borderId="0" xfId="0" applyFont="1" applyAlignment="1">
      <alignment horizontal="left" vertical="center"/>
    </xf>
    <xf numFmtId="0" fontId="19" fillId="0" borderId="1" xfId="0" applyFont="1" applyBorder="1" applyAlignment="1">
      <alignment horizontal="center" vertical="center" shrinkToFit="1"/>
    </xf>
    <xf numFmtId="180" fontId="13" fillId="4" borderId="1" xfId="0" applyNumberFormat="1" applyFont="1" applyFill="1" applyBorder="1" applyAlignment="1" applyProtection="1">
      <alignment horizontal="right" vertical="center"/>
      <protection locked="0"/>
    </xf>
    <xf numFmtId="180" fontId="0" fillId="4" borderId="1" xfId="0" applyNumberFormat="1" applyFill="1" applyBorder="1" applyAlignment="1" applyProtection="1">
      <alignment horizontal="right" vertical="center"/>
      <protection locked="0"/>
    </xf>
    <xf numFmtId="0" fontId="9" fillId="0" borderId="14" xfId="0" applyFont="1" applyBorder="1" applyAlignment="1">
      <alignment vertical="center" wrapText="1"/>
    </xf>
    <xf numFmtId="0" fontId="9" fillId="0" borderId="0" xfId="0" applyFont="1" applyBorder="1" applyAlignment="1">
      <alignment vertical="center" wrapText="1"/>
    </xf>
    <xf numFmtId="0" fontId="13" fillId="7" borderId="7" xfId="0" applyFont="1" applyFill="1" applyBorder="1" applyAlignment="1" applyProtection="1">
      <alignment horizontal="center" vertical="center" shrinkToFit="1"/>
    </xf>
    <xf numFmtId="0" fontId="12" fillId="7" borderId="8" xfId="0" applyFont="1" applyFill="1" applyBorder="1" applyAlignment="1">
      <alignment horizontal="center" vertical="center" shrinkToFit="1"/>
    </xf>
    <xf numFmtId="0" fontId="12" fillId="7" borderId="6" xfId="0" applyFont="1" applyFill="1" applyBorder="1" applyAlignment="1">
      <alignment horizontal="center" vertical="center" shrinkToFit="1"/>
    </xf>
    <xf numFmtId="0" fontId="13" fillId="7" borderId="7" xfId="0" applyFont="1" applyFill="1" applyBorder="1" applyAlignment="1">
      <alignment horizontal="center" vertical="center" shrinkToFit="1"/>
    </xf>
    <xf numFmtId="0" fontId="13" fillId="7" borderId="2" xfId="0" applyFont="1" applyFill="1" applyBorder="1" applyAlignment="1" applyProtection="1">
      <alignment horizontal="center" vertical="center" shrinkToFit="1"/>
    </xf>
    <xf numFmtId="0" fontId="12" fillId="7" borderId="4" xfId="0" applyFont="1" applyFill="1" applyBorder="1" applyAlignment="1">
      <alignment vertical="center" shrinkToFit="1"/>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1" xfId="0" applyFont="1" applyBorder="1" applyAlignment="1" applyProtection="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vertical="center" wrapText="1"/>
    </xf>
    <xf numFmtId="0" fontId="9" fillId="0" borderId="4" xfId="0" applyFont="1" applyBorder="1" applyAlignment="1">
      <alignment vertical="center" wrapTex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13" fillId="7" borderId="22" xfId="0" applyFont="1" applyFill="1" applyBorder="1" applyAlignment="1">
      <alignment horizontal="center" vertical="center" shrinkToFit="1"/>
    </xf>
    <xf numFmtId="0" fontId="12" fillId="0" borderId="23" xfId="0" applyFont="1" applyBorder="1" applyAlignment="1">
      <alignment vertical="center"/>
    </xf>
    <xf numFmtId="0" fontId="12" fillId="0" borderId="24" xfId="0" applyFont="1" applyBorder="1" applyAlignment="1">
      <alignment vertical="center"/>
    </xf>
    <xf numFmtId="0" fontId="12" fillId="7" borderId="25" xfId="0" applyFont="1" applyFill="1" applyBorder="1" applyAlignment="1">
      <alignment horizontal="center" vertical="center"/>
    </xf>
    <xf numFmtId="0" fontId="12" fillId="0" borderId="5" xfId="0" applyFont="1" applyBorder="1" applyAlignment="1">
      <alignment vertical="center"/>
    </xf>
    <xf numFmtId="0" fontId="12" fillId="0" borderId="10" xfId="0" applyFont="1" applyBorder="1" applyAlignment="1">
      <alignment vertical="center"/>
    </xf>
    <xf numFmtId="0" fontId="13" fillId="0" borderId="22" xfId="0" applyFont="1" applyBorder="1" applyAlignment="1">
      <alignment vertical="top" wrapText="1" shrinkToFit="1"/>
    </xf>
    <xf numFmtId="0" fontId="13" fillId="0" borderId="14" xfId="0" applyFont="1" applyBorder="1" applyAlignment="1">
      <alignment vertical="top" wrapText="1" shrinkToFit="1"/>
    </xf>
    <xf numFmtId="0" fontId="12" fillId="0" borderId="0" xfId="0" applyFont="1" applyBorder="1" applyAlignment="1">
      <alignment vertical="center"/>
    </xf>
    <xf numFmtId="0" fontId="12" fillId="0" borderId="9" xfId="0" applyFont="1" applyBorder="1" applyAlignment="1">
      <alignment vertical="center"/>
    </xf>
    <xf numFmtId="0" fontId="12" fillId="0" borderId="14" xfId="0" applyFont="1" applyBorder="1" applyAlignment="1">
      <alignment vertical="top" wrapText="1" shrinkToFit="1"/>
    </xf>
    <xf numFmtId="0" fontId="12" fillId="0" borderId="14" xfId="0" applyFont="1" applyBorder="1" applyAlignment="1">
      <alignment vertical="center"/>
    </xf>
    <xf numFmtId="0" fontId="12" fillId="0" borderId="25" xfId="0" applyFont="1" applyBorder="1" applyAlignment="1">
      <alignment vertical="center"/>
    </xf>
    <xf numFmtId="0" fontId="13" fillId="0" borderId="1" xfId="0" applyFont="1" applyBorder="1" applyAlignment="1" applyProtection="1">
      <alignment horizontal="center" vertical="center" shrinkToFit="1"/>
    </xf>
    <xf numFmtId="0" fontId="12" fillId="0" borderId="1" xfId="0" applyFont="1" applyBorder="1" applyAlignment="1">
      <alignment horizontal="center" vertical="center" shrinkToFit="1"/>
    </xf>
    <xf numFmtId="0" fontId="13" fillId="0" borderId="2" xfId="0" applyFont="1" applyBorder="1" applyAlignment="1" applyProtection="1">
      <alignment horizontal="center" vertical="center" shrinkToFit="1"/>
    </xf>
    <xf numFmtId="0" fontId="12" fillId="0" borderId="2" xfId="0" applyFont="1" applyBorder="1" applyAlignment="1">
      <alignment horizontal="center" vertical="center" shrinkToFit="1"/>
    </xf>
    <xf numFmtId="0" fontId="13" fillId="0" borderId="17" xfId="0" applyFont="1" applyBorder="1" applyAlignment="1" applyProtection="1">
      <alignment horizontal="center" vertical="center" shrinkToFit="1"/>
    </xf>
    <xf numFmtId="0" fontId="12" fillId="0" borderId="17" xfId="0" applyFont="1" applyBorder="1" applyAlignment="1">
      <alignment horizontal="center" vertical="center" shrinkToFit="1"/>
    </xf>
    <xf numFmtId="0" fontId="13" fillId="0" borderId="0" xfId="0" applyFont="1" applyBorder="1" applyAlignment="1" applyProtection="1">
      <alignment horizontal="left" vertical="center"/>
    </xf>
    <xf numFmtId="0" fontId="12" fillId="0" borderId="0" xfId="0" applyFont="1" applyAlignment="1">
      <alignment horizontal="left" vertical="center"/>
    </xf>
    <xf numFmtId="180" fontId="13" fillId="0" borderId="1" xfId="0" applyNumberFormat="1" applyFont="1" applyBorder="1" applyAlignment="1">
      <alignment vertical="center"/>
    </xf>
    <xf numFmtId="0" fontId="12" fillId="0" borderId="1" xfId="0" applyFont="1" applyBorder="1" applyAlignment="1">
      <alignment vertical="center"/>
    </xf>
    <xf numFmtId="0" fontId="13" fillId="0" borderId="5" xfId="0" applyFont="1" applyBorder="1" applyAlignment="1" applyProtection="1">
      <alignment vertical="center" wrapText="1" shrinkToFit="1"/>
    </xf>
    <xf numFmtId="0" fontId="12" fillId="0" borderId="5" xfId="0" applyFont="1" applyBorder="1" applyAlignment="1">
      <alignment vertical="center" shrinkToFi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vertical="center" wrapText="1"/>
    </xf>
    <xf numFmtId="0" fontId="13" fillId="0" borderId="0" xfId="0" applyFont="1" applyBorder="1" applyAlignment="1">
      <alignment vertical="center" wrapText="1"/>
    </xf>
    <xf numFmtId="0" fontId="13" fillId="0" borderId="1" xfId="0" applyFont="1" applyBorder="1" applyAlignment="1" applyProtection="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2" xfId="0" applyFont="1" applyBorder="1" applyAlignment="1">
      <alignment vertical="center" wrapText="1"/>
    </xf>
    <xf numFmtId="0" fontId="13" fillId="0" borderId="4" xfId="0" applyFont="1" applyBorder="1" applyAlignment="1">
      <alignment vertical="center" wrapText="1"/>
    </xf>
    <xf numFmtId="0" fontId="13" fillId="0" borderId="7"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8" xfId="0" applyFont="1" applyBorder="1" applyAlignment="1">
      <alignment horizontal="center" vertical="center" shrinkToFit="1"/>
    </xf>
    <xf numFmtId="0" fontId="13" fillId="0" borderId="0" xfId="0" applyFont="1" applyBorder="1" applyAlignment="1" applyProtection="1">
      <alignment horizontal="left" vertical="center" wrapText="1"/>
    </xf>
    <xf numFmtId="0" fontId="13" fillId="7" borderId="2" xfId="0" applyFont="1" applyFill="1" applyBorder="1" applyAlignment="1">
      <alignment horizontal="center" vertical="center"/>
    </xf>
    <xf numFmtId="0" fontId="12" fillId="7" borderId="4" xfId="0" applyFont="1" applyFill="1" applyBorder="1" applyAlignment="1">
      <alignment horizontal="center" vertical="center"/>
    </xf>
    <xf numFmtId="0" fontId="13" fillId="0" borderId="3" xfId="0" applyFont="1" applyBorder="1" applyAlignment="1">
      <alignment horizontal="center" vertical="center"/>
    </xf>
    <xf numFmtId="0" fontId="12" fillId="0" borderId="3" xfId="0" applyFont="1" applyBorder="1" applyAlignment="1">
      <alignment vertical="center"/>
    </xf>
    <xf numFmtId="0" fontId="12" fillId="0" borderId="4" xfId="0" applyFont="1" applyBorder="1" applyAlignment="1">
      <alignment vertical="center"/>
    </xf>
    <xf numFmtId="0" fontId="13" fillId="0" borderId="1" xfId="0" applyFont="1" applyBorder="1" applyAlignment="1">
      <alignment horizontal="center" vertical="center" shrinkToFit="1"/>
    </xf>
    <xf numFmtId="0" fontId="12" fillId="0" borderId="1" xfId="0" applyFont="1" applyBorder="1" applyAlignment="1">
      <alignment horizontal="center" vertical="center"/>
    </xf>
    <xf numFmtId="0" fontId="13" fillId="0" borderId="0" xfId="0" applyFont="1" applyAlignment="1">
      <alignment vertical="center"/>
    </xf>
    <xf numFmtId="0" fontId="13" fillId="0" borderId="14" xfId="0" applyFont="1" applyBorder="1" applyAlignment="1">
      <alignment vertical="center"/>
    </xf>
    <xf numFmtId="180" fontId="13" fillId="0" borderId="1" xfId="0" applyNumberFormat="1" applyFont="1" applyBorder="1" applyAlignment="1" applyProtection="1">
      <alignment horizontal="center" vertical="center"/>
    </xf>
    <xf numFmtId="180" fontId="13" fillId="0" borderId="1" xfId="0" applyNumberFormat="1" applyFont="1" applyBorder="1" applyAlignment="1">
      <alignment horizontal="center" vertical="center"/>
    </xf>
    <xf numFmtId="0" fontId="22" fillId="0" borderId="0" xfId="0" applyFont="1" applyAlignment="1" applyProtection="1">
      <alignment vertical="center" wrapText="1"/>
    </xf>
    <xf numFmtId="0" fontId="22" fillId="0" borderId="0" xfId="0" applyFont="1" applyAlignment="1">
      <alignment vertical="center"/>
    </xf>
    <xf numFmtId="0" fontId="13" fillId="0" borderId="1" xfId="0" applyFont="1" applyBorder="1" applyAlignment="1" applyProtection="1">
      <alignment horizontal="center" vertical="center"/>
    </xf>
    <xf numFmtId="0" fontId="0" fillId="0" borderId="1" xfId="0" applyBorder="1" applyAlignment="1" applyProtection="1">
      <alignment vertical="center"/>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6" xfId="0" applyFont="1" applyBorder="1" applyAlignment="1" applyProtection="1">
      <alignment horizontal="center" vertical="center"/>
    </xf>
    <xf numFmtId="0" fontId="13" fillId="0" borderId="1" xfId="0" applyFont="1" applyBorder="1" applyAlignment="1" applyProtection="1">
      <alignment horizontal="left" vertical="center"/>
    </xf>
    <xf numFmtId="0" fontId="13" fillId="0" borderId="7" xfId="0" applyFont="1" applyBorder="1" applyAlignment="1" applyProtection="1">
      <alignment vertical="center" wrapText="1"/>
    </xf>
    <xf numFmtId="0" fontId="0" fillId="0" borderId="8"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13" fillId="4" borderId="7" xfId="0" applyFont="1" applyFill="1" applyBorder="1" applyAlignment="1" applyProtection="1">
      <alignment horizontal="left" vertical="center"/>
      <protection locked="0"/>
    </xf>
    <xf numFmtId="0" fontId="0" fillId="0" borderId="6" xfId="0" applyBorder="1" applyAlignment="1" applyProtection="1">
      <alignment vertical="center"/>
      <protection locked="0"/>
    </xf>
    <xf numFmtId="0" fontId="13" fillId="0" borderId="0" xfId="0" applyFont="1" applyBorder="1" applyAlignment="1" applyProtection="1">
      <alignment vertical="center" wrapText="1"/>
    </xf>
    <xf numFmtId="0" fontId="13" fillId="0" borderId="0" xfId="0" applyFont="1" applyAlignment="1" applyProtection="1">
      <alignment vertical="center"/>
    </xf>
    <xf numFmtId="0" fontId="13" fillId="0" borderId="0" xfId="0" applyFont="1" applyBorder="1" applyAlignment="1" applyProtection="1">
      <alignment vertical="center"/>
    </xf>
    <xf numFmtId="0" fontId="13" fillId="4" borderId="14" xfId="0" applyFont="1" applyFill="1" applyBorder="1" applyAlignment="1" applyProtection="1">
      <alignment horizontal="left" vertical="center"/>
      <protection locked="0"/>
    </xf>
    <xf numFmtId="0" fontId="0" fillId="0" borderId="9" xfId="0" applyBorder="1" applyAlignment="1" applyProtection="1">
      <alignment vertical="center"/>
      <protection locked="0"/>
    </xf>
    <xf numFmtId="180" fontId="13" fillId="0" borderId="7" xfId="0" applyNumberFormat="1" applyFont="1" applyBorder="1" applyAlignment="1" applyProtection="1">
      <alignment horizontal="center" vertical="center"/>
    </xf>
    <xf numFmtId="0" fontId="0" fillId="0" borderId="8" xfId="0" applyBorder="1" applyAlignment="1" applyProtection="1">
      <alignment horizontal="center" vertical="center"/>
    </xf>
    <xf numFmtId="0" fontId="0" fillId="0" borderId="6" xfId="0" applyBorder="1" applyAlignment="1" applyProtection="1">
      <alignment horizontal="center" vertical="center"/>
    </xf>
    <xf numFmtId="0" fontId="12" fillId="0" borderId="5" xfId="0" applyFont="1" applyBorder="1" applyAlignment="1" applyProtection="1">
      <alignment vertical="center"/>
    </xf>
    <xf numFmtId="0" fontId="13" fillId="4" borderId="22" xfId="0" applyFont="1" applyFill="1" applyBorder="1" applyAlignment="1" applyProtection="1">
      <alignment vertical="center"/>
      <protection locked="0"/>
    </xf>
    <xf numFmtId="0" fontId="13" fillId="4" borderId="23" xfId="0" applyFont="1" applyFill="1" applyBorder="1" applyAlignment="1" applyProtection="1">
      <alignment vertical="center"/>
      <protection locked="0"/>
    </xf>
    <xf numFmtId="0" fontId="0" fillId="0" borderId="24" xfId="0" applyBorder="1" applyAlignment="1" applyProtection="1">
      <alignment vertical="center"/>
      <protection locked="0"/>
    </xf>
    <xf numFmtId="0" fontId="13" fillId="4" borderId="14" xfId="0" applyFont="1" applyFill="1" applyBorder="1" applyAlignment="1" applyProtection="1">
      <alignment vertical="center"/>
      <protection locked="0"/>
    </xf>
    <xf numFmtId="0" fontId="13" fillId="4" borderId="0" xfId="0" applyFont="1" applyFill="1" applyBorder="1" applyAlignment="1" applyProtection="1">
      <alignment vertical="center"/>
      <protection locked="0"/>
    </xf>
    <xf numFmtId="0" fontId="0" fillId="0" borderId="25" xfId="0" applyBorder="1" applyAlignment="1" applyProtection="1">
      <alignment vertical="center"/>
      <protection locked="0"/>
    </xf>
    <xf numFmtId="0" fontId="0" fillId="0" borderId="5" xfId="0" applyBorder="1" applyAlignment="1" applyProtection="1">
      <alignment vertical="center"/>
      <protection locked="0"/>
    </xf>
    <xf numFmtId="0" fontId="0" fillId="0" borderId="10" xfId="0" applyBorder="1" applyAlignment="1" applyProtection="1">
      <alignment vertical="center"/>
      <protection locked="0"/>
    </xf>
    <xf numFmtId="0" fontId="13" fillId="2" borderId="22" xfId="0" applyFont="1" applyFill="1" applyBorder="1" applyAlignment="1" applyProtection="1">
      <alignment horizontal="center" vertical="center" shrinkToFit="1"/>
    </xf>
    <xf numFmtId="0" fontId="0" fillId="0" borderId="24" xfId="0" applyBorder="1" applyAlignment="1" applyProtection="1">
      <alignment vertical="center"/>
    </xf>
    <xf numFmtId="0" fontId="0" fillId="0" borderId="0" xfId="0" applyBorder="1" applyAlignment="1" applyProtection="1">
      <alignment vertical="center"/>
    </xf>
    <xf numFmtId="0" fontId="0" fillId="0" borderId="0" xfId="0" applyAlignment="1" applyProtection="1">
      <alignment vertical="center"/>
    </xf>
    <xf numFmtId="0" fontId="0" fillId="0" borderId="5" xfId="0" applyBorder="1" applyAlignment="1" applyProtection="1">
      <alignment vertical="center"/>
    </xf>
    <xf numFmtId="0" fontId="13" fillId="0" borderId="0" xfId="0" applyFont="1" applyBorder="1" applyAlignment="1">
      <alignment horizontal="center" vertical="center"/>
    </xf>
    <xf numFmtId="0" fontId="13" fillId="0" borderId="0" xfId="0" applyFont="1" applyBorder="1" applyAlignment="1" applyProtection="1">
      <alignment horizontal="center" vertical="center" wrapText="1"/>
    </xf>
    <xf numFmtId="0" fontId="13" fillId="0" borderId="0" xfId="0" applyFont="1" applyBorder="1" applyAlignment="1">
      <alignment horizontal="center" vertical="center" wrapText="1"/>
    </xf>
    <xf numFmtId="0" fontId="13" fillId="4" borderId="7" xfId="0" applyFont="1" applyFill="1" applyBorder="1" applyAlignment="1" applyProtection="1">
      <alignment horizontal="center" vertical="center" shrinkToFit="1"/>
      <protection locked="0"/>
    </xf>
    <xf numFmtId="0" fontId="12" fillId="4" borderId="6" xfId="0" applyFont="1" applyFill="1" applyBorder="1" applyAlignment="1" applyProtection="1">
      <alignment horizontal="center" vertical="center" shrinkToFit="1"/>
      <protection locked="0"/>
    </xf>
    <xf numFmtId="0" fontId="13" fillId="7" borderId="22" xfId="0" applyFont="1" applyFill="1" applyBorder="1" applyAlignment="1" applyProtection="1">
      <alignment horizontal="center" vertical="center" shrinkToFit="1"/>
    </xf>
    <xf numFmtId="0" fontId="12" fillId="0" borderId="23"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5" xfId="0" applyFont="1" applyBorder="1" applyAlignment="1">
      <alignment horizontal="center" vertical="center" shrinkToFit="1"/>
    </xf>
    <xf numFmtId="0" fontId="22" fillId="4" borderId="7" xfId="0" applyFont="1" applyFill="1" applyBorder="1" applyAlignment="1" applyProtection="1">
      <alignment horizontal="center" vertical="center" shrinkToFit="1"/>
      <protection locked="0"/>
    </xf>
  </cellXfs>
  <cellStyles count="6">
    <cellStyle name="ハイパーリンク" xfId="1" builtinId="8"/>
    <cellStyle name="桁区切り" xfId="5" builtinId="6"/>
    <cellStyle name="桁区切り 2" xfId="3"/>
    <cellStyle name="標準" xfId="0" builtinId="0"/>
    <cellStyle name="標準 2" xfId="2"/>
    <cellStyle name="標準 2 5" xfId="4"/>
  </cellStyles>
  <dxfs count="1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fmlaLink="$AF$3" lockText="1" noThreeD="1"/>
</file>

<file path=xl/ctrlProps/ctrlProp2.xml><?xml version="1.0" encoding="utf-8"?>
<formControlPr xmlns="http://schemas.microsoft.com/office/spreadsheetml/2009/9/main" objectType="CheckBox" fmlaLink="$AF$4" lockText="1" noThreeD="1"/>
</file>

<file path=xl/ctrlProps/ctrlProp3.xml><?xml version="1.0" encoding="utf-8"?>
<formControlPr xmlns="http://schemas.microsoft.com/office/spreadsheetml/2009/9/main" objectType="CheckBox" fmlaLink="$AF$5" lockText="1" noThreeD="1"/>
</file>

<file path=xl/ctrlProps/ctrlProp4.xml><?xml version="1.0" encoding="utf-8"?>
<formControlPr xmlns="http://schemas.microsoft.com/office/spreadsheetml/2009/9/main" objectType="CheckBox" fmlaLink="$AF$23" lockText="1" noThreeD="1"/>
</file>

<file path=xl/ctrlProps/ctrlProp5.xml><?xml version="1.0" encoding="utf-8"?>
<formControlPr xmlns="http://schemas.microsoft.com/office/spreadsheetml/2009/9/main" objectType="CheckBox" fmlaLink="$AF$24" lockText="1" noThreeD="1"/>
</file>

<file path=xl/ctrlProps/ctrlProp6.xml><?xml version="1.0" encoding="utf-8"?>
<formControlPr xmlns="http://schemas.microsoft.com/office/spreadsheetml/2009/9/main" objectType="CheckBox" fmlaLink="$AF$25" lockText="1" noThreeD="1"/>
</file>

<file path=xl/ctrlProps/ctrlProp7.xml><?xml version="1.0" encoding="utf-8"?>
<formControlPr xmlns="http://schemas.microsoft.com/office/spreadsheetml/2009/9/main" objectType="CheckBox" fmlaLink="$X$4" lockText="1" noThreeD="1"/>
</file>

<file path=xl/ctrlProps/ctrlProp8.xml><?xml version="1.0" encoding="utf-8"?>
<formControlPr xmlns="http://schemas.microsoft.com/office/spreadsheetml/2009/9/main" objectType="CheckBox" fmlaLink="$X$6" lockText="1" noThreeD="1"/>
</file>

<file path=xl/ctrlProps/ctrlProp9.xml><?xml version="1.0" encoding="utf-8"?>
<formControlPr xmlns="http://schemas.microsoft.com/office/spreadsheetml/2009/9/main" objectType="CheckBox" fmlaLink="$X$5" lockText="1" noThreeD="1"/>
</file>

<file path=xl/drawings/_rels/drawing10.xml.rels><?xml version="1.0" encoding="UTF-8" standalone="yes"?>
<Relationships xmlns="http://schemas.openxmlformats.org/package/2006/relationships"><Relationship Id="rId2" Type="http://schemas.openxmlformats.org/officeDocument/2006/relationships/image" Target="../media/image25.emf"/><Relationship Id="rId1" Type="http://schemas.openxmlformats.org/officeDocument/2006/relationships/image" Target="../media/image24.emf"/></Relationships>
</file>

<file path=xl/drawings/_rels/drawing11.xml.rels><?xml version="1.0" encoding="UTF-8" standalone="yes"?>
<Relationships xmlns="http://schemas.openxmlformats.org/package/2006/relationships"><Relationship Id="rId2" Type="http://schemas.openxmlformats.org/officeDocument/2006/relationships/image" Target="../media/image29.emf"/><Relationship Id="rId1" Type="http://schemas.openxmlformats.org/officeDocument/2006/relationships/image" Target="../media/image28.emf"/></Relationships>
</file>

<file path=xl/drawings/_rels/drawing12.xml.rels><?xml version="1.0" encoding="UTF-8" standalone="yes"?>
<Relationships xmlns="http://schemas.openxmlformats.org/package/2006/relationships"><Relationship Id="rId2" Type="http://schemas.openxmlformats.org/officeDocument/2006/relationships/image" Target="../media/image33.emf"/><Relationship Id="rId1" Type="http://schemas.openxmlformats.org/officeDocument/2006/relationships/image" Target="../media/image32.emf"/></Relationships>
</file>

<file path=xl/drawings/_rels/drawing13.xml.rels><?xml version="1.0" encoding="UTF-8" standalone="yes"?>
<Relationships xmlns="http://schemas.openxmlformats.org/package/2006/relationships"><Relationship Id="rId2" Type="http://schemas.openxmlformats.org/officeDocument/2006/relationships/image" Target="../media/image36.emf"/><Relationship Id="rId1" Type="http://schemas.openxmlformats.org/officeDocument/2006/relationships/image" Target="../media/image24.emf"/></Relationships>
</file>

<file path=xl/drawings/_rels/drawing14.xml.rels><?xml version="1.0" encoding="UTF-8" standalone="yes"?>
<Relationships xmlns="http://schemas.openxmlformats.org/package/2006/relationships"><Relationship Id="rId2" Type="http://schemas.openxmlformats.org/officeDocument/2006/relationships/image" Target="../media/image39.emf"/><Relationship Id="rId1" Type="http://schemas.openxmlformats.org/officeDocument/2006/relationships/image" Target="../media/image38.emf"/></Relationships>
</file>

<file path=xl/drawings/_rels/drawing15.xml.rels><?xml version="1.0" encoding="UTF-8" standalone="yes"?>
<Relationships xmlns="http://schemas.openxmlformats.org/package/2006/relationships"><Relationship Id="rId2" Type="http://schemas.openxmlformats.org/officeDocument/2006/relationships/image" Target="../media/image43.emf"/><Relationship Id="rId1" Type="http://schemas.openxmlformats.org/officeDocument/2006/relationships/image" Target="../media/image42.emf"/></Relationships>
</file>

<file path=xl/drawings/_rels/drawing16.xml.rels><?xml version="1.0" encoding="UTF-8" standalone="yes"?>
<Relationships xmlns="http://schemas.openxmlformats.org/package/2006/relationships"><Relationship Id="rId2" Type="http://schemas.openxmlformats.org/officeDocument/2006/relationships/image" Target="../media/image46.emf"/><Relationship Id="rId1" Type="http://schemas.openxmlformats.org/officeDocument/2006/relationships/image" Target="../media/image16.emf"/></Relationships>
</file>

<file path=xl/drawings/_rels/drawing17.xml.rels><?xml version="1.0" encoding="UTF-8" standalone="yes"?>
<Relationships xmlns="http://schemas.openxmlformats.org/package/2006/relationships"><Relationship Id="rId2" Type="http://schemas.openxmlformats.org/officeDocument/2006/relationships/image" Target="../media/image49.emf"/><Relationship Id="rId1" Type="http://schemas.openxmlformats.org/officeDocument/2006/relationships/image" Target="../media/image48.emf"/></Relationships>
</file>

<file path=xl/drawings/_rels/drawing18.xml.rels><?xml version="1.0" encoding="UTF-8" standalone="yes"?>
<Relationships xmlns="http://schemas.openxmlformats.org/package/2006/relationships"><Relationship Id="rId2" Type="http://schemas.openxmlformats.org/officeDocument/2006/relationships/image" Target="../media/image53.emf"/><Relationship Id="rId1" Type="http://schemas.openxmlformats.org/officeDocument/2006/relationships/image" Target="../media/image52.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8.emf"/></Relationships>
</file>

<file path=xl/drawings/_rels/drawing6.xml.rels><?xml version="1.0" encoding="UTF-8" standalone="yes"?>
<Relationships xmlns="http://schemas.openxmlformats.org/package/2006/relationships"><Relationship Id="rId1" Type="http://schemas.openxmlformats.org/officeDocument/2006/relationships/image" Target="../media/image10.emf"/></Relationships>
</file>

<file path=xl/drawings/_rels/drawing7.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2.emf"/></Relationships>
</file>

<file path=xl/drawings/_rels/drawing8.x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6.emf"/></Relationships>
</file>

<file path=xl/drawings/_rels/drawing9.xml.rels><?xml version="1.0" encoding="UTF-8" standalone="yes"?>
<Relationships xmlns="http://schemas.openxmlformats.org/package/2006/relationships"><Relationship Id="rId2" Type="http://schemas.openxmlformats.org/officeDocument/2006/relationships/image" Target="../media/image21.emf"/><Relationship Id="rId1" Type="http://schemas.openxmlformats.org/officeDocument/2006/relationships/image" Target="../media/image20.emf"/></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7.emf"/><Relationship Id="rId1" Type="http://schemas.openxmlformats.org/officeDocument/2006/relationships/image" Target="../media/image26.emf"/></Relationships>
</file>

<file path=xl/drawings/_rels/vmlDrawing11.vml.rels><?xml version="1.0" encoding="UTF-8" standalone="yes"?>
<Relationships xmlns="http://schemas.openxmlformats.org/package/2006/relationships"><Relationship Id="rId2" Type="http://schemas.openxmlformats.org/officeDocument/2006/relationships/image" Target="../media/image31.emf"/><Relationship Id="rId1" Type="http://schemas.openxmlformats.org/officeDocument/2006/relationships/image" Target="../media/image30.emf"/></Relationships>
</file>

<file path=xl/drawings/_rels/vmlDrawing12.vml.rels><?xml version="1.0" encoding="UTF-8" standalone="yes"?>
<Relationships xmlns="http://schemas.openxmlformats.org/package/2006/relationships"><Relationship Id="rId2" Type="http://schemas.openxmlformats.org/officeDocument/2006/relationships/image" Target="../media/image35.emf"/><Relationship Id="rId1" Type="http://schemas.openxmlformats.org/officeDocument/2006/relationships/image" Target="../media/image34.emf"/></Relationships>
</file>

<file path=xl/drawings/_rels/vmlDrawing13.vml.rels><?xml version="1.0" encoding="UTF-8" standalone="yes"?>
<Relationships xmlns="http://schemas.openxmlformats.org/package/2006/relationships"><Relationship Id="rId2" Type="http://schemas.openxmlformats.org/officeDocument/2006/relationships/image" Target="../media/image37.emf"/><Relationship Id="rId1" Type="http://schemas.openxmlformats.org/officeDocument/2006/relationships/image" Target="../media/image26.emf"/></Relationships>
</file>

<file path=xl/drawings/_rels/vmlDrawing14.vml.rels><?xml version="1.0" encoding="UTF-8" standalone="yes"?>
<Relationships xmlns="http://schemas.openxmlformats.org/package/2006/relationships"><Relationship Id="rId2" Type="http://schemas.openxmlformats.org/officeDocument/2006/relationships/image" Target="../media/image41.emf"/><Relationship Id="rId1" Type="http://schemas.openxmlformats.org/officeDocument/2006/relationships/image" Target="../media/image40.emf"/></Relationships>
</file>

<file path=xl/drawings/_rels/vmlDrawing15.vml.rels><?xml version="1.0" encoding="UTF-8" standalone="yes"?>
<Relationships xmlns="http://schemas.openxmlformats.org/package/2006/relationships"><Relationship Id="rId2" Type="http://schemas.openxmlformats.org/officeDocument/2006/relationships/image" Target="../media/image45.emf"/><Relationship Id="rId1" Type="http://schemas.openxmlformats.org/officeDocument/2006/relationships/image" Target="../media/image44.emf"/></Relationships>
</file>

<file path=xl/drawings/_rels/vmlDrawing16.vml.rels><?xml version="1.0" encoding="UTF-8" standalone="yes"?>
<Relationships xmlns="http://schemas.openxmlformats.org/package/2006/relationships"><Relationship Id="rId2" Type="http://schemas.openxmlformats.org/officeDocument/2006/relationships/image" Target="../media/image47.emf"/><Relationship Id="rId1" Type="http://schemas.openxmlformats.org/officeDocument/2006/relationships/image" Target="../media/image18.emf"/></Relationships>
</file>

<file path=xl/drawings/_rels/vmlDrawing17.vml.rels><?xml version="1.0" encoding="UTF-8" standalone="yes"?>
<Relationships xmlns="http://schemas.openxmlformats.org/package/2006/relationships"><Relationship Id="rId2" Type="http://schemas.openxmlformats.org/officeDocument/2006/relationships/image" Target="../media/image51.emf"/><Relationship Id="rId1" Type="http://schemas.openxmlformats.org/officeDocument/2006/relationships/image" Target="../media/image50.emf"/></Relationships>
</file>

<file path=xl/drawings/_rels/vmlDrawing18.vml.rels><?xml version="1.0" encoding="UTF-8" standalone="yes"?>
<Relationships xmlns="http://schemas.openxmlformats.org/package/2006/relationships"><Relationship Id="rId2" Type="http://schemas.openxmlformats.org/officeDocument/2006/relationships/image" Target="../media/image55.emf"/><Relationship Id="rId1" Type="http://schemas.openxmlformats.org/officeDocument/2006/relationships/image" Target="../media/image5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19.emf"/><Relationship Id="rId1" Type="http://schemas.openxmlformats.org/officeDocument/2006/relationships/image" Target="../media/image18.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23.emf"/><Relationship Id="rId1"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2</xdr:row>
          <xdr:rowOff>57150</xdr:rowOff>
        </xdr:from>
        <xdr:to>
          <xdr:col>7</xdr:col>
          <xdr:colOff>333375</xdr:colOff>
          <xdr:row>2</xdr:row>
          <xdr:rowOff>276225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xdr:row>
          <xdr:rowOff>76200</xdr:rowOff>
        </xdr:from>
        <xdr:to>
          <xdr:col>7</xdr:col>
          <xdr:colOff>333375</xdr:colOff>
          <xdr:row>3</xdr:row>
          <xdr:rowOff>295275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1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xdr:row>
          <xdr:rowOff>66675</xdr:rowOff>
        </xdr:from>
        <xdr:to>
          <xdr:col>7</xdr:col>
          <xdr:colOff>428625</xdr:colOff>
          <xdr:row>4</xdr:row>
          <xdr:rowOff>314325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1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22</xdr:row>
          <xdr:rowOff>95250</xdr:rowOff>
        </xdr:from>
        <xdr:to>
          <xdr:col>8</xdr:col>
          <xdr:colOff>314325</xdr:colOff>
          <xdr:row>22</xdr:row>
          <xdr:rowOff>266700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1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xdr:row>
          <xdr:rowOff>95250</xdr:rowOff>
        </xdr:from>
        <xdr:to>
          <xdr:col>8</xdr:col>
          <xdr:colOff>314325</xdr:colOff>
          <xdr:row>23</xdr:row>
          <xdr:rowOff>333375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1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xdr:row>
          <xdr:rowOff>95250</xdr:rowOff>
        </xdr:from>
        <xdr:to>
          <xdr:col>8</xdr:col>
          <xdr:colOff>314325</xdr:colOff>
          <xdr:row>24</xdr:row>
          <xdr:rowOff>333375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14</xdr:row>
          <xdr:rowOff>0</xdr:rowOff>
        </xdr:from>
        <xdr:to>
          <xdr:col>15</xdr:col>
          <xdr:colOff>2641601</xdr:colOff>
          <xdr:row>63</xdr:row>
          <xdr:rowOff>0</xdr:rowOff>
        </xdr:to>
        <xdr:pic>
          <xdr:nvPicPr>
            <xdr:cNvPr id="3" name="図 2">
              <a:extLst>
                <a:ext uri="{FF2B5EF4-FFF2-40B4-BE49-F238E27FC236}">
                  <a16:creationId xmlns:a16="http://schemas.microsoft.com/office/drawing/2014/main" id="{00000000-0008-0000-0B00-000003000000}"/>
                </a:ext>
              </a:extLst>
            </xdr:cNvPr>
            <xdr:cNvPicPr>
              <a:picLocks noChangeAspect="1" noChangeArrowheads="1"/>
              <a:extLst>
                <a:ext uri="{84589F7E-364E-4C9E-8A38-B11213B215E9}">
                  <a14:cameraTool cellRange="$AD$15:$AE$63" spid="_x0000_s21025"/>
                </a:ext>
              </a:extLst>
            </xdr:cNvPicPr>
          </xdr:nvPicPr>
          <xdr:blipFill>
            <a:blip xmlns:r="http://schemas.openxmlformats.org/officeDocument/2006/relationships" r:embed="rId1"/>
            <a:srcRect/>
            <a:stretch>
              <a:fillRect/>
            </a:stretch>
          </xdr:blipFill>
          <xdr:spPr bwMode="auto">
            <a:xfrm>
              <a:off x="11870267" y="4127500"/>
              <a:ext cx="7260167" cy="155575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xdr:row>
          <xdr:rowOff>19050</xdr:rowOff>
        </xdr:from>
        <xdr:to>
          <xdr:col>25</xdr:col>
          <xdr:colOff>603250</xdr:colOff>
          <xdr:row>12</xdr:row>
          <xdr:rowOff>781050</xdr:rowOff>
        </xdr:to>
        <xdr:pic>
          <xdr:nvPicPr>
            <xdr:cNvPr id="4" name="図 3">
              <a:extLst>
                <a:ext uri="{FF2B5EF4-FFF2-40B4-BE49-F238E27FC236}">
                  <a16:creationId xmlns:a16="http://schemas.microsoft.com/office/drawing/2014/main" id="{00000000-0008-0000-0B00-000004000000}"/>
                </a:ext>
              </a:extLst>
            </xdr:cNvPr>
            <xdr:cNvPicPr>
              <a:picLocks noChangeAspect="1" noChangeArrowheads="1"/>
              <a:extLst>
                <a:ext uri="{84589F7E-364E-4C9E-8A38-B11213B215E9}">
                  <a14:cameraTool cellRange="$AD$5:$AG$13" spid="_x0000_s21026"/>
                </a:ext>
              </a:extLst>
            </xdr:cNvPicPr>
          </xdr:nvPicPr>
          <xdr:blipFill>
            <a:blip xmlns:r="http://schemas.openxmlformats.org/officeDocument/2006/relationships" r:embed="rId2"/>
            <a:srcRect/>
            <a:stretch>
              <a:fillRect/>
            </a:stretch>
          </xdr:blipFill>
          <xdr:spPr bwMode="auto">
            <a:xfrm>
              <a:off x="11715750" y="781050"/>
              <a:ext cx="8921750" cy="2794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390525</xdr:colOff>
          <xdr:row>4</xdr:row>
          <xdr:rowOff>238125</xdr:rowOff>
        </xdr:from>
        <xdr:to>
          <xdr:col>1</xdr:col>
          <xdr:colOff>819150</xdr:colOff>
          <xdr:row>5</xdr:row>
          <xdr:rowOff>228600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C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4</xdr:row>
          <xdr:rowOff>228600</xdr:rowOff>
        </xdr:from>
        <xdr:to>
          <xdr:col>4</xdr:col>
          <xdr:colOff>828675</xdr:colOff>
          <xdr:row>6</xdr:row>
          <xdr:rowOff>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C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1038225</xdr:colOff>
          <xdr:row>4</xdr:row>
          <xdr:rowOff>228600</xdr:rowOff>
        </xdr:from>
        <xdr:to>
          <xdr:col>2</xdr:col>
          <xdr:colOff>1438275</xdr:colOff>
          <xdr:row>5</xdr:row>
          <xdr:rowOff>247650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C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266699</xdr:colOff>
          <xdr:row>0</xdr:row>
          <xdr:rowOff>228600</xdr:rowOff>
        </xdr:from>
        <xdr:to>
          <xdr:col>18</xdr:col>
          <xdr:colOff>960663</xdr:colOff>
          <xdr:row>3</xdr:row>
          <xdr:rowOff>228600</xdr:rowOff>
        </xdr:to>
        <xdr:pic>
          <xdr:nvPicPr>
            <xdr:cNvPr id="5" name="図 4">
              <a:extLst>
                <a:ext uri="{FF2B5EF4-FFF2-40B4-BE49-F238E27FC236}">
                  <a16:creationId xmlns:a16="http://schemas.microsoft.com/office/drawing/2014/main" id="{00000000-0008-0000-0C00-000005000000}"/>
                </a:ext>
              </a:extLst>
            </xdr:cNvPr>
            <xdr:cNvPicPr>
              <a:picLocks noChangeAspect="1" noChangeArrowheads="1"/>
              <a:extLst>
                <a:ext uri="{84589F7E-364E-4C9E-8A38-B11213B215E9}">
                  <a14:cameraTool cellRange="$AE$71:$AP$73" spid="_x0000_s48515"/>
                </a:ext>
              </a:extLst>
            </xdr:cNvPicPr>
          </xdr:nvPicPr>
          <xdr:blipFill>
            <a:blip xmlns:r="http://schemas.openxmlformats.org/officeDocument/2006/relationships" r:embed="rId1"/>
            <a:srcRect/>
            <a:stretch>
              <a:fillRect/>
            </a:stretch>
          </xdr:blipFill>
          <xdr:spPr bwMode="auto">
            <a:xfrm>
              <a:off x="14486163" y="228600"/>
              <a:ext cx="8164286" cy="73478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268288</xdr:colOff>
          <xdr:row>5</xdr:row>
          <xdr:rowOff>239713</xdr:rowOff>
        </xdr:from>
        <xdr:to>
          <xdr:col>19</xdr:col>
          <xdr:colOff>880609</xdr:colOff>
          <xdr:row>44</xdr:row>
          <xdr:rowOff>239713</xdr:rowOff>
        </xdr:to>
        <xdr:pic>
          <xdr:nvPicPr>
            <xdr:cNvPr id="6" name="図 5">
              <a:extLst>
                <a:ext uri="{FF2B5EF4-FFF2-40B4-BE49-F238E27FC236}">
                  <a16:creationId xmlns:a16="http://schemas.microsoft.com/office/drawing/2014/main" id="{00000000-0008-0000-0C00-000006000000}"/>
                </a:ext>
              </a:extLst>
            </xdr:cNvPr>
            <xdr:cNvPicPr>
              <a:picLocks noChangeAspect="1" noChangeArrowheads="1"/>
              <a:extLst>
                <a:ext uri="{84589F7E-364E-4C9E-8A38-B11213B215E9}">
                  <a14:cameraTool cellRange="$V$7:$Y$45" spid="_x0000_s48516"/>
                </a:ext>
              </a:extLst>
            </xdr:cNvPicPr>
          </xdr:nvPicPr>
          <xdr:blipFill>
            <a:blip xmlns:r="http://schemas.openxmlformats.org/officeDocument/2006/relationships" r:embed="rId2"/>
            <a:srcRect/>
            <a:stretch>
              <a:fillRect/>
            </a:stretch>
          </xdr:blipFill>
          <xdr:spPr bwMode="auto">
            <a:xfrm>
              <a:off x="14492288" y="1509713"/>
              <a:ext cx="9261021" cy="9906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14</xdr:row>
          <xdr:rowOff>0</xdr:rowOff>
        </xdr:from>
        <xdr:to>
          <xdr:col>15</xdr:col>
          <xdr:colOff>2641600</xdr:colOff>
          <xdr:row>63</xdr:row>
          <xdr:rowOff>0</xdr:rowOff>
        </xdr:to>
        <xdr:pic>
          <xdr:nvPicPr>
            <xdr:cNvPr id="3" name="図 2">
              <a:extLst>
                <a:ext uri="{FF2B5EF4-FFF2-40B4-BE49-F238E27FC236}">
                  <a16:creationId xmlns:a16="http://schemas.microsoft.com/office/drawing/2014/main" id="{00000000-0008-0000-0D00-000003000000}"/>
                </a:ext>
              </a:extLst>
            </xdr:cNvPr>
            <xdr:cNvPicPr>
              <a:picLocks noChangeAspect="1" noChangeArrowheads="1"/>
              <a:extLst>
                <a:ext uri="{84589F7E-364E-4C9E-8A38-B11213B215E9}">
                  <a14:cameraTool cellRange="$AD$15:$AE$63" spid="_x0000_s35305"/>
                </a:ext>
              </a:extLst>
            </xdr:cNvPicPr>
          </xdr:nvPicPr>
          <xdr:blipFill>
            <a:blip xmlns:r="http://schemas.openxmlformats.org/officeDocument/2006/relationships" r:embed="rId1"/>
            <a:srcRect/>
            <a:stretch>
              <a:fillRect/>
            </a:stretch>
          </xdr:blipFill>
          <xdr:spPr bwMode="auto">
            <a:xfrm>
              <a:off x="11620500" y="4127500"/>
              <a:ext cx="7277100" cy="155575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xdr:row>
          <xdr:rowOff>19050</xdr:rowOff>
        </xdr:from>
        <xdr:to>
          <xdr:col>25</xdr:col>
          <xdr:colOff>635000</xdr:colOff>
          <xdr:row>12</xdr:row>
          <xdr:rowOff>781050</xdr:rowOff>
        </xdr:to>
        <xdr:pic>
          <xdr:nvPicPr>
            <xdr:cNvPr id="4" name="図 3">
              <a:extLst>
                <a:ext uri="{FF2B5EF4-FFF2-40B4-BE49-F238E27FC236}">
                  <a16:creationId xmlns:a16="http://schemas.microsoft.com/office/drawing/2014/main" id="{00000000-0008-0000-0D00-000004000000}"/>
                </a:ext>
              </a:extLst>
            </xdr:cNvPr>
            <xdr:cNvPicPr>
              <a:picLocks noChangeAspect="1" noChangeArrowheads="1"/>
              <a:extLst>
                <a:ext uri="{84589F7E-364E-4C9E-8A38-B11213B215E9}">
                  <a14:cameraTool cellRange="$AD$5:$AG$13" spid="_x0000_s35306"/>
                </a:ext>
              </a:extLst>
            </xdr:cNvPicPr>
          </xdr:nvPicPr>
          <xdr:blipFill>
            <a:blip xmlns:r="http://schemas.openxmlformats.org/officeDocument/2006/relationships" r:embed="rId2"/>
            <a:srcRect/>
            <a:stretch>
              <a:fillRect/>
            </a:stretch>
          </xdr:blipFill>
          <xdr:spPr bwMode="auto">
            <a:xfrm>
              <a:off x="11772900" y="781050"/>
              <a:ext cx="8902700" cy="2794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14</xdr:row>
          <xdr:rowOff>0</xdr:rowOff>
        </xdr:from>
        <xdr:to>
          <xdr:col>15</xdr:col>
          <xdr:colOff>2657475</xdr:colOff>
          <xdr:row>63</xdr:row>
          <xdr:rowOff>0</xdr:rowOff>
        </xdr:to>
        <xdr:pic>
          <xdr:nvPicPr>
            <xdr:cNvPr id="3" name="図 2">
              <a:extLst>
                <a:ext uri="{FF2B5EF4-FFF2-40B4-BE49-F238E27FC236}">
                  <a16:creationId xmlns:a16="http://schemas.microsoft.com/office/drawing/2014/main" id="{00000000-0008-0000-0E00-000003000000}"/>
                </a:ext>
              </a:extLst>
            </xdr:cNvPr>
            <xdr:cNvPicPr>
              <a:picLocks noChangeAspect="1" noChangeArrowheads="1"/>
              <a:extLst>
                <a:ext uri="{84589F7E-364E-4C9E-8A38-B11213B215E9}">
                  <a14:cameraTool cellRange="$AD$15:$AE$63" spid="_x0000_s22043"/>
                </a:ext>
              </a:extLst>
            </xdr:cNvPicPr>
          </xdr:nvPicPr>
          <xdr:blipFill>
            <a:blip xmlns:r="http://schemas.openxmlformats.org/officeDocument/2006/relationships" r:embed="rId1"/>
            <a:srcRect/>
            <a:stretch>
              <a:fillRect/>
            </a:stretch>
          </xdr:blipFill>
          <xdr:spPr bwMode="auto">
            <a:xfrm>
              <a:off x="11563350" y="4048125"/>
              <a:ext cx="7286625" cy="163353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xdr:row>
          <xdr:rowOff>19050</xdr:rowOff>
        </xdr:from>
        <xdr:to>
          <xdr:col>25</xdr:col>
          <xdr:colOff>12700</xdr:colOff>
          <xdr:row>12</xdr:row>
          <xdr:rowOff>587604</xdr:rowOff>
        </xdr:to>
        <xdr:pic>
          <xdr:nvPicPr>
            <xdr:cNvPr id="4" name="図 3">
              <a:extLst>
                <a:ext uri="{FF2B5EF4-FFF2-40B4-BE49-F238E27FC236}">
                  <a16:creationId xmlns:a16="http://schemas.microsoft.com/office/drawing/2014/main" id="{00000000-0008-0000-0E00-000004000000}"/>
                </a:ext>
              </a:extLst>
            </xdr:cNvPr>
            <xdr:cNvPicPr>
              <a:picLocks noChangeAspect="1" noChangeArrowheads="1"/>
              <a:extLst>
                <a:ext uri="{84589F7E-364E-4C9E-8A38-B11213B215E9}">
                  <a14:cameraTool cellRange="$AD$5:$AG$13" spid="_x0000_s22044"/>
                </a:ext>
              </a:extLst>
            </xdr:cNvPicPr>
          </xdr:nvPicPr>
          <xdr:blipFill>
            <a:blip xmlns:r="http://schemas.openxmlformats.org/officeDocument/2006/relationships" r:embed="rId2"/>
            <a:srcRect/>
            <a:stretch>
              <a:fillRect/>
            </a:stretch>
          </xdr:blipFill>
          <xdr:spPr bwMode="auto">
            <a:xfrm>
              <a:off x="11772900" y="781050"/>
              <a:ext cx="8280400" cy="2600554"/>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3</xdr:row>
          <xdr:rowOff>19050</xdr:rowOff>
        </xdr:from>
        <xdr:to>
          <xdr:col>23</xdr:col>
          <xdr:colOff>635000</xdr:colOff>
          <xdr:row>12</xdr:row>
          <xdr:rowOff>781050</xdr:rowOff>
        </xdr:to>
        <xdr:pic>
          <xdr:nvPicPr>
            <xdr:cNvPr id="4" name="図 3">
              <a:extLst>
                <a:ext uri="{FF2B5EF4-FFF2-40B4-BE49-F238E27FC236}">
                  <a16:creationId xmlns:a16="http://schemas.microsoft.com/office/drawing/2014/main" id="{00000000-0008-0000-0F00-000004000000}"/>
                </a:ext>
              </a:extLst>
            </xdr:cNvPr>
            <xdr:cNvPicPr>
              <a:picLocks noChangeAspect="1" noChangeArrowheads="1"/>
              <a:extLst>
                <a:ext uri="{84589F7E-364E-4C9E-8A38-B11213B215E9}">
                  <a14:cameraTool cellRange="$AD$5:$AG$13" spid="_x0000_s36328"/>
                </a:ext>
              </a:extLst>
            </xdr:cNvPicPr>
          </xdr:nvPicPr>
          <xdr:blipFill>
            <a:blip xmlns:r="http://schemas.openxmlformats.org/officeDocument/2006/relationships" r:embed="rId1"/>
            <a:srcRect/>
            <a:stretch>
              <a:fillRect/>
            </a:stretch>
          </xdr:blipFill>
          <xdr:spPr bwMode="auto">
            <a:xfrm>
              <a:off x="11696700" y="781050"/>
              <a:ext cx="8883650" cy="2794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336550</xdr:colOff>
          <xdr:row>14</xdr:row>
          <xdr:rowOff>0</xdr:rowOff>
        </xdr:from>
        <xdr:to>
          <xdr:col>22</xdr:col>
          <xdr:colOff>127000</xdr:colOff>
          <xdr:row>50</xdr:row>
          <xdr:rowOff>6350</xdr:rowOff>
        </xdr:to>
        <xdr:pic>
          <xdr:nvPicPr>
            <xdr:cNvPr id="5" name="図 4">
              <a:extLst>
                <a:ext uri="{FF2B5EF4-FFF2-40B4-BE49-F238E27FC236}">
                  <a16:creationId xmlns:a16="http://schemas.microsoft.com/office/drawing/2014/main" id="{00000000-0008-0000-0F00-000005000000}"/>
                </a:ext>
              </a:extLst>
            </xdr:cNvPr>
            <xdr:cNvPicPr>
              <a:picLocks noChangeAspect="1" noChangeArrowheads="1"/>
              <a:extLst>
                <a:ext uri="{84589F7E-364E-4C9E-8A38-B11213B215E9}">
                  <a14:cameraTool cellRange="$AC$15:$AE$50" spid="_x0000_s36329"/>
                </a:ext>
              </a:extLst>
            </xdr:cNvPicPr>
          </xdr:nvPicPr>
          <xdr:blipFill>
            <a:blip xmlns:r="http://schemas.openxmlformats.org/officeDocument/2006/relationships" r:embed="rId2"/>
            <a:srcRect/>
            <a:stretch>
              <a:fillRect/>
            </a:stretch>
          </xdr:blipFill>
          <xdr:spPr bwMode="auto">
            <a:xfrm>
              <a:off x="11830050" y="4127500"/>
              <a:ext cx="7553325" cy="114363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14</xdr:row>
          <xdr:rowOff>0</xdr:rowOff>
        </xdr:from>
        <xdr:to>
          <xdr:col>15</xdr:col>
          <xdr:colOff>2641601</xdr:colOff>
          <xdr:row>63</xdr:row>
          <xdr:rowOff>0</xdr:rowOff>
        </xdr:to>
        <xdr:pic>
          <xdr:nvPicPr>
            <xdr:cNvPr id="3" name="図 2">
              <a:extLst>
                <a:ext uri="{FF2B5EF4-FFF2-40B4-BE49-F238E27FC236}">
                  <a16:creationId xmlns:a16="http://schemas.microsoft.com/office/drawing/2014/main" id="{00000000-0008-0000-1000-000003000000}"/>
                </a:ext>
              </a:extLst>
            </xdr:cNvPr>
            <xdr:cNvPicPr>
              <a:picLocks noChangeAspect="1" noChangeArrowheads="1"/>
              <a:extLst>
                <a:ext uri="{84589F7E-364E-4C9E-8A38-B11213B215E9}">
                  <a14:cameraTool cellRange="$AD$15:$AE$63" spid="_x0000_s23065"/>
                </a:ext>
              </a:extLst>
            </xdr:cNvPicPr>
          </xdr:nvPicPr>
          <xdr:blipFill>
            <a:blip xmlns:r="http://schemas.openxmlformats.org/officeDocument/2006/relationships" r:embed="rId1"/>
            <a:srcRect/>
            <a:stretch>
              <a:fillRect/>
            </a:stretch>
          </xdr:blipFill>
          <xdr:spPr bwMode="auto">
            <a:xfrm>
              <a:off x="11870267" y="4127500"/>
              <a:ext cx="7260167" cy="155575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xdr:row>
          <xdr:rowOff>19050</xdr:rowOff>
        </xdr:from>
        <xdr:to>
          <xdr:col>26</xdr:col>
          <xdr:colOff>603250</xdr:colOff>
          <xdr:row>12</xdr:row>
          <xdr:rowOff>781050</xdr:rowOff>
        </xdr:to>
        <xdr:pic>
          <xdr:nvPicPr>
            <xdr:cNvPr id="4" name="図 3">
              <a:extLst>
                <a:ext uri="{FF2B5EF4-FFF2-40B4-BE49-F238E27FC236}">
                  <a16:creationId xmlns:a16="http://schemas.microsoft.com/office/drawing/2014/main" id="{00000000-0008-0000-1000-000004000000}"/>
                </a:ext>
              </a:extLst>
            </xdr:cNvPr>
            <xdr:cNvPicPr>
              <a:picLocks noChangeAspect="1" noChangeArrowheads="1"/>
              <a:extLst>
                <a:ext uri="{84589F7E-364E-4C9E-8A38-B11213B215E9}">
                  <a14:cameraTool cellRange="$AD$5:$AG$13" spid="_x0000_s23066"/>
                </a:ext>
              </a:extLst>
            </xdr:cNvPicPr>
          </xdr:nvPicPr>
          <xdr:blipFill>
            <a:blip xmlns:r="http://schemas.openxmlformats.org/officeDocument/2006/relationships" r:embed="rId2"/>
            <a:srcRect/>
            <a:stretch>
              <a:fillRect/>
            </a:stretch>
          </xdr:blipFill>
          <xdr:spPr bwMode="auto">
            <a:xfrm>
              <a:off x="11715750" y="781050"/>
              <a:ext cx="8921750" cy="2794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14</xdr:row>
          <xdr:rowOff>0</xdr:rowOff>
        </xdr:from>
        <xdr:to>
          <xdr:col>15</xdr:col>
          <xdr:colOff>2628900</xdr:colOff>
          <xdr:row>63</xdr:row>
          <xdr:rowOff>0</xdr:rowOff>
        </xdr:to>
        <xdr:pic>
          <xdr:nvPicPr>
            <xdr:cNvPr id="3" name="図 2">
              <a:extLst>
                <a:ext uri="{FF2B5EF4-FFF2-40B4-BE49-F238E27FC236}">
                  <a16:creationId xmlns:a16="http://schemas.microsoft.com/office/drawing/2014/main" id="{00000000-0008-0000-1100-000003000000}"/>
                </a:ext>
              </a:extLst>
            </xdr:cNvPr>
            <xdr:cNvPicPr>
              <a:picLocks noChangeAspect="1" noChangeArrowheads="1"/>
              <a:extLst>
                <a:ext uri="{84589F7E-364E-4C9E-8A38-B11213B215E9}">
                  <a14:cameraTool cellRange="$AD$15:$AE$63" spid="_x0000_s24084"/>
                </a:ext>
              </a:extLst>
            </xdr:cNvPicPr>
          </xdr:nvPicPr>
          <xdr:blipFill>
            <a:blip xmlns:r="http://schemas.openxmlformats.org/officeDocument/2006/relationships" r:embed="rId1"/>
            <a:srcRect/>
            <a:stretch>
              <a:fillRect/>
            </a:stretch>
          </xdr:blipFill>
          <xdr:spPr bwMode="auto">
            <a:xfrm>
              <a:off x="11582400" y="4057650"/>
              <a:ext cx="7258050" cy="154019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xdr:row>
          <xdr:rowOff>19050</xdr:rowOff>
        </xdr:from>
        <xdr:to>
          <xdr:col>26</xdr:col>
          <xdr:colOff>628650</xdr:colOff>
          <xdr:row>12</xdr:row>
          <xdr:rowOff>781050</xdr:rowOff>
        </xdr:to>
        <xdr:pic>
          <xdr:nvPicPr>
            <xdr:cNvPr id="4" name="図 3">
              <a:extLst>
                <a:ext uri="{FF2B5EF4-FFF2-40B4-BE49-F238E27FC236}">
                  <a16:creationId xmlns:a16="http://schemas.microsoft.com/office/drawing/2014/main" id="{00000000-0008-0000-1100-000004000000}"/>
                </a:ext>
              </a:extLst>
            </xdr:cNvPr>
            <xdr:cNvPicPr>
              <a:picLocks noChangeAspect="1" noChangeArrowheads="1"/>
              <a:extLst>
                <a:ext uri="{84589F7E-364E-4C9E-8A38-B11213B215E9}">
                  <a14:cameraTool cellRange="$AD$5:$AG$13" spid="_x0000_s24085"/>
                </a:ext>
              </a:extLst>
            </xdr:cNvPicPr>
          </xdr:nvPicPr>
          <xdr:blipFill>
            <a:blip xmlns:r="http://schemas.openxmlformats.org/officeDocument/2006/relationships" r:embed="rId2"/>
            <a:srcRect/>
            <a:stretch>
              <a:fillRect/>
            </a:stretch>
          </xdr:blipFill>
          <xdr:spPr bwMode="auto">
            <a:xfrm>
              <a:off x="11734800" y="771525"/>
              <a:ext cx="8886825" cy="27432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3</xdr:row>
          <xdr:rowOff>19050</xdr:rowOff>
        </xdr:from>
        <xdr:to>
          <xdr:col>26</xdr:col>
          <xdr:colOff>628650</xdr:colOff>
          <xdr:row>12</xdr:row>
          <xdr:rowOff>781050</xdr:rowOff>
        </xdr:to>
        <xdr:pic>
          <xdr:nvPicPr>
            <xdr:cNvPr id="4" name="図 3">
              <a:extLst>
                <a:ext uri="{FF2B5EF4-FFF2-40B4-BE49-F238E27FC236}">
                  <a16:creationId xmlns:a16="http://schemas.microsoft.com/office/drawing/2014/main" id="{00000000-0008-0000-1200-000004000000}"/>
                </a:ext>
              </a:extLst>
            </xdr:cNvPr>
            <xdr:cNvPicPr>
              <a:picLocks noChangeAspect="1" noChangeArrowheads="1"/>
              <a:extLst>
                <a:ext uri="{84589F7E-364E-4C9E-8A38-B11213B215E9}">
                  <a14:cameraTool cellRange="$AD$5:$AG$13" spid="_x0000_s25108"/>
                </a:ext>
              </a:extLst>
            </xdr:cNvPicPr>
          </xdr:nvPicPr>
          <xdr:blipFill>
            <a:blip xmlns:r="http://schemas.openxmlformats.org/officeDocument/2006/relationships" r:embed="rId1"/>
            <a:srcRect/>
            <a:stretch>
              <a:fillRect/>
            </a:stretch>
          </xdr:blipFill>
          <xdr:spPr bwMode="auto">
            <a:xfrm>
              <a:off x="11734800" y="771525"/>
              <a:ext cx="8886825" cy="27432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14</xdr:row>
          <xdr:rowOff>0</xdr:rowOff>
        </xdr:from>
        <xdr:to>
          <xdr:col>15</xdr:col>
          <xdr:colOff>3041650</xdr:colOff>
          <xdr:row>50</xdr:row>
          <xdr:rowOff>6350</xdr:rowOff>
        </xdr:to>
        <xdr:pic>
          <xdr:nvPicPr>
            <xdr:cNvPr id="5" name="図 4">
              <a:extLst>
                <a:ext uri="{FF2B5EF4-FFF2-40B4-BE49-F238E27FC236}">
                  <a16:creationId xmlns:a16="http://schemas.microsoft.com/office/drawing/2014/main" id="{00000000-0008-0000-1200-000005000000}"/>
                </a:ext>
              </a:extLst>
            </xdr:cNvPr>
            <xdr:cNvPicPr>
              <a:picLocks noChangeAspect="1" noChangeArrowheads="1"/>
              <a:extLst>
                <a:ext uri="{84589F7E-364E-4C9E-8A38-B11213B215E9}">
                  <a14:cameraTool cellRange="$AC$15:$AE$50" spid="_x0000_s25109"/>
                </a:ext>
              </a:extLst>
            </xdr:cNvPicPr>
          </xdr:nvPicPr>
          <xdr:blipFill>
            <a:blip xmlns:r="http://schemas.openxmlformats.org/officeDocument/2006/relationships" r:embed="rId2"/>
            <a:srcRect/>
            <a:stretch>
              <a:fillRect/>
            </a:stretch>
          </xdr:blipFill>
          <xdr:spPr bwMode="auto">
            <a:xfrm>
              <a:off x="11734800" y="4127500"/>
              <a:ext cx="7562850" cy="114363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523875</xdr:colOff>
          <xdr:row>2</xdr:row>
          <xdr:rowOff>42863</xdr:rowOff>
        </xdr:from>
        <xdr:to>
          <xdr:col>24</xdr:col>
          <xdr:colOff>176213</xdr:colOff>
          <xdr:row>12</xdr:row>
          <xdr:rowOff>566738</xdr:rowOff>
        </xdr:to>
        <xdr:pic>
          <xdr:nvPicPr>
            <xdr:cNvPr id="4" name="図 3">
              <a:extLst>
                <a:ext uri="{FF2B5EF4-FFF2-40B4-BE49-F238E27FC236}">
                  <a16:creationId xmlns:a16="http://schemas.microsoft.com/office/drawing/2014/main" id="{00000000-0008-0000-1300-000004000000}"/>
                </a:ext>
              </a:extLst>
            </xdr:cNvPr>
            <xdr:cNvPicPr>
              <a:picLocks noChangeAspect="1" noChangeArrowheads="1"/>
              <a:extLst>
                <a:ext uri="{84589F7E-364E-4C9E-8A38-B11213B215E9}">
                  <a14:cameraTool cellRange="$AD$5:$AG$13" spid="_x0000_s26133"/>
                </a:ext>
              </a:extLst>
            </xdr:cNvPicPr>
          </xdr:nvPicPr>
          <xdr:blipFill>
            <a:blip xmlns:r="http://schemas.openxmlformats.org/officeDocument/2006/relationships" r:embed="rId1"/>
            <a:srcRect/>
            <a:stretch>
              <a:fillRect/>
            </a:stretch>
          </xdr:blipFill>
          <xdr:spPr bwMode="auto">
            <a:xfrm>
              <a:off x="12334875" y="542926"/>
              <a:ext cx="8891588" cy="2667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254000</xdr:colOff>
          <xdr:row>14</xdr:row>
          <xdr:rowOff>0</xdr:rowOff>
        </xdr:from>
        <xdr:to>
          <xdr:col>22</xdr:col>
          <xdr:colOff>25400</xdr:colOff>
          <xdr:row>50</xdr:row>
          <xdr:rowOff>6350</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AC$15:$AE$50" spid="_x0000_s26134"/>
                </a:ext>
              </a:extLst>
            </xdr:cNvPicPr>
          </xdr:nvPicPr>
          <xdr:blipFill>
            <a:blip xmlns:r="http://schemas.openxmlformats.org/officeDocument/2006/relationships" r:embed="rId2"/>
            <a:srcRect/>
            <a:stretch>
              <a:fillRect/>
            </a:stretch>
          </xdr:blipFill>
          <xdr:spPr bwMode="auto">
            <a:xfrm>
              <a:off x="11747500" y="4127500"/>
              <a:ext cx="7534275" cy="114363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0</xdr:colOff>
      <xdr:row>45</xdr:row>
      <xdr:rowOff>79375</xdr:rowOff>
    </xdr:from>
    <xdr:to>
      <xdr:col>30</xdr:col>
      <xdr:colOff>158750</xdr:colOff>
      <xdr:row>53</xdr:row>
      <xdr:rowOff>190500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638300" y="11699875"/>
          <a:ext cx="6711950" cy="2143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400"/>
        </a:p>
        <a:p>
          <a:r>
            <a:rPr kumimoji="1" lang="ja-JP" altLang="en-US" sz="1800"/>
            <a:t>　　</a:t>
          </a:r>
          <a:r>
            <a:rPr kumimoji="1" lang="en-US" altLang="ja-JP" sz="1800" b="1"/>
            <a:t>【</a:t>
          </a:r>
          <a:r>
            <a:rPr kumimoji="1" lang="ja-JP" altLang="en-US" sz="1800" b="1"/>
            <a:t>郵送先</a:t>
          </a:r>
          <a:r>
            <a:rPr kumimoji="1" lang="en-US" altLang="ja-JP" sz="1800" b="1"/>
            <a:t>】</a:t>
          </a:r>
        </a:p>
        <a:p>
          <a:r>
            <a:rPr kumimoji="1" lang="ja-JP" altLang="en-US" sz="1800" b="1"/>
            <a:t>　　　〒４６０－０００１</a:t>
          </a:r>
          <a:endParaRPr kumimoji="1" lang="en-US" altLang="ja-JP" sz="1800" b="1"/>
        </a:p>
        <a:p>
          <a:r>
            <a:rPr kumimoji="1" lang="ja-JP" altLang="en-US" sz="1800" b="1"/>
            <a:t>　　　名古屋市中区三の丸３－１－２</a:t>
          </a:r>
          <a:endParaRPr kumimoji="1" lang="en-US" altLang="ja-JP" sz="1800" b="1"/>
        </a:p>
        <a:p>
          <a:r>
            <a:rPr kumimoji="1" lang="ja-JP" altLang="en-US" sz="1800" b="1"/>
            <a:t>　　　感染症対策課感染症対策助成グループ　宛</a:t>
          </a:r>
        </a:p>
      </xdr:txBody>
    </xdr:sp>
    <xdr:clientData/>
  </xdr:twoCellAnchor>
  <mc:AlternateContent xmlns:mc="http://schemas.openxmlformats.org/markup-compatibility/2006">
    <mc:Choice xmlns:a14="http://schemas.microsoft.com/office/drawing/2010/main" Requires="a14">
      <xdr:twoCellAnchor editAs="oneCell">
        <xdr:from>
          <xdr:col>36</xdr:col>
          <xdr:colOff>3175</xdr:colOff>
          <xdr:row>21</xdr:row>
          <xdr:rowOff>3175</xdr:rowOff>
        </xdr:from>
        <xdr:to>
          <xdr:col>46</xdr:col>
          <xdr:colOff>307975</xdr:colOff>
          <xdr:row>31</xdr:row>
          <xdr:rowOff>3175</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AV$22:$AX$31" spid="_x0000_s29945"/>
                </a:ext>
              </a:extLst>
            </xdr:cNvPicPr>
          </xdr:nvPicPr>
          <xdr:blipFill>
            <a:blip xmlns:r="http://schemas.openxmlformats.org/officeDocument/2006/relationships" r:embed="rId1"/>
            <a:srcRect/>
            <a:stretch>
              <a:fillRect/>
            </a:stretch>
          </xdr:blipFill>
          <xdr:spPr bwMode="auto">
            <a:xfrm>
              <a:off x="10061575" y="5426075"/>
              <a:ext cx="7162800" cy="26416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38</xdr:col>
      <xdr:colOff>28575</xdr:colOff>
      <xdr:row>49</xdr:row>
      <xdr:rowOff>9525</xdr:rowOff>
    </xdr:from>
    <xdr:to>
      <xdr:col>41</xdr:col>
      <xdr:colOff>342900</xdr:colOff>
      <xdr:row>55</xdr:row>
      <xdr:rowOff>200025</xdr:rowOff>
    </xdr:to>
    <xdr:pic>
      <xdr:nvPicPr>
        <xdr:cNvPr id="2" name="図 1">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73775" y="10963275"/>
          <a:ext cx="2286000" cy="23336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21</xdr:col>
          <xdr:colOff>466725</xdr:colOff>
          <xdr:row>15</xdr:row>
          <xdr:rowOff>34289</xdr:rowOff>
        </xdr:from>
        <xdr:to>
          <xdr:col>24</xdr:col>
          <xdr:colOff>57150</xdr:colOff>
          <xdr:row>21</xdr:row>
          <xdr:rowOff>57149</xdr:rowOff>
        </xdr:to>
        <xdr:pic>
          <xdr:nvPicPr>
            <xdr:cNvPr id="3" name="図 2"/>
            <xdr:cNvPicPr>
              <a:picLocks noChangeAspect="1" noChangeArrowheads="1"/>
              <a:extLst>
                <a:ext uri="{84589F7E-364E-4C9E-8A38-B11213B215E9}">
                  <a14:cameraTool cellRange="$AM$50:$AP$56" spid="_x0000_s30727"/>
                </a:ext>
              </a:extLst>
            </xdr:cNvPicPr>
          </xdr:nvPicPr>
          <xdr:blipFill>
            <a:blip xmlns:r="http://schemas.openxmlformats.org/officeDocument/2006/relationships" r:embed="rId2"/>
            <a:srcRect/>
            <a:stretch>
              <a:fillRect/>
            </a:stretch>
          </xdr:blipFill>
          <xdr:spPr bwMode="auto">
            <a:xfrm>
              <a:off x="6991350" y="3482339"/>
              <a:ext cx="1133475" cy="1165860"/>
            </a:xfrm>
            <a:prstGeom prst="rect">
              <a:avLst/>
            </a:prstGeom>
            <a:noFill/>
            <a:ln w="9525">
              <a:no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301625</xdr:colOff>
          <xdr:row>0</xdr:row>
          <xdr:rowOff>266700</xdr:rowOff>
        </xdr:from>
        <xdr:to>
          <xdr:col>12</xdr:col>
          <xdr:colOff>5889625</xdr:colOff>
          <xdr:row>3</xdr:row>
          <xdr:rowOff>266700</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a:extLst>
                <a:ext uri="{84589F7E-364E-4C9E-8A38-B11213B215E9}">
                  <a14:cameraTool cellRange="$L$32:$M$34" spid="_x0000_s71734"/>
                </a:ext>
              </a:extLst>
            </xdr:cNvPicPr>
          </xdr:nvPicPr>
          <xdr:blipFill>
            <a:blip xmlns:r="http://schemas.openxmlformats.org/officeDocument/2006/relationships" r:embed="rId1"/>
            <a:srcRect/>
            <a:stretch>
              <a:fillRect/>
            </a:stretch>
          </xdr:blipFill>
          <xdr:spPr bwMode="auto">
            <a:xfrm>
              <a:off x="12112625" y="266700"/>
              <a:ext cx="7556500" cy="17145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19050</xdr:colOff>
          <xdr:row>1</xdr:row>
          <xdr:rowOff>19050</xdr:rowOff>
        </xdr:from>
        <xdr:to>
          <xdr:col>32</xdr:col>
          <xdr:colOff>361950</xdr:colOff>
          <xdr:row>29</xdr:row>
          <xdr:rowOff>9525</xdr:rowOff>
        </xdr:to>
        <xdr:pic>
          <xdr:nvPicPr>
            <xdr:cNvPr id="2" name="図 1">
              <a:extLst>
                <a:ext uri="{FF2B5EF4-FFF2-40B4-BE49-F238E27FC236}">
                  <a16:creationId xmlns:a16="http://schemas.microsoft.com/office/drawing/2014/main" id="{00000000-0008-0000-0600-000002000000}"/>
                </a:ext>
              </a:extLst>
            </xdr:cNvPr>
            <xdr:cNvPicPr>
              <a:picLocks noChangeAspect="1" noChangeArrowheads="1"/>
              <a:extLst>
                <a:ext uri="{84589F7E-364E-4C9E-8A38-B11213B215E9}">
                  <a14:cameraTool cellRange="$AQ$2:$AT$29" spid="_x0000_s1141"/>
                </a:ext>
              </a:extLst>
            </xdr:cNvPicPr>
          </xdr:nvPicPr>
          <xdr:blipFill>
            <a:blip xmlns:r="http://schemas.openxmlformats.org/officeDocument/2006/relationships" r:embed="rId1"/>
            <a:srcRect/>
            <a:stretch>
              <a:fillRect/>
            </a:stretch>
          </xdr:blipFill>
          <xdr:spPr bwMode="auto">
            <a:xfrm>
              <a:off x="19316700" y="342900"/>
              <a:ext cx="9239250" cy="114395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142875</xdr:colOff>
          <xdr:row>3</xdr:row>
          <xdr:rowOff>114300</xdr:rowOff>
        </xdr:from>
        <xdr:to>
          <xdr:col>14</xdr:col>
          <xdr:colOff>619125</xdr:colOff>
          <xdr:row>13</xdr:row>
          <xdr:rowOff>114300</xdr:rowOff>
        </xdr:to>
        <xdr:pic>
          <xdr:nvPicPr>
            <xdr:cNvPr id="2" name="図 1">
              <a:extLst>
                <a:ext uri="{FF2B5EF4-FFF2-40B4-BE49-F238E27FC236}">
                  <a16:creationId xmlns:a16="http://schemas.microsoft.com/office/drawing/2014/main" id="{00000000-0008-0000-0700-000002000000}"/>
                </a:ext>
              </a:extLst>
            </xdr:cNvPr>
            <xdr:cNvPicPr>
              <a:picLocks noChangeAspect="1" noChangeArrowheads="1"/>
              <a:extLst>
                <a:ext uri="{84589F7E-364E-4C9E-8A38-B11213B215E9}">
                  <a14:cameraTool cellRange="$X$4:$AD$13" spid="_x0000_s56419"/>
                </a:ext>
              </a:extLst>
            </xdr:cNvPicPr>
          </xdr:nvPicPr>
          <xdr:blipFill>
            <a:blip xmlns:r="http://schemas.openxmlformats.org/officeDocument/2006/relationships" r:embed="rId1"/>
            <a:srcRect/>
            <a:stretch>
              <a:fillRect/>
            </a:stretch>
          </xdr:blipFill>
          <xdr:spPr bwMode="auto">
            <a:xfrm>
              <a:off x="7112000" y="1019175"/>
              <a:ext cx="4778375" cy="1905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266700</xdr:colOff>
          <xdr:row>3</xdr:row>
          <xdr:rowOff>95250</xdr:rowOff>
        </xdr:from>
        <xdr:to>
          <xdr:col>15</xdr:col>
          <xdr:colOff>2886075</xdr:colOff>
          <xdr:row>11</xdr:row>
          <xdr:rowOff>228600</xdr:rowOff>
        </xdr:to>
        <xdr:pic>
          <xdr:nvPicPr>
            <xdr:cNvPr id="10" name="図 9">
              <a:extLst>
                <a:ext uri="{FF2B5EF4-FFF2-40B4-BE49-F238E27FC236}">
                  <a16:creationId xmlns:a16="http://schemas.microsoft.com/office/drawing/2014/main" id="{00000000-0008-0000-0800-00000A000000}"/>
                </a:ext>
              </a:extLst>
            </xdr:cNvPr>
            <xdr:cNvPicPr>
              <a:picLocks noChangeAspect="1" noChangeArrowheads="1"/>
              <a:extLst>
                <a:ext uri="{84589F7E-364E-4C9E-8A38-B11213B215E9}">
                  <a14:cameraTool cellRange="$AD$5:$AE$12" spid="_x0000_s15979"/>
                </a:ext>
              </a:extLst>
            </xdr:cNvPicPr>
          </xdr:nvPicPr>
          <xdr:blipFill>
            <a:blip xmlns:r="http://schemas.openxmlformats.org/officeDocument/2006/relationships" r:embed="rId1"/>
            <a:srcRect/>
            <a:stretch>
              <a:fillRect/>
            </a:stretch>
          </xdr:blipFill>
          <xdr:spPr bwMode="auto">
            <a:xfrm>
              <a:off x="11925300" y="857250"/>
              <a:ext cx="7305675" cy="18859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13</xdr:row>
          <xdr:rowOff>0</xdr:rowOff>
        </xdr:from>
        <xdr:to>
          <xdr:col>15</xdr:col>
          <xdr:colOff>2657475</xdr:colOff>
          <xdr:row>62</xdr:row>
          <xdr:rowOff>9525</xdr:rowOff>
        </xdr:to>
        <xdr:pic>
          <xdr:nvPicPr>
            <xdr:cNvPr id="11" name="図 10">
              <a:extLst>
                <a:ext uri="{FF2B5EF4-FFF2-40B4-BE49-F238E27FC236}">
                  <a16:creationId xmlns:a16="http://schemas.microsoft.com/office/drawing/2014/main" id="{00000000-0008-0000-0800-00000B000000}"/>
                </a:ext>
              </a:extLst>
            </xdr:cNvPr>
            <xdr:cNvPicPr>
              <a:picLocks noChangeAspect="1" noChangeArrowheads="1"/>
              <a:extLst>
                <a:ext uri="{84589F7E-364E-4C9E-8A38-B11213B215E9}">
                  <a14:cameraTool cellRange="$AD$14:$AE$62" spid="_x0000_s15980"/>
                </a:ext>
              </a:extLst>
            </xdr:cNvPicPr>
          </xdr:nvPicPr>
          <xdr:blipFill>
            <a:blip xmlns:r="http://schemas.openxmlformats.org/officeDocument/2006/relationships" r:embed="rId2"/>
            <a:srcRect/>
            <a:stretch>
              <a:fillRect/>
            </a:stretch>
          </xdr:blipFill>
          <xdr:spPr bwMode="auto">
            <a:xfrm>
              <a:off x="11696700" y="3219450"/>
              <a:ext cx="7305675" cy="158781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14</xdr:row>
          <xdr:rowOff>0</xdr:rowOff>
        </xdr:from>
        <xdr:to>
          <xdr:col>15</xdr:col>
          <xdr:colOff>2628900</xdr:colOff>
          <xdr:row>63</xdr:row>
          <xdr:rowOff>0</xdr:rowOff>
        </xdr:to>
        <xdr:pic>
          <xdr:nvPicPr>
            <xdr:cNvPr id="4" name="図 3">
              <a:extLst>
                <a:ext uri="{FF2B5EF4-FFF2-40B4-BE49-F238E27FC236}">
                  <a16:creationId xmlns:a16="http://schemas.microsoft.com/office/drawing/2014/main" id="{00000000-0008-0000-0900-000004000000}"/>
                </a:ext>
              </a:extLst>
            </xdr:cNvPr>
            <xdr:cNvPicPr>
              <a:picLocks noChangeAspect="1" noChangeArrowheads="1"/>
              <a:extLst>
                <a:ext uri="{84589F7E-364E-4C9E-8A38-B11213B215E9}">
                  <a14:cameraTool cellRange="$AD$15:$AE$63" spid="_x0000_s20028"/>
                </a:ext>
              </a:extLst>
            </xdr:cNvPicPr>
          </xdr:nvPicPr>
          <xdr:blipFill>
            <a:blip xmlns:r="http://schemas.openxmlformats.org/officeDocument/2006/relationships" r:embed="rId1"/>
            <a:srcRect/>
            <a:stretch>
              <a:fillRect/>
            </a:stretch>
          </xdr:blipFill>
          <xdr:spPr bwMode="auto">
            <a:xfrm>
              <a:off x="11696700" y="3219450"/>
              <a:ext cx="7277100" cy="158686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xdr:row>
          <xdr:rowOff>19050</xdr:rowOff>
        </xdr:from>
        <xdr:to>
          <xdr:col>23</xdr:col>
          <xdr:colOff>628650</xdr:colOff>
          <xdr:row>12</xdr:row>
          <xdr:rowOff>781050</xdr:rowOff>
        </xdr:to>
        <xdr:pic>
          <xdr:nvPicPr>
            <xdr:cNvPr id="5" name="図 4">
              <a:extLst>
                <a:ext uri="{FF2B5EF4-FFF2-40B4-BE49-F238E27FC236}">
                  <a16:creationId xmlns:a16="http://schemas.microsoft.com/office/drawing/2014/main" id="{00000000-0008-0000-0900-000005000000}"/>
                </a:ext>
              </a:extLst>
            </xdr:cNvPr>
            <xdr:cNvPicPr>
              <a:picLocks noChangeAspect="1" noChangeArrowheads="1"/>
              <a:extLst>
                <a:ext uri="{84589F7E-364E-4C9E-8A38-B11213B215E9}">
                  <a14:cameraTool cellRange="$AD$5:$AG$13" spid="_x0000_s20029"/>
                </a:ext>
              </a:extLst>
            </xdr:cNvPicPr>
          </xdr:nvPicPr>
          <xdr:blipFill>
            <a:blip xmlns:r="http://schemas.openxmlformats.org/officeDocument/2006/relationships" r:embed="rId2"/>
            <a:srcRect/>
            <a:stretch>
              <a:fillRect/>
            </a:stretch>
          </xdr:blipFill>
          <xdr:spPr bwMode="auto">
            <a:xfrm>
              <a:off x="11849100" y="781050"/>
              <a:ext cx="8915400" cy="27622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31</xdr:col>
      <xdr:colOff>91280</xdr:colOff>
      <xdr:row>29</xdr:row>
      <xdr:rowOff>71439</xdr:rowOff>
    </xdr:from>
    <xdr:to>
      <xdr:col>47</xdr:col>
      <xdr:colOff>247650</xdr:colOff>
      <xdr:row>40</xdr:row>
      <xdr:rowOff>1</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29256830" y="8872539"/>
          <a:ext cx="12024520" cy="265271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＜留意事項＞</a:t>
          </a:r>
          <a:endParaRPr kumimoji="1" lang="en-US" altLang="ja-JP" sz="11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①</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「種類」欄はプルダウンリストから選択してください。</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申請できる個人防護具の種類は、</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マスク、ゴーグル、ガウン、グローブ、キャップ、フェイスシールド</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です。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令和</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3</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年</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4</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月</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日（診療・検査医療機関の指定を受けた日が</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4</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月</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日以降の場合は、指定日）から令和</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3</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年</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9</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月</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30</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日（または、診療・検査医療機関の指定取り下げ日）までの期間内に使用する分を申請してください。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②「単価（税抜）」欄と「単価（税込）」欄については、</a:t>
          </a:r>
          <a:r>
            <a:rPr kumimoji="1" lang="ja-JP" altLang="en-US" sz="1100">
              <a:solidFill>
                <a:srgbClr val="FF0000"/>
              </a:solidFill>
              <a:latin typeface="ＭＳ ゴシック" panose="020B0609070205080204" pitchFamily="49" charset="-128"/>
              <a:ea typeface="ＭＳ ゴシック" panose="020B0609070205080204" pitchFamily="49" charset="-128"/>
            </a:rPr>
            <a:t>どちらか一方を</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入力して下さい。（最終的に、</a:t>
          </a:r>
          <a:r>
            <a:rPr kumimoji="1" lang="ja-JP" altLang="en-US" sz="1100">
              <a:solidFill>
                <a:srgbClr val="FF0000"/>
              </a:solidFill>
              <a:latin typeface="ＭＳ ゴシック" panose="020B0609070205080204" pitchFamily="49" charset="-128"/>
              <a:ea typeface="ＭＳ ゴシック" panose="020B0609070205080204" pitchFamily="49" charset="-128"/>
            </a:rPr>
            <a:t>「金額（税込）」欄が、見積書等（発注・契約書、納品書、請求書、領収書など）と一致</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するようにしてください。）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③「添付書類番号」欄に番号を入力いただき、照合できるように、</a:t>
          </a:r>
          <a:r>
            <a:rPr kumimoji="1" lang="ja-JP" altLang="en-US" sz="1100">
              <a:solidFill>
                <a:srgbClr val="FF0000"/>
              </a:solidFill>
              <a:latin typeface="ＭＳ ゴシック" panose="020B0609070205080204" pitchFamily="49" charset="-128"/>
              <a:ea typeface="ＭＳ ゴシック" panose="020B0609070205080204" pitchFamily="49" charset="-128"/>
            </a:rPr>
            <a:t>各品目に対する見積書等（発注・契約書、納品書、請求書、領収書など）に番号を付記してください。</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9</xdr:col>
          <xdr:colOff>24607</xdr:colOff>
          <xdr:row>7</xdr:row>
          <xdr:rowOff>184150</xdr:rowOff>
        </xdr:from>
        <xdr:to>
          <xdr:col>11</xdr:col>
          <xdr:colOff>2453482</xdr:colOff>
          <xdr:row>40</xdr:row>
          <xdr:rowOff>231776</xdr:rowOff>
        </xdr:to>
        <xdr:pic>
          <xdr:nvPicPr>
            <xdr:cNvPr id="7" name="図 6">
              <a:extLst>
                <a:ext uri="{FF2B5EF4-FFF2-40B4-BE49-F238E27FC236}">
                  <a16:creationId xmlns:a16="http://schemas.microsoft.com/office/drawing/2014/main" id="{00000000-0008-0000-0A00-000007000000}"/>
                </a:ext>
              </a:extLst>
            </xdr:cNvPr>
            <xdr:cNvPicPr>
              <a:picLocks noChangeAspect="1" noChangeArrowheads="1"/>
              <a:extLst>
                <a:ext uri="{84589F7E-364E-4C9E-8A38-B11213B215E9}">
                  <a14:cameraTool cellRange="$Y$9:$AA$41" spid="_x0000_s7017"/>
                </a:ext>
              </a:extLst>
            </xdr:cNvPicPr>
          </xdr:nvPicPr>
          <xdr:blipFill>
            <a:blip xmlns:r="http://schemas.openxmlformats.org/officeDocument/2006/relationships" r:embed="rId1"/>
            <a:srcRect/>
            <a:stretch>
              <a:fillRect/>
            </a:stretch>
          </xdr:blipFill>
          <xdr:spPr bwMode="auto">
            <a:xfrm>
              <a:off x="7454107" y="2470150"/>
              <a:ext cx="7096125" cy="836612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149679</xdr:colOff>
          <xdr:row>2</xdr:row>
          <xdr:rowOff>34470</xdr:rowOff>
        </xdr:from>
        <xdr:to>
          <xdr:col>23</xdr:col>
          <xdr:colOff>280184</xdr:colOff>
          <xdr:row>4</xdr:row>
          <xdr:rowOff>31749</xdr:rowOff>
        </xdr:to>
        <xdr:pic>
          <xdr:nvPicPr>
            <xdr:cNvPr id="9" name="図 8">
              <a:extLst>
                <a:ext uri="{FF2B5EF4-FFF2-40B4-BE49-F238E27FC236}">
                  <a16:creationId xmlns:a16="http://schemas.microsoft.com/office/drawing/2014/main" id="{00000000-0008-0000-0A00-000009000000}"/>
                </a:ext>
              </a:extLst>
            </xdr:cNvPr>
            <xdr:cNvPicPr>
              <a:picLocks noChangeAspect="1" noChangeArrowheads="1"/>
              <a:extLst>
                <a:ext uri="{84589F7E-364E-4C9E-8A38-B11213B215E9}">
                  <a14:cameraTool cellRange="$AU$4:$BC$7" spid="_x0000_s7018"/>
                </a:ext>
              </a:extLst>
            </xdr:cNvPicPr>
          </xdr:nvPicPr>
          <xdr:blipFill>
            <a:blip xmlns:r="http://schemas.openxmlformats.org/officeDocument/2006/relationships" r:embed="rId2"/>
            <a:srcRect/>
            <a:stretch>
              <a:fillRect/>
            </a:stretch>
          </xdr:blipFill>
          <xdr:spPr bwMode="auto">
            <a:xfrm>
              <a:off x="7579179" y="542470"/>
              <a:ext cx="11306505" cy="126727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ms3.intra.aichi/&#21161;&#25104;G/R4/99%20R4&#35201;&#32177;/R4&#65288;03&#26032;&#22411;&#12467;&#12525;&#12490;&#12454;&#12452;&#12523;&#12473;&#24863;&#26579;&#30151;&#35386;&#30274;&#12539;&#26908;&#26619;&#21307;&#30274;&#27231;&#38306;&#35373;&#20633;&#25972;&#20633;&#36027;&#35036;&#21161;&#37329;&#65288;&#35386;&#30274;&#12539;&#26908;&#26619;&#65289;&#65289;/&#12304;&#27096;&#24335;&#65297;&#12305;&#20132;&#20184;&#30003;&#35531;&#27096;&#24335;&#65288;&#35386;&#30274;&#12539;&#26908;&#26619;&#21307;&#30274;&#27231;&#38306;&#65289;&#65288;R3.6.1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ms3.intra.aichi/&#21161;&#25104;G/R4/99%20R4&#35201;&#32177;/R4&#65288;04&#26032;&#22411;&#12467;&#12525;&#12490;&#12454;&#12452;&#12523;&#12473;&#24863;&#26579;&#30151;&#26908;&#26619;&#27231;&#38306;&#31561;&#35373;&#20633;&#25972;&#20633;&#20107;&#26989;&#35036;&#21161;&#37329;&#65288;PCR&#65289;&#65289;/&#23436;&#25104;&#12304;&#27096;&#24335;&#65297;&#12305;&#20132;&#20184;&#30003;&#35531;&#27096;&#24335;&#65288;PCR&#65289;(&#33258;&#21205;&#22238;&#24489;&#28168;&#124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入力してください"/>
      <sheetName val="振込先情報"/>
      <sheetName val="様式1"/>
      <sheetName val="様式1-1"/>
      <sheetName val="様式1-2"/>
      <sheetName val="防護具明細"/>
      <sheetName val="診療室明細"/>
      <sheetName val="歳入歳出抄本"/>
      <sheetName val="転記用"/>
    </sheetNames>
    <sheetDataSet>
      <sheetData sheetId="0"/>
      <sheetData sheetId="1">
        <row r="23">
          <cell r="E23"/>
          <cell r="F23"/>
          <cell r="G23">
            <v>1</v>
          </cell>
          <cell r="H23">
            <v>2</v>
          </cell>
        </row>
        <row r="24">
          <cell r="E24"/>
          <cell r="F24"/>
          <cell r="G24">
            <v>5</v>
          </cell>
        </row>
        <row r="25">
          <cell r="E25"/>
        </row>
        <row r="26">
          <cell r="E26"/>
        </row>
        <row r="28">
          <cell r="E28"/>
        </row>
        <row r="29">
          <cell r="E29"/>
          <cell r="F29"/>
          <cell r="G29">
            <v>1</v>
          </cell>
          <cell r="H29">
            <v>2</v>
          </cell>
          <cell r="I29">
            <v>3</v>
          </cell>
          <cell r="J29">
            <v>4</v>
          </cell>
          <cell r="K29">
            <v>5</v>
          </cell>
        </row>
        <row r="30">
          <cell r="E30"/>
        </row>
        <row r="31">
          <cell r="E31"/>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入力してください"/>
      <sheetName val="振込先情報"/>
      <sheetName val="第１号様式"/>
      <sheetName val="第2-1号様式"/>
      <sheetName val="第2-2号様式"/>
      <sheetName val="第2-3号様式（公立医療機関のみ提出）"/>
      <sheetName val="転記用"/>
    </sheetNames>
    <sheetDataSet>
      <sheetData sheetId="0"/>
      <sheetData sheetId="1"/>
      <sheetData sheetId="2">
        <row r="8">
          <cell r="I8" t="str">
            <v>所　  在 　 地</v>
          </cell>
        </row>
        <row r="9">
          <cell r="I9" t="str">
            <v>補助事業者名</v>
          </cell>
        </row>
        <row r="10">
          <cell r="I10" t="str">
            <v>代表者職氏名</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
  <sheetViews>
    <sheetView workbookViewId="0">
      <selection activeCell="H8" sqref="H8"/>
    </sheetView>
  </sheetViews>
  <sheetFormatPr defaultColWidth="9" defaultRowHeight="9.75"/>
  <cols>
    <col min="1" max="1" width="6.625" style="17" customWidth="1"/>
    <col min="2" max="2" width="6.625" style="19" customWidth="1"/>
    <col min="3" max="3" width="6.625" style="18" customWidth="1"/>
    <col min="4" max="12" width="10.625" style="17" customWidth="1"/>
    <col min="13" max="15" width="9" style="17" customWidth="1"/>
    <col min="16" max="28" width="9" style="17"/>
    <col min="29" max="54" width="8.625" style="195" customWidth="1"/>
    <col min="55" max="55" width="10.625" style="17" customWidth="1"/>
    <col min="56" max="56" width="40.625" style="17" customWidth="1"/>
    <col min="57" max="57" width="9" style="17"/>
    <col min="58" max="58" width="60.625" style="17" customWidth="1"/>
    <col min="59" max="16384" width="9" style="17"/>
  </cols>
  <sheetData>
    <row r="1" spans="1:58" ht="9.75" customHeight="1">
      <c r="A1" s="408" t="s">
        <v>149</v>
      </c>
      <c r="B1" s="414" t="s">
        <v>160</v>
      </c>
      <c r="C1" s="408" t="s">
        <v>263</v>
      </c>
      <c r="D1" s="408" t="s">
        <v>150</v>
      </c>
      <c r="E1" s="408" t="s">
        <v>151</v>
      </c>
      <c r="F1" s="408" t="s">
        <v>152</v>
      </c>
      <c r="G1" s="408" t="s">
        <v>11</v>
      </c>
      <c r="H1" s="408" t="s">
        <v>153</v>
      </c>
      <c r="I1" s="408" t="s">
        <v>154</v>
      </c>
      <c r="J1" s="408" t="s">
        <v>17</v>
      </c>
      <c r="K1" s="408" t="s">
        <v>155</v>
      </c>
      <c r="L1" s="408" t="s">
        <v>156</v>
      </c>
      <c r="M1" s="410" t="s">
        <v>161</v>
      </c>
      <c r="N1" s="411"/>
      <c r="O1" s="411"/>
      <c r="P1" s="411"/>
      <c r="Q1" s="411"/>
      <c r="R1" s="411"/>
      <c r="S1" s="411"/>
      <c r="T1" s="411"/>
      <c r="U1" s="411"/>
      <c r="V1" s="411"/>
      <c r="W1" s="411"/>
      <c r="X1" s="411"/>
      <c r="Y1" s="411"/>
      <c r="Z1" s="411"/>
      <c r="AA1" s="411"/>
      <c r="AB1" s="411"/>
      <c r="AC1" s="412" t="s">
        <v>144</v>
      </c>
      <c r="AD1" s="413"/>
      <c r="AE1" s="413"/>
      <c r="AF1" s="413"/>
      <c r="AG1" s="413"/>
      <c r="AH1" s="413"/>
      <c r="AI1" s="413"/>
      <c r="AJ1" s="413"/>
      <c r="AK1" s="413"/>
      <c r="AL1" s="413"/>
      <c r="AM1" s="413"/>
      <c r="AN1" s="413"/>
      <c r="AO1" s="413"/>
      <c r="AP1" s="413"/>
      <c r="AQ1" s="413"/>
      <c r="AR1" s="413"/>
      <c r="AS1" s="413"/>
      <c r="AT1" s="413"/>
      <c r="AU1" s="413"/>
      <c r="AV1" s="413"/>
      <c r="AW1" s="413"/>
      <c r="AX1" s="413"/>
      <c r="AY1" s="413"/>
      <c r="AZ1" s="413"/>
      <c r="BA1" s="413"/>
      <c r="BB1" s="413"/>
      <c r="BC1" s="408" t="s">
        <v>157</v>
      </c>
      <c r="BD1" s="410" t="s">
        <v>169</v>
      </c>
      <c r="BE1" s="410" t="s">
        <v>170</v>
      </c>
      <c r="BF1" s="410" t="s">
        <v>171</v>
      </c>
    </row>
    <row r="2" spans="1:58" s="18" customFormat="1">
      <c r="A2" s="409"/>
      <c r="B2" s="415"/>
      <c r="C2" s="415"/>
      <c r="D2" s="409"/>
      <c r="E2" s="409"/>
      <c r="F2" s="409"/>
      <c r="G2" s="409"/>
      <c r="H2" s="409"/>
      <c r="I2" s="409"/>
      <c r="J2" s="409"/>
      <c r="K2" s="409"/>
      <c r="L2" s="409"/>
      <c r="M2" s="20" t="s">
        <v>158</v>
      </c>
      <c r="N2" s="20" t="s">
        <v>621</v>
      </c>
      <c r="O2" s="20" t="s">
        <v>622</v>
      </c>
      <c r="P2" s="20" t="s">
        <v>159</v>
      </c>
      <c r="Q2" s="238" t="s">
        <v>631</v>
      </c>
      <c r="R2" s="238" t="s">
        <v>632</v>
      </c>
      <c r="S2" s="238" t="s">
        <v>633</v>
      </c>
      <c r="T2" s="20" t="s">
        <v>623</v>
      </c>
      <c r="U2" s="238" t="s">
        <v>634</v>
      </c>
      <c r="V2" s="238" t="s">
        <v>624</v>
      </c>
      <c r="W2" s="238" t="s">
        <v>625</v>
      </c>
      <c r="X2" s="238" t="s">
        <v>626</v>
      </c>
      <c r="Y2" s="238" t="s">
        <v>627</v>
      </c>
      <c r="Z2" s="238" t="s">
        <v>628</v>
      </c>
      <c r="AA2" s="238" t="s">
        <v>629</v>
      </c>
      <c r="AB2" s="238" t="s">
        <v>630</v>
      </c>
      <c r="AC2" s="193" t="s">
        <v>264</v>
      </c>
      <c r="AD2" s="193" t="s">
        <v>265</v>
      </c>
      <c r="AE2" s="193" t="s">
        <v>266</v>
      </c>
      <c r="AF2" s="193" t="s">
        <v>267</v>
      </c>
      <c r="AG2" s="193" t="s">
        <v>19</v>
      </c>
      <c r="AH2" s="193" t="s">
        <v>268</v>
      </c>
      <c r="AI2" s="193" t="s">
        <v>269</v>
      </c>
      <c r="AJ2" s="193" t="s">
        <v>270</v>
      </c>
      <c r="AK2" s="193" t="s">
        <v>271</v>
      </c>
      <c r="AL2" s="193" t="s">
        <v>272</v>
      </c>
      <c r="AM2" s="193" t="s">
        <v>273</v>
      </c>
      <c r="AN2" s="193" t="s">
        <v>274</v>
      </c>
      <c r="AO2" s="193" t="s">
        <v>275</v>
      </c>
      <c r="AP2" s="193" t="s">
        <v>276</v>
      </c>
      <c r="AQ2" s="193" t="s">
        <v>277</v>
      </c>
      <c r="AR2" s="193" t="s">
        <v>278</v>
      </c>
      <c r="AS2" s="193" t="s">
        <v>279</v>
      </c>
      <c r="AT2" s="193" t="s">
        <v>280</v>
      </c>
      <c r="AU2" s="193" t="s">
        <v>281</v>
      </c>
      <c r="AV2" s="193" t="s">
        <v>162</v>
      </c>
      <c r="AW2" s="193" t="s">
        <v>165</v>
      </c>
      <c r="AX2" s="193" t="s">
        <v>166</v>
      </c>
      <c r="AY2" s="193" t="s">
        <v>167</v>
      </c>
      <c r="AZ2" s="193" t="s">
        <v>168</v>
      </c>
      <c r="BA2" s="193" t="s">
        <v>163</v>
      </c>
      <c r="BB2" s="193" t="s">
        <v>164</v>
      </c>
      <c r="BC2" s="409"/>
      <c r="BD2" s="411"/>
      <c r="BE2" s="411"/>
      <c r="BF2" s="411"/>
    </row>
    <row r="3" spans="1:58" s="24" customFormat="1" ht="150" customHeight="1">
      <c r="A3" s="21">
        <f>はじめに入力してください!L20</f>
        <v>0</v>
      </c>
      <c r="B3" s="22" t="str">
        <f>経費書!J4</f>
        <v/>
      </c>
      <c r="C3" s="22" t="str">
        <f>経費書!J4</f>
        <v/>
      </c>
      <c r="D3" s="21">
        <f>はじめに入力してください!H6</f>
        <v>0</v>
      </c>
      <c r="E3" s="21">
        <f>はじめに入力してください!H9</f>
        <v>0</v>
      </c>
      <c r="F3" s="21">
        <f>はじめに入力してください!H7</f>
        <v>0</v>
      </c>
      <c r="G3" s="21">
        <f>はじめに入力してください!H8</f>
        <v>0</v>
      </c>
      <c r="H3" s="21">
        <f>はじめに入力してください!H10</f>
        <v>0</v>
      </c>
      <c r="I3" s="21">
        <f>はじめに入力してください!H11</f>
        <v>0</v>
      </c>
      <c r="J3" s="21">
        <f>はじめに入力してください!H16</f>
        <v>0</v>
      </c>
      <c r="K3" s="21">
        <f>はじめに入力してください!H17</f>
        <v>0</v>
      </c>
      <c r="L3" s="21">
        <f>はじめに入力してください!H18</f>
        <v>0</v>
      </c>
      <c r="M3" s="23" t="str">
        <f>表紙!G20</f>
        <v>金　　　　　　　　　円</v>
      </c>
      <c r="N3" s="23">
        <f>経費書!K7</f>
        <v>0</v>
      </c>
      <c r="O3" s="23">
        <f>経費書!K9</f>
        <v>0</v>
      </c>
      <c r="P3" s="23">
        <f>経費書!K11</f>
        <v>0</v>
      </c>
      <c r="Q3" s="23">
        <f>経費書!K13</f>
        <v>0</v>
      </c>
      <c r="R3" s="23">
        <f>経費書!K15</f>
        <v>0</v>
      </c>
      <c r="S3" s="23">
        <f>経費書!K17</f>
        <v>0</v>
      </c>
      <c r="T3" s="23">
        <f>経費書!K19</f>
        <v>0</v>
      </c>
      <c r="U3" s="23">
        <f>経費書!K21</f>
        <v>0</v>
      </c>
      <c r="V3" s="23">
        <f>経費書!K25</f>
        <v>0</v>
      </c>
      <c r="W3" s="23">
        <f>経費書!K27</f>
        <v>0</v>
      </c>
      <c r="X3" s="23">
        <f>経費書!K29</f>
        <v>0</v>
      </c>
      <c r="Y3" s="23">
        <f>経費書!K31</f>
        <v>0</v>
      </c>
      <c r="Z3" s="23">
        <f>経費書!K33</f>
        <v>0</v>
      </c>
      <c r="AA3" s="23">
        <f>経費書!K35</f>
        <v>0</v>
      </c>
      <c r="AB3" s="23">
        <f>経費書!K37</f>
        <v>0</v>
      </c>
      <c r="AC3" s="194">
        <v>1</v>
      </c>
      <c r="AD3" s="194"/>
      <c r="AE3" s="194">
        <v>1</v>
      </c>
      <c r="AF3" s="194">
        <v>48700</v>
      </c>
      <c r="AG3" s="194"/>
      <c r="AH3" s="194"/>
      <c r="AI3" s="194"/>
      <c r="AJ3" s="194"/>
      <c r="AK3" s="194"/>
      <c r="AL3" s="194" t="str">
        <f xml:space="preserve">
IF(はじめに入力してください!O3="×","",
IF(はじめに入力してください!O3="○"&amp;CHAR(10)&amp;"（公立）","",
IF(はじめに入力してください!O3="○"&amp;CHAR(10)&amp;"（個人）",ASC(PHONETIC(はじめに入力してください!H10)),
IF(はじめに入力してください!O3="○"&amp;CHAR(10)&amp;"（法人）",""))))</f>
        <v/>
      </c>
      <c r="AM3" s="194" t="str">
        <f xml:space="preserve">
IF(はじめに入力してください!O3="×","",
IF(はじめに入力してください!O3="○"&amp;CHAR(10)&amp;"（公立）","",
IF(はじめに入力してください!O3="○"&amp;CHAR(10)&amp;"（個人）",はじめに入力してください!H10,
IF(はじめに入力してください!O3="○"&amp;CHAR(10)&amp;"（法人）",""))))</f>
        <v/>
      </c>
      <c r="AN3" s="194" t="str">
        <f xml:space="preserve">
IF(はじめに入力してください!O3="×","",
IF(はじめに入力してください!O3="○"&amp;CHAR(10)&amp;"（公立）",ASC(PHONETIC(はじめに入力してください!H6)&amp;"("&amp;PHONETIC(はじめに入力してください!H10)&amp;")"),
IF(はじめに入力してください!O3="○"&amp;CHAR(10)&amp;"（個人）",ASC(PHONETIC(はじめに入力してください!H8)),
IF(はじめに入力してください!O3="○"&amp;CHAR(10)&amp;"（法人）",ASC(PHONETIC(はじめに入力してください!H6)&amp;"("&amp;PHONETIC(はじめに入力してください!H10)&amp;")")))))</f>
        <v/>
      </c>
      <c r="AO3" s="194" t="str">
        <f xml:space="preserve">
IF(はじめに入力してください!O3="×","",
IF(はじめに入力してください!O3="○"&amp;CHAR(10)&amp;"（公立）",はじめに入力してください!H6&amp;"("&amp;はじめに入力してください!H10&amp;")",
IF(はじめに入力してください!O3="○"&amp;CHAR(10)&amp;"（個人）",はじめに入力してください!H10,
IF(はじめに入力してください!O3="○"&amp;CHAR(10)&amp;"（法人）",はじめに入力してください!H6&amp;"("&amp;はじめに入力してください!H10&amp;")"))))</f>
        <v/>
      </c>
      <c r="AP3" s="194" t="str">
        <f xml:space="preserve">
IF(はじめに入力してください!O3="×","",
IF(はじめに入力してください!O3="○"&amp;CHAR(10)&amp;"（公立）",ASC(PHONETIC(はじめに入力してください!H8)),
IF(はじめに入力してください!O3="○"&amp;CHAR(10)&amp;"（個人）","",
IF(はじめに入力してください!O3="○"&amp;CHAR(10)&amp;"（法人）",ASC(PHONETIC(はじめに入力してください!H8))))))</f>
        <v/>
      </c>
      <c r="AQ3" s="194" t="str">
        <f xml:space="preserve">
IF(はじめに入力してください!O3="×","",
IF(はじめに入力してください!O3="○"&amp;CHAR(10)&amp;"（公立）",はじめに入力してください!H8,
IF(はじめに入力してください!O3="○"&amp;CHAR(10)&amp;"（個人）","",
IF(はじめに入力してください!O3="○"&amp;CHAR(10)&amp;"（法人）",はじめに入力してください!H8))))</f>
        <v/>
      </c>
      <c r="AR3" s="194">
        <v>2</v>
      </c>
      <c r="AS3" s="194"/>
      <c r="AT3" s="194" t="s">
        <v>282</v>
      </c>
      <c r="AU3" s="194" t="s">
        <v>283</v>
      </c>
      <c r="AV3" s="194" t="str">
        <f>ASC([1]振込先情報!E23&amp;[1]振込先情報!F23&amp;[1]振込先情報!G23&amp;[1]振込先情報!H23&amp;[1]振込先情報!E24&amp;[1]振込先情報!F24&amp;[1]振込先情報!G24)</f>
        <v>125</v>
      </c>
      <c r="AW3" s="194">
        <f>[1]振込先情報!E28</f>
        <v>0</v>
      </c>
      <c r="AX3" s="194" t="str">
        <f>ASC([1]振込先情報!E29&amp;[1]振込先情報!F29&amp;[1]振込先情報!G29&amp;[1]振込先情報!H29&amp;[1]振込先情報!I29&amp;[1]振込先情報!J29&amp;[1]振込先情報!K29)</f>
        <v>12345</v>
      </c>
      <c r="AY3" s="194">
        <f>[1]振込先情報!E30</f>
        <v>0</v>
      </c>
      <c r="AZ3" s="194">
        <f>[1]振込先情報!E31</f>
        <v>0</v>
      </c>
      <c r="BA3" s="194">
        <f>[1]振込先情報!E25</f>
        <v>0</v>
      </c>
      <c r="BB3" s="194">
        <f>[1]振込先情報!E26</f>
        <v>0</v>
      </c>
      <c r="BC3" s="21">
        <f>はじめに入力してください!H19</f>
        <v>0</v>
      </c>
      <c r="BD3" s="21" t="str">
        <f>"【依頼番号："&amp;A3&amp;はじめに入力してください!H6&amp;"（"&amp;はじめに入力してください!H10&amp;"）ご担当者様】令和４年度愛知県新型コロナウイルス感染症入院医療機関設備整備費補助金交付申請書の修正について（愛知県感染症対策課）"</f>
        <v>【依頼番号：0（）ご担当者様】令和４年度愛知県新型コロナウイルス感染症入院医療機関設備整備費補助金交付申請書の修正について（愛知県感染症対策課）</v>
      </c>
      <c r="BE3" s="21"/>
      <c r="BF3" s="21" t="str">
        <f xml:space="preserve">
IF(はじめに入力してください!O34="○","","○「はじめに入力してください」関係："&amp;はじめに入力してください!P34&amp;CHAR(10)&amp;CHAR(10))&amp;
IF(はじめに入力してください!O35="○","","○「振込先情報」関係："&amp;はじめに入力してください!P35&amp;CHAR(10)&amp;CHAR(10))&amp;
IF(はじめに入力してください!O37="○","","○「様式１－１（経費所要額調書）」関係："&amp;はじめに入力してください!P37&amp;CHAR(10)&amp;CHAR(10))&amp;
IF(はじめに入力してください!O38="○","","○「様式１－２（経費支出予定額内訳）」関係："&amp;はじめに入力してください!P38&amp;CHAR(10)&amp;CHAR(10))&amp;
IF(はじめに入力してください!O39="○","","○「様式１－３（歳入歳出予算書抄本）」関係："&amp;はじめに入力してください!P39&amp;CHAR(10)&amp;CHAR(10))&amp;
IF('初度設備明細 '!AD7="×","「初度設備明細」シートについて、以下の点につき入力内容を御確認ください。"&amp;CHAR(10)&amp;"→"&amp;'初度設備明細 '!AK14&amp;CHAR(10)&amp;CHAR(10),"")&amp;
IF(人工呼吸器明細!AD7="×","「人工呼吸器明細」シートについて、以下の点につき入力内容を御確認ください。"&amp;CHAR(10)&amp;"→"&amp;人工呼吸器明細!AK15&amp;CHAR(10)&amp;CHAR(10),"")&amp;
IF(個人防護具明細!AV5="×","「個人防護具明細」シートについて、「１．はじめに」の入力が不十分です。"&amp;CHAR(10)&amp;CHAR(10),"")&amp;
IF(個人防護具明細!AV6="×","「個人防護具明細」シートの「２．防護具情報」について、以下の点につき入力内容を御確認ください。"&amp;CHAR(10)&amp;"→"&amp;個人防護具明細!AE9&amp;CHAR(10)&amp;CHAR(10),"")&amp;
IF('簡易陰圧装置明細 '!AD7="×","「簡易陰圧装置明細」シートについて、以下の点につき入力内容を御確認ください。"&amp;CHAR(10)&amp;"→"&amp;'簡易陰圧装置明細 '!AK15&amp;CHAR(10)&amp;CHAR(10),"")&amp;
IF(簡易病室明細!AH72="×","「簡易病室明細」シートについて、「１．はじめに」の入力が不十分です。"&amp;CHAR(10)&amp;CHAR(10),"")&amp;
IF(簡易病室明細!AH73="×","「簡易病室明細」シートの「２．簡易病室情報」について、以下の点につき入力内容を御確認ください。"&amp;CHAR(10)&amp;"→"&amp;簡易病室明細!AD15&amp;CHAR(10)&amp;CHAR(10),"")&amp;
IF(超音波画像診断装置!AD7="×","「超音波画像診断装置明細」シートについて、以下の点につき入力内容を御確認ください。"&amp;CHAR(10)&amp;"→"&amp;超音波画像診断装置!AK15&amp;CHAR(10)&amp;CHAR(10),"")&amp;
IF(血液浄化装置明細!AD7="×","「血液浄化装置明細」シートについて、以下の点につき入力内容を御確認ください。"&amp;CHAR(10)&amp;"→"&amp;血液浄化装置明細!AK15&amp;CHAR(10)&amp;CHAR(10),"")&amp;
IF(気管支鏡!AD7="×","「気管支鏡明細」シートについて、以下の点につき入力内容を御確認ください。"&amp;CHAR(10)&amp;"→"&amp;気管支鏡!AK15&amp;CHAR(10)&amp;CHAR(10),"")&amp;
IF(CT撮影装置明細!AD7="×","「CT撮影装置明細」シートについて、以下の点につき入力内容を御確認ください。"&amp;CHAR(10)&amp;"→"&amp;CT撮影装置明細!AK15&amp;CHAR(10)&amp;CHAR(10),"")&amp;
IF(生体情報モニタ!AD7="×","「生体情報モニタ明細」シートについて、以下の点につき入力内容を御確認ください。"&amp;CHAR(10)&amp;"→"&amp;生体情報モニタ!AK15&amp;CHAR(10)&amp;CHAR(10),"")&amp;
IF(分娩監視装置!AD7="×","「分娩監視装置明細」シートについて、以下の点につき入力内容を御確認ください。"&amp;CHAR(10)&amp;"→"&amp;分娩監視装置!AK15&amp;CHAR(10)&amp;CHAR(10),"")&amp;
IF('新生児モニタ '!AD7="×","「新生児モニタ明細」シートについて、以下の点につき入力内容を御確認ください。"&amp;CHAR(10)&amp;"→"&amp;'新生児モニタ '!AK15&amp;CHAR(10)&amp;CHAR(10),"")</f>
        <v xml:space="preserve">○「はじめに入力してください」関係：【要修正】次の項目が適切に入力されているかご確認ください→法人・個人事業主の別/事業者名（法人名または屋号）/代表者役職/代表者氏名/所在地/施設所在地/施設所在地（既設病床数）/新型コロナウイルス感染症患者対応病床数（今年度整備病床数）/提出日/担当部署/担当者名/電話番号（担当直通）/Mailｱﾄﾞﾚｽ（担当直通）/既交付決定通知番号/
○「振込先情報」関係：　　　　　　　　　　　　　　　　　　　　　　　－
○「様式１－２（経費支出予定額内訳）」関係：【要修正】全ての項目が未入力、又は次の項目が適切に入力されているかご確認ください
</v>
      </c>
    </row>
  </sheetData>
  <mergeCells count="18">
    <mergeCell ref="L1:L2"/>
    <mergeCell ref="M1:AB1"/>
    <mergeCell ref="A1:A2"/>
    <mergeCell ref="B1:B2"/>
    <mergeCell ref="C1:C2"/>
    <mergeCell ref="D1:D2"/>
    <mergeCell ref="E1:E2"/>
    <mergeCell ref="F1:F2"/>
    <mergeCell ref="G1:G2"/>
    <mergeCell ref="H1:H2"/>
    <mergeCell ref="I1:I2"/>
    <mergeCell ref="J1:J2"/>
    <mergeCell ref="K1:K2"/>
    <mergeCell ref="BC1:BC2"/>
    <mergeCell ref="BD1:BD2"/>
    <mergeCell ref="BE1:BE2"/>
    <mergeCell ref="BF1:BF2"/>
    <mergeCell ref="AC1:BB1"/>
  </mergeCells>
  <phoneticPr fontId="1"/>
  <pageMargins left="0.7" right="0.7" top="0.75" bottom="0.75" header="0.3" footer="0.3"/>
  <pageSetup paperSize="9" scale="1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BW65"/>
  <sheetViews>
    <sheetView showGridLines="0" view="pageBreakPreview" zoomScale="40" zoomScaleNormal="100" zoomScaleSheetLayoutView="40" workbookViewId="0">
      <pane xSplit="1" ySplit="15" topLeftCell="B16" activePane="bottomRight" state="frozen"/>
      <selection activeCell="N3" sqref="N3:Q3"/>
      <selection pane="topRight" activeCell="N3" sqref="N3:Q3"/>
      <selection pane="bottomLeft" activeCell="N3" sqref="N3:Q3"/>
      <selection pane="bottomRight" activeCell="L21" sqref="L21"/>
    </sheetView>
  </sheetViews>
  <sheetFormatPr defaultColWidth="9" defaultRowHeight="20.100000000000001" customHeight="1"/>
  <cols>
    <col min="1" max="1" width="5.625" style="38" customWidth="1"/>
    <col min="2" max="4" width="11.625" style="38" customWidth="1"/>
    <col min="5" max="5" width="26.5" style="39" customWidth="1"/>
    <col min="6" max="7" width="11.625" style="40" customWidth="1"/>
    <col min="8" max="9" width="12.625" style="40" customWidth="1"/>
    <col min="10" max="10" width="12.625" style="25" customWidth="1"/>
    <col min="11" max="12" width="12.625" style="40" customWidth="1"/>
    <col min="13" max="13" width="2.625" style="40" customWidth="1"/>
    <col min="14" max="15" width="30.625" style="41" customWidth="1"/>
    <col min="16" max="16" width="40.625" style="41" customWidth="1"/>
    <col min="17" max="18" width="30.625" style="41" hidden="1" customWidth="1"/>
    <col min="19" max="22" width="12.625" style="41" hidden="1" customWidth="1"/>
    <col min="23" max="23" width="9" style="200"/>
    <col min="24" max="24" width="10.375" style="41" bestFit="1" customWidth="1"/>
    <col min="25" max="28" width="9" style="41"/>
    <col min="29" max="29" width="3.625" style="49" customWidth="1"/>
    <col min="30" max="30" width="9.75" style="41" bestFit="1" customWidth="1"/>
    <col min="31" max="31" width="85.625" style="201" customWidth="1"/>
    <col min="32" max="35" width="10.625" style="41" customWidth="1"/>
    <col min="36" max="36" width="60.625" style="41" customWidth="1"/>
    <col min="37" max="52" width="9" style="41"/>
    <col min="53" max="53" width="20.625" style="41" customWidth="1"/>
    <col min="54" max="55" width="9" style="41"/>
    <col min="56" max="56" width="35.625" style="41" customWidth="1"/>
    <col min="57" max="16384" width="9" style="41"/>
  </cols>
  <sheetData>
    <row r="1" spans="1:37" ht="9.9499999999999993" customHeight="1"/>
    <row r="2" spans="1:37" ht="30" customHeight="1">
      <c r="B2" s="199" t="s">
        <v>216</v>
      </c>
      <c r="C2" s="36"/>
      <c r="D2" s="36"/>
      <c r="F2" s="772" t="s">
        <v>208</v>
      </c>
      <c r="G2" s="773"/>
      <c r="H2" s="772" t="str">
        <f>表紙!L9&amp;IF(はじめに入力してください!L20="","","※"&amp;はじめに入力してください!AE20)</f>
        <v/>
      </c>
      <c r="I2" s="774"/>
      <c r="J2" s="774"/>
      <c r="K2" s="774"/>
      <c r="L2" s="773"/>
    </row>
    <row r="3" spans="1:37" ht="20.100000000000001" customHeight="1">
      <c r="B3" s="775" t="s">
        <v>582</v>
      </c>
      <c r="C3" s="755"/>
      <c r="D3" s="755"/>
      <c r="E3" s="755"/>
      <c r="F3" s="755"/>
      <c r="G3" s="755"/>
      <c r="H3" s="755"/>
      <c r="I3" s="755"/>
      <c r="J3" s="755"/>
      <c r="K3" s="755"/>
      <c r="L3" s="755"/>
      <c r="S3" s="222"/>
      <c r="T3" s="222"/>
      <c r="U3" s="222"/>
      <c r="V3" s="222"/>
    </row>
    <row r="4" spans="1:37" ht="20.100000000000001" customHeight="1">
      <c r="B4" s="755"/>
      <c r="C4" s="755"/>
      <c r="D4" s="755"/>
      <c r="E4" s="755"/>
      <c r="F4" s="755"/>
      <c r="G4" s="755"/>
      <c r="H4" s="755"/>
      <c r="I4" s="755"/>
      <c r="J4" s="755"/>
      <c r="K4" s="755"/>
      <c r="L4" s="755"/>
      <c r="S4" s="222"/>
      <c r="T4" s="222"/>
      <c r="U4" s="222"/>
      <c r="V4" s="222"/>
    </row>
    <row r="5" spans="1:37" ht="20.100000000000001" customHeight="1">
      <c r="B5" s="755"/>
      <c r="C5" s="755"/>
      <c r="D5" s="755"/>
      <c r="E5" s="755"/>
      <c r="F5" s="755"/>
      <c r="G5" s="755"/>
      <c r="H5" s="755"/>
      <c r="I5" s="755"/>
      <c r="J5" s="755"/>
      <c r="K5" s="755"/>
      <c r="L5" s="755"/>
      <c r="S5" s="222"/>
      <c r="T5" s="222"/>
      <c r="U5" s="222"/>
      <c r="V5" s="222"/>
      <c r="AD5" s="776" t="s">
        <v>122</v>
      </c>
      <c r="AE5" s="735" t="s">
        <v>121</v>
      </c>
      <c r="AF5" s="736"/>
      <c r="AG5" s="737"/>
    </row>
    <row r="6" spans="1:37" ht="20.100000000000001" customHeight="1">
      <c r="B6" s="755"/>
      <c r="C6" s="755"/>
      <c r="D6" s="755"/>
      <c r="E6" s="755"/>
      <c r="F6" s="755"/>
      <c r="G6" s="755"/>
      <c r="H6" s="755"/>
      <c r="I6" s="755"/>
      <c r="J6" s="755"/>
      <c r="K6" s="755"/>
      <c r="L6" s="755"/>
      <c r="S6" s="222"/>
      <c r="T6" s="222"/>
      <c r="U6" s="222"/>
      <c r="V6" s="222"/>
      <c r="AD6" s="777"/>
      <c r="AE6" s="738"/>
      <c r="AF6" s="739"/>
      <c r="AG6" s="740"/>
    </row>
    <row r="7" spans="1:37" ht="9.9499999999999993" customHeight="1">
      <c r="B7" s="56"/>
      <c r="C7" s="56"/>
      <c r="D7" s="56"/>
      <c r="E7" s="57"/>
      <c r="F7" s="58"/>
      <c r="G7" s="41"/>
      <c r="H7" s="41"/>
      <c r="I7" s="41"/>
      <c r="J7" s="200"/>
      <c r="K7" s="41"/>
      <c r="L7" s="41"/>
      <c r="S7" s="222"/>
      <c r="T7" s="222"/>
      <c r="U7" s="222"/>
      <c r="V7" s="222"/>
      <c r="AD7" s="768" t="str">
        <f xml:space="preserve">
IF(AND(COUNTA(D9)=0,COUNTIF(AD16:AD65,"○")=50),"○",
IF(AND(COUNTA(D9)=0,COUNTIF(AD16:AD65,"×")&gt;=1),"×",
IF(AND(COUNTA(D9)=0,COUNTIF(AD16:AD65,"×")=0,COUNTIF(AD16:AD65,"◎")&gt;=1),"×",
IF(AND(COUNTA(D9)=1,COUNTIF(AD16:AD65,"○")=50),"×",
IF(AND(COUNTA(D9)=1,COUNTIF(AD16:AD65,"×")&gt;=1),"×",
IF(AND(COUNTA(D9)=1,COUNTIF(AD16:AD65,"×")=0,COUNTIF(AD16:AD65,"◎")&gt;=1),"◎"))))))</f>
        <v>○</v>
      </c>
      <c r="AE7" s="741" t="str">
        <f xml:space="preserve">
IF(COUNTA(D9)=0,"【１．配備計画】既存配備の人工呼吸器台数が未入力です。"&amp;CHAR(10)&amp;CHAR(10),
IF(COUNTA(D9)=1,"【１．配備計画】適切に入力がされました。 "&amp;CHAR(10)&amp;CHAR(10)))
&amp;
IF(AD7="◎","【装置情報】適切に入力がされました。",
IF(AD7="○","",
IF(AD7="×","【２．装置情報】【要修正】以下の点につき御確認ください。"&amp;CHAR(10)&amp;AJ16&amp;AJ17&amp;AJ18&amp;AJ19&amp;AJ20&amp;AJ21&amp;AJ22&amp;AJ23&amp;AJ24&amp;AJ25&amp;AJ26&amp;AJ27&amp;AJ28&amp;AJ29&amp;AJ30&amp;AJ31&amp;AJ32&amp;AJ33&amp;AJ34&amp;AJ35&amp;AJ36&amp;AJ37&amp;AJ38&amp;AJ39&amp;AJ40&amp;AJ41&amp;AJ42&amp;AJ43&amp;AJ44&amp;AJ45&amp;AJ46&amp;AJ47&amp;AJ48&amp;AJ49&amp;AJ50&amp;AJ51&amp;AJ52&amp;AJ53&amp;AJ54&amp;AJ55&amp;AJ56&amp;AJ57&amp;AJ58&amp;AJ59&amp;AJ60&amp;AJ61&amp;AJ62&amp;AJ63&amp;AJ64&amp;AJ65
)))</f>
        <v xml:space="preserve">【１．配備計画】既存配備の人工呼吸器台数が未入力です。
</v>
      </c>
      <c r="AF7" s="736"/>
      <c r="AG7" s="737"/>
    </row>
    <row r="8" spans="1:37" ht="20.100000000000001" customHeight="1">
      <c r="B8" s="754" t="s">
        <v>221</v>
      </c>
      <c r="C8" s="755"/>
      <c r="D8" s="755"/>
      <c r="E8" s="755"/>
      <c r="F8" s="755"/>
      <c r="G8" s="755"/>
      <c r="H8" s="755"/>
      <c r="I8" s="755"/>
      <c r="J8" s="755"/>
      <c r="K8" s="755"/>
      <c r="L8" s="755"/>
      <c r="S8" s="222"/>
      <c r="T8" s="222"/>
      <c r="U8" s="222"/>
      <c r="V8" s="222"/>
      <c r="AD8" s="778"/>
      <c r="AE8" s="742"/>
      <c r="AF8" s="743"/>
      <c r="AG8" s="744"/>
    </row>
    <row r="9" spans="1:37" ht="20.100000000000001" customHeight="1">
      <c r="B9" s="748" t="s">
        <v>220</v>
      </c>
      <c r="C9" s="749"/>
      <c r="D9" s="318"/>
      <c r="E9" s="232" t="s">
        <v>209</v>
      </c>
      <c r="F9" s="202">
        <f>はじめに入力してください!K12</f>
        <v>0</v>
      </c>
      <c r="H9" s="709" t="s">
        <v>613</v>
      </c>
      <c r="I9" s="710"/>
      <c r="J9" s="50" t="s">
        <v>614</v>
      </c>
      <c r="K9" s="781" t="s">
        <v>212</v>
      </c>
      <c r="L9" s="782"/>
      <c r="S9" s="222"/>
      <c r="T9" s="222"/>
      <c r="U9" s="222"/>
      <c r="V9" s="222"/>
      <c r="AD9" s="779"/>
      <c r="AE9" s="745"/>
      <c r="AF9" s="743"/>
      <c r="AG9" s="744"/>
      <c r="AJ9" s="203" t="s">
        <v>584</v>
      </c>
    </row>
    <row r="10" spans="1:37" ht="20.100000000000001" customHeight="1" thickBot="1">
      <c r="B10" s="750" t="s">
        <v>219</v>
      </c>
      <c r="C10" s="751"/>
      <c r="D10" s="204">
        <f>COUNTIF(D16:D65,"装置")</f>
        <v>0</v>
      </c>
      <c r="E10" s="235" t="s">
        <v>210</v>
      </c>
      <c r="F10" s="207">
        <f>はじめに入力してください!K13</f>
        <v>0</v>
      </c>
      <c r="H10" s="756">
        <f>SUM(I16:I65)</f>
        <v>0</v>
      </c>
      <c r="I10" s="757"/>
      <c r="J10" s="716"/>
      <c r="K10" s="711">
        <f>IFERROR(ROUNDUP(SUM(K16:K65)*(H10-J10)/H10,0),0)</f>
        <v>0</v>
      </c>
      <c r="L10" s="712"/>
      <c r="S10" s="222"/>
      <c r="T10" s="222"/>
      <c r="U10" s="222"/>
      <c r="V10" s="222"/>
      <c r="AD10" s="779"/>
      <c r="AE10" s="745"/>
      <c r="AF10" s="743"/>
      <c r="AG10" s="744"/>
    </row>
    <row r="11" spans="1:37" ht="20.100000000000001" customHeight="1" thickTop="1">
      <c r="B11" s="752" t="s">
        <v>218</v>
      </c>
      <c r="C11" s="753"/>
      <c r="D11" s="205">
        <f>SUM(D9:D10)</f>
        <v>0</v>
      </c>
      <c r="E11" s="236" t="s">
        <v>211</v>
      </c>
      <c r="F11" s="208">
        <f>はじめに入力してください!M13</f>
        <v>0</v>
      </c>
      <c r="H11" s="757"/>
      <c r="I11" s="757"/>
      <c r="J11" s="717"/>
      <c r="K11" s="712"/>
      <c r="L11" s="712"/>
      <c r="S11" s="222"/>
      <c r="T11" s="222"/>
      <c r="U11" s="222"/>
      <c r="V11" s="222"/>
      <c r="AD11" s="779"/>
      <c r="AE11" s="745"/>
      <c r="AF11" s="743"/>
      <c r="AG11" s="744"/>
    </row>
    <row r="12" spans="1:37" ht="9.9499999999999993" customHeight="1">
      <c r="B12" s="56"/>
      <c r="C12" s="56"/>
      <c r="D12" s="56"/>
      <c r="E12" s="57"/>
      <c r="F12" s="58"/>
      <c r="G12" s="41"/>
      <c r="H12" s="41"/>
      <c r="I12" s="41"/>
      <c r="J12" s="200"/>
      <c r="K12" s="41"/>
      <c r="L12" s="41"/>
      <c r="S12" s="222"/>
      <c r="T12" s="222"/>
      <c r="U12" s="222"/>
      <c r="V12" s="222"/>
      <c r="AD12" s="779"/>
      <c r="AE12" s="746"/>
      <c r="AF12" s="743"/>
      <c r="AG12" s="744"/>
    </row>
    <row r="13" spans="1:37" ht="90" customHeight="1">
      <c r="B13" s="758" t="s">
        <v>583</v>
      </c>
      <c r="C13" s="759"/>
      <c r="D13" s="759"/>
      <c r="E13" s="759"/>
      <c r="F13" s="759"/>
      <c r="G13" s="759"/>
      <c r="H13" s="759"/>
      <c r="I13" s="759"/>
      <c r="J13" s="759"/>
      <c r="K13" s="759"/>
      <c r="L13" s="759"/>
      <c r="S13" s="222"/>
      <c r="T13" s="222"/>
      <c r="U13" s="222"/>
      <c r="V13" s="222"/>
      <c r="AD13" s="780"/>
      <c r="AE13" s="747"/>
      <c r="AF13" s="739"/>
      <c r="AG13" s="740"/>
    </row>
    <row r="14" spans="1:37" ht="24.95" customHeight="1">
      <c r="B14" s="720" t="s">
        <v>206</v>
      </c>
      <c r="C14" s="721"/>
      <c r="D14" s="722"/>
      <c r="E14" s="720" t="s">
        <v>204</v>
      </c>
      <c r="F14" s="722"/>
      <c r="G14" s="723" t="s">
        <v>207</v>
      </c>
      <c r="H14" s="721"/>
      <c r="I14" s="721"/>
      <c r="J14" s="722"/>
      <c r="K14" s="724" t="s">
        <v>202</v>
      </c>
      <c r="L14" s="724" t="s">
        <v>213</v>
      </c>
      <c r="S14" s="222"/>
      <c r="T14" s="222"/>
      <c r="U14" s="222"/>
      <c r="V14" s="222"/>
    </row>
    <row r="15" spans="1:37" ht="24.95" customHeight="1">
      <c r="B15" s="42" t="s">
        <v>191</v>
      </c>
      <c r="C15" s="42" t="s">
        <v>199</v>
      </c>
      <c r="D15" s="42" t="s">
        <v>200</v>
      </c>
      <c r="E15" s="42" t="s">
        <v>55</v>
      </c>
      <c r="F15" s="42" t="s">
        <v>22</v>
      </c>
      <c r="G15" s="42" t="s">
        <v>71</v>
      </c>
      <c r="H15" s="42" t="s">
        <v>72</v>
      </c>
      <c r="I15" s="42" t="s">
        <v>73</v>
      </c>
      <c r="J15" s="42" t="s">
        <v>201</v>
      </c>
      <c r="K15" s="725"/>
      <c r="L15" s="725"/>
      <c r="W15" s="234" t="s">
        <v>586</v>
      </c>
      <c r="AD15" s="62" t="s">
        <v>64</v>
      </c>
      <c r="AE15" s="206" t="s">
        <v>74</v>
      </c>
      <c r="AF15" s="63" t="s">
        <v>203</v>
      </c>
      <c r="AG15" s="234" t="s">
        <v>205</v>
      </c>
      <c r="AH15" s="234" t="s">
        <v>91</v>
      </c>
      <c r="AI15" s="231" t="s">
        <v>635</v>
      </c>
      <c r="AJ15" s="52" t="s">
        <v>121</v>
      </c>
      <c r="AK15" s="52" t="str">
        <f>AJ16&amp;AJ17&amp;AJ18&amp;AJ19&amp;AJ20&amp;AJ21&amp;AJ22&amp;AJ23&amp;AJ24&amp;AJ25&amp;AJ26&amp;AJ27&amp;AJ28&amp;AJ29&amp;AJ30&amp;AJ31&amp;AJ32&amp;AJ33&amp;AJ34&amp;AJ35&amp;AJ36&amp;AJ37&amp;AJ38&amp;AJ39&amp;AJ40&amp;AJ41&amp;AJ42&amp;AJ43&amp;AJ44&amp;AJ45&amp;AJ46&amp;AJ47&amp;AJ48&amp;AJ49&amp;AJ50&amp;AJ51&amp;AJ52&amp;AJ53&amp;AJ54&amp;AJ55&amp;AJ56&amp;AJ57&amp;AJ58&amp;AJ59&amp;AJ60&amp;AJ61&amp;AJ62&amp;AJ63&amp;AJ64&amp;AJ65</f>
        <v/>
      </c>
    </row>
    <row r="16" spans="1:37" ht="24.95" customHeight="1">
      <c r="A16" s="38">
        <v>1</v>
      </c>
      <c r="B16" s="313"/>
      <c r="C16" s="313"/>
      <c r="D16" s="313"/>
      <c r="E16" s="314"/>
      <c r="F16" s="315"/>
      <c r="G16" s="316"/>
      <c r="H16" s="316"/>
      <c r="I16" s="45">
        <f>IF(G16="",H16*F16,ROUNDDOWN(F16*G16*1.1,0))</f>
        <v>0</v>
      </c>
      <c r="J16" s="317"/>
      <c r="K16" s="45">
        <f>IF(J16="補助対象",I16,IF(J16="補助対象外",0,0))</f>
        <v>0</v>
      </c>
      <c r="L16" s="232" t="str">
        <f>IF(AD16="◎",COUNTIF($AD$16:AD16,"◎"),"")</f>
        <v/>
      </c>
      <c r="W16" s="234" t="str">
        <f>IF(B16="既設病床",はじめに入力してください!$K$12,IF(B16="新設病床",はじめに入力してください!$K$13,IF(B16="共通使用",1,"")))</f>
        <v/>
      </c>
      <c r="AC16" s="49" t="s">
        <v>69</v>
      </c>
      <c r="AD16" s="231" t="str">
        <f xml:space="preserve">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f>
        <v>○</v>
      </c>
      <c r="AE16" s="35" t="str">
        <f xml:space="preserve">
IF(AND(AF16="○",AG16="○",AH16="○",AI16="○"),"申請しない場合は入力不要です。",
IF(AND(AF16="○",AG16="○",AH16="○",AI16="◎"),"【要修正】【整備先・内容】未入力、【規格・数量】未入力、【単価】未入力"&amp;CHAR(10),
IF(AND(AF16="○",AG16="○",AH16="×",AI16="○"),"【要修正】【整備先・内容】未入力、【規格・数量】未入力、【単価】入力不十分、【補助対象区分】未入力"&amp;CHAR(10),
IF(AND(AF16="○",AG16="○",AH16="×",AI16="◎"),"【要修正】【整備先・内容】未入力、【規格・数量】未入力、【単価】入力不十分"&amp;CHAR(10),
IF(AND(AF16="○",AG16="○",AH16="◎",AI16="○"),"【要修正】【整備先・内容】未入力、【規格・数量】未入力、【補助対象区分】未入力"&amp;CHAR(10),
IF(AND(AF16="○",AG16="○",AH16="◎",AI16="◎"),"【要修正】【整備先・内容】未入力、【規格・数量】未入力"&amp;CHAR(10),
IF(AND(AF16="○",AG16="×",AH16="○",AI16="○"),"【要修正】【整備先・内容】未入力、【規格・数量】入力不十分、【単価】未入力、【補助対象区分】未入力"&amp;CHAR(10),
IF(AND(AF16="○",AG16="×",AH16="○",AI16="◎"),"【要修正】【整備先・内容】未入力、【規格・数量】入力不十分、【単価】未入力"&amp;CHAR(10),
IF(AND(AF16="○",AG16="×",AH16="×",AI16="○"),"【要修正】【整備先・内容】未入力、【規格・数量】入力不十分、【単価】入力不十分、【補助対象区分】未入力"&amp;CHAR(10),
IF(AND(AF16="○",AG16="×",AH16="×",AI16="◎"),"【要修正】【整備先・内容】未入力、【規格・数量】入力不十分、【単価】入力不十分"&amp;CHAR(10),
IF(AND(AF16="○",AG16="×",AH16="◎",AI16="○"),"【要修正】【整備先・内容】未入力、【規格・数量】入力不十分、【補助対象区分】未入力"&amp;CHAR(10),
IF(AND(AF16="○",AG16="×",AH16="◎",AI16="◎"),"【要修正】【整備先・内容】未入力、【規格・数量】入力不十分"&amp;CHAR(10),
IF(AND(AF16="○",AG16="◎",AH16="○",AI16="○"),"【要修正】【整備先・内容】未入力、【単価】未入力、【補助対象区分】未入力"&amp;CHAR(10),
IF(AND(AF16="○",AG16="◎",AH16="○",AI16="◎"),"【要修正】【整備先・内容】未入力、【単価】未入力"&amp;CHAR(10),
IF(AND(AF16="○",AG16="◎",AH16="×",AI16="○"),"【要修正】【整備先・内容】未入力、【単価】入力不十分、【補助対象区分】未入力"&amp;CHAR(10),
IF(AND(AF16="○",AG16="◎",AH16="×",AI16="◎"),"【要修正】【整備先・内容】未入力、【単価】入力不十分"&amp;CHAR(10),
IF(AND(AF16="○",AG16="◎",AH16="◎",AI16="○"),"【要修正】【整備先・内容】未入力、【補助対象区分】未入力"&amp;CHAR(10),
IF(AND(AF16="○",AG16="◎",AH16="◎",AI16="◎"),"【要修正】【整備先・内容】未入力"&amp;CHAR(10),
IF(AND(AF16="×",AG16="○",AH16="○",AI16="○"),"【要修正】【整備先・内容】入力不十分、【規格・数量】未入力、【単価】未入力、【補助対象区分】未入力"&amp;CHAR(10),
IF(AND(AF16="×",AG16="○",AH16="○",AI16="◎"),"【要修正】【整備先・内容】入力不十分、【規格・数量】未入力、【単価】未入力"&amp;CHAR(10),
IF(AND(AF16="×",AG16="○",AH16="×",AI16="○"),"【要修正】【整備先・内容】入力不十分、【規格・数量】未入力、【単価】入力不十分、【補助対象区分】未入力"&amp;CHAR(10),
IF(AND(AF16="×",AG16="○",AH16="×",AI16="◎"),"【要修正】【整備先・内容】入力不十分、【規格・数量】未入力、【単価】入力不十分"&amp;CHAR(10),
IF(AND(AF16="×",AG16="○",AH16="◎",AI16="○"),"【要修正】【整備先・内容】入力不十分、【規格・数量】未入力、【補助対象区分】未入力"&amp;CHAR(10),
IF(AND(AF16="×",AG16="○",AH16="◎",AI16="◎"),"【要修正】【整備先・内容】入力不十分、【規格・数量】未入力"&amp;CHAR(10),
IF(AND(AF16="×",AG16="×",AH16="○",AI16="○"),"【要修正】【整備先・内容】入力不十分、【規格・数量】入力不十分、【単価】未入力、【補助対象区分】未入力"&amp;CHAR(10),
IF(AND(AF16="×",AG16="×",AH16="○",AI16="◎"),"【要修正】【整備先・内容】入力不十分、【規格・数量】入力不十分、【単価】未入力"&amp;CHAR(10),
IF(AND(AF16="×",AG16="×",AH16="×",AI16="○"),"【要修正】【整備先・内容】入力不十分、【規格・数量】入力不十分、【単価】入力不十分、【補助対象区分】未入力"&amp;CHAR(10),
IF(AND(AF16="×",AG16="×",AH16="×",AI16="◎"),"【要修正】【整備先・内容】入力不十分、【規格・数量】入力不十分、【単価】入力不十分"&amp;CHAR(10),
IF(AND(AF16="×",AG16="×",AH16="◎",AI16="○"),"【要修正】【整備先・内容】入力不十分、【規格・数量】入力不十分、【補助対象区分】未入力"&amp;CHAR(10),
IF(AND(AF16="×",AG16="×",AH16="◎",AI16="◎"),"【要修正】【整備先・内容】入力不十分、【規格・数量】入力不十分"&amp;CHAR(10),
IF(AND(AF16="×",AG16="◎",AH16="○",AI16="○"),"【要修正】【整備先・内容】入力不十分、【単価】未入力、【補助対象区分】未入力"&amp;CHAR(10),
IF(AND(AF16="×",AG16="◎",AH16="○",AI16="◎"),"【要修正】【整備先・内容】入力不十分、【単価】未入力"&amp;CHAR(10),
IF(AND(AF16="×",AG16="◎",AH16="×",AI16="○"),"【要修正】【整備先・内容】入力不十分、【単価】入力不十分、【補助対象区分】未入力"&amp;CHAR(10),
IF(AND(AF16="×",AG16="◎",AH16="×",AI16="◎"),"【要修正】【整備先・内容】入力不十分、【単価】入力不十分"&amp;CHAR(10),
IF(AND(AF16="×",AG16="◎",AH16="◎",AI16="○"),"【要修正】【整備先・内容】入力不十分、【補助対象区分】未入力"&amp;CHAR(10),
IF(AND(AF16="×",AG16="◎",AH16="◎",AI16="◎"),"【要修正】【整備先・内容】入力不十分"&amp;CHAR(10),
IF(AND(AF16="◎",AG16="○",AH16="○",AI16="○"),"【要修正】【規格・数量】未入力、【単価】未入力、【補助対象区分】未入力"&amp;CHAR(10),
IF(AND(AF16="◎",AG16="○",AH16="○",AI16="◎"),"【要修正】【規格・数量】未入力、【単価】未入力"&amp;CHAR(10),
IF(AND(AF16="◎",AG16="○",AH16="×",AI16="○"),"【要修正】【規格・数量】未入力、【単価】入力不十分、【補助対象区分】未入力"&amp;CHAR(10),
IF(AND(AF16="◎",AG16="○",AH16="×",AI16="◎"),"【要修正】【規格・数量】未入力、【単価】入力不十分"&amp;CHAR(10),
IF(AND(AF16="◎",AG16="○",AH16="◎",AI16="○"),"【要修正】【規格・数量】未入力、【補助対象区分】未入力"&amp;CHAR(10),
IF(AND(AF16="◎",AG16="○",AH16="◎",AI16="◎"),"【要修正】【規格・数量】未入力"&amp;CHAR(10),
IF(AND(AF16="◎",AG16="×",AH16="○",AI16="○"),"【要修正】【規格・数量】入力不十分、【単価】未入力、【補助対象区分】未入力"&amp;CHAR(10),
IF(AND(AF16="◎",AG16="×",AH16="○",AI16="◎"),"【要修正】【規格・数量】入力不十分、【単価】未入力"&amp;CHAR(10),
IF(AND(AF16="◎",AG16="×",AH16="×",AI16="○"),"【要修正】【規格・数量】入力不十分、【単価】入力不十分、【補助対象区分】未入力"&amp;CHAR(10),
IF(AND(AF16="◎",AG16="×",AH16="×",AI16="◎"),"【要修正】【規格・数量】入力不十分、【単価】入力不十分"&amp;CHAR(10),
IF(AND(AF16="◎",AG16="×",AH16="◎",AI16="○"),"【要修正】【規格・数量】入力不十分、【補助対象区分】未入力"&amp;CHAR(10),
IF(AND(AF16="◎",AG16="×",AH16="◎",AI16="◎"),"【要修正】【規格・数量】入力不十分"&amp;CHAR(10),
IF(AND(AF16="◎",AG16="◎",AH16="○",AI16="○"),"【要修正】【単価】未入力、【補助対象区分】未入力"&amp;CHAR(10),
IF(AND(AF16="◎",AG16="◎",AH16="○",AI16="◎"),"【要修正】【単価】未入力"&amp;CHAR(10),
IF(AND(AF16="◎",AG16="◎",AH16="×",AI16="○"),"【要修正】【単価】入力不十分、【補助対象区分】未入力"&amp;CHAR(10),
IF(AND(AF16="◎",AG16="◎",AH16="×",AI16="◎"),"【要修正】【単価】入力不十分"&amp;CHAR(10),
IF(AND(AF16="◎",AG16="◎",AH16="◎",AI16="○"),"【要修正】【補助対象区分】未入力"&amp;CHAR(10),
IF(AND(AF16="◎",AG16="◎",AH16="◎",AI16="◎"),"適切に入力がされました。",
))))))))))))))))))))))))))))))))))))))))))))))))))))))</f>
        <v>申請しない場合は入力不要です。</v>
      </c>
      <c r="AF16" s="234" t="str">
        <f>IF(COUNTA(B16:D16)=0,"○",IF(AND(COUNTA(B16:D16)&gt;=1,COUNTA(B16:D16)&lt;3),"×",IF(COUNTA(B16:D16)=3,"◎")))</f>
        <v>○</v>
      </c>
      <c r="AG16" s="234" t="str">
        <f>IF(COUNTA(E16,F16,J16)=0,"○",IF(AND(COUNTA(E16,F16,J16)&gt;=1,COUNTA(E16,F16,J16)&lt;3),"×",IF(COUNTA(E16,F16,J16)=3,"◎")))</f>
        <v>○</v>
      </c>
      <c r="AH16" s="234" t="str">
        <f>IF(COUNTA(G16:H16)=0,"○",IF(COUNTA(G16:H16)=1,"◎",IF(COUNTA(G16:H16)=2,"×")))</f>
        <v>○</v>
      </c>
      <c r="AI16" s="231" t="str">
        <f>IF(COUNTA(J16)=0,"○",IF(COUNTA(J16)=1,"◎"))</f>
        <v>○</v>
      </c>
      <c r="AJ16" s="14" t="str">
        <f xml:space="preserve">
IF(AND(AF16="○",AG16="○",AH16="○",AI16="○"),"",
IF(AND(AF16="○",AG16="○",AH16="○",AI16="◎"),"【"&amp;AK16&amp;"行目】【整備先・内容】未入力、【規格・数量】未入力、【単価】未入力"&amp;CHAR(10),
IF(AND(AF16="○",AG16="○",AH16="×",AI16="○"),"【"&amp;AK16&amp;"行目】【整備先・内容】未入力、【規格・数量】未入力、【単価】入力不十分、【補助対象区分】未入力"&amp;CHAR(10),
IF(AND(AF16="○",AG16="○",AH16="×",AI16="◎"),"【"&amp;AK16&amp;"行目】【整備先・内容】未入力、【規格・数量】未入力、【単価】入力不十分"&amp;CHAR(10),
IF(AND(AF16="○",AG16="○",AH16="◎",AI16="○"),"【"&amp;AK16&amp;"行目】【整備先・内容】未入力、【規格・数量】未入力、【補助対象区分】未入力"&amp;CHAR(10),
IF(AND(AF16="○",AG16="○",AH16="◎",AI16="◎"),"【"&amp;AK16&amp;"行目】【整備先・内容】未入力、【規格・数量】未入力"&amp;CHAR(10),
IF(AND(AF16="○",AG16="×",AH16="○",AI16="○"),"【"&amp;AK16&amp;"行目】【整備先・内容】未入力、【規格・数量】入力不十分、【単価】未入力、【補助対象区分】未入力"&amp;CHAR(10),
IF(AND(AF16="○",AG16="×",AH16="○",AI16="◎"),"【"&amp;AK16&amp;"行目】【整備先・内容】未入力、【規格・数量】入力不十分、【単価】未入力"&amp;CHAR(10),
IF(AND(AF16="○",AG16="×",AH16="×",AI16="○"),"【"&amp;AK16&amp;"行目】【整備先・内容】未入力、【規格・数量】入力不十分、【単価】入力不十分、【補助対象区分】未入力"&amp;CHAR(10),
IF(AND(AF16="○",AG16="×",AH16="×",AI16="◎"),"【"&amp;AK16&amp;"行目】【整備先・内容】未入力、【規格・数量】入力不十分、【単価】入力不十分"&amp;CHAR(10),
IF(AND(AF16="○",AG16="×",AH16="◎",AI16="○"),"【"&amp;AK16&amp;"行目】【整備先・内容】未入力、【規格・数量】入力不十分、【補助対象区分】未入力"&amp;CHAR(10),
IF(AND(AF16="○",AG16="×",AH16="◎",AI16="◎"),"【"&amp;AK16&amp;"行目】【整備先・内容】未入力、【規格・数量】入力不十分"&amp;CHAR(10),
IF(AND(AF16="○",AG16="◎",AH16="○",AI16="○"),"【"&amp;AK16&amp;"行目】【整備先・内容】未入力、【単価】未入力、【補助対象区分】未入力"&amp;CHAR(10),
IF(AND(AF16="○",AG16="◎",AH16="○",AI16="◎"),"【"&amp;AK16&amp;"行目】【整備先・内容】未入力、【単価】未入力"&amp;CHAR(10),
IF(AND(AF16="○",AG16="◎",AH16="×",AI16="○"),"【"&amp;AK16&amp;"行目】【整備先・内容】未入力、【単価】入力不十分、【補助対象区分】未入力"&amp;CHAR(10),
IF(AND(AF16="○",AG16="◎",AH16="×",AI16="◎"),"【"&amp;AK16&amp;"行目】【整備先・内容】未入力、【単価】入力不十分"&amp;CHAR(10),
IF(AND(AF16="○",AG16="◎",AH16="◎",AI16="○"),"【"&amp;AK16&amp;"行目】【整備先・内容】未入力、【補助対象区分】未入力"&amp;CHAR(10),
IF(AND(AF16="○",AG16="◎",AH16="◎",AI16="◎"),"【"&amp;AK16&amp;"行目】【整備先・内容】未入力"&amp;CHAR(10),
IF(AND(AF16="×",AG16="○",AH16="○",AI16="○"),"【"&amp;AK16&amp;"行目】【整備先・内容】入力不十分、【規格・数量】未入力、【単価】未入力、【補助対象区分】未入力"&amp;CHAR(10),
IF(AND(AF16="×",AG16="○",AH16="○",AI16="◎"),"【"&amp;AK16&amp;"行目】【整備先・内容】入力不十分、【規格・数量】未入力、【単価】未入力"&amp;CHAR(10),
IF(AND(AF16="×",AG16="○",AH16="×",AI16="○"),"【"&amp;AK16&amp;"行目】【整備先・内容】入力不十分、【規格・数量】未入力、【単価】入力不十分、【補助対象区分】未入力"&amp;CHAR(10),
IF(AND(AF16="×",AG16="○",AH16="×",AI16="◎"),"【"&amp;AK16&amp;"行目】【整備先・内容】入力不十分、【規格・数量】未入力、【単価】入力不十分"&amp;CHAR(10),
IF(AND(AF16="×",AG16="○",AH16="◎",AI16="○"),"【"&amp;AK16&amp;"行目】【整備先・内容】入力不十分、【規格・数量】未入力、【補助対象区分】未入力"&amp;CHAR(10),
IF(AND(AF16="×",AG16="○",AH16="◎",AI16="◎"),"【"&amp;AK16&amp;"行目】【整備先・内容】入力不十分、【規格・数量】未入力"&amp;CHAR(10),
IF(AND(AF16="×",AG16="×",AH16="○",AI16="○"),"【"&amp;AK16&amp;"行目】【整備先・内容】入力不十分、【規格・数量】入力不十分、【単価】未入力、【補助対象区分】未入力"&amp;CHAR(10),
IF(AND(AF16="×",AG16="×",AH16="○",AI16="◎"),"【"&amp;AK16&amp;"行目】【整備先・内容】入力不十分、【規格・数量】入力不十分、【単価】未入力"&amp;CHAR(10),
IF(AND(AF16="×",AG16="×",AH16="×",AI16="○"),"【"&amp;AK16&amp;"行目】【整備先・内容】入力不十分、【規格・数量】入力不十分、【単価】入力不十分、【補助対象区分】未入力"&amp;CHAR(10),
IF(AND(AF16="×",AG16="×",AH16="×",AI16="◎"),"【"&amp;AK16&amp;"行目】【整備先・内容】入力不十分、【規格・数量】入力不十分、【単価】入力不十分"&amp;CHAR(10),
IF(AND(AF16="×",AG16="×",AH16="◎",AI16="○"),"【"&amp;AK16&amp;"行目】【整備先・内容】入力不十分、【規格・数量】入力不十分、【補助対象区分】未入力"&amp;CHAR(10),
IF(AND(AF16="×",AG16="×",AH16="◎",AI16="◎"),"【"&amp;AK16&amp;"行目】【整備先・内容】入力不十分、【規格・数量】入力不十分"&amp;CHAR(10),
IF(AND(AF16="×",AG16="◎",AH16="○",AI16="○"),"【"&amp;AK16&amp;"行目】【整備先・内容】入力不十分、【単価】未入力、【補助対象区分】未入力"&amp;CHAR(10),
IF(AND(AF16="×",AG16="◎",AH16="○",AI16="◎"),"【"&amp;AK16&amp;"行目】【整備先・内容】入力不十分、【単価】未入力"&amp;CHAR(10),
IF(AND(AF16="×",AG16="◎",AH16="×",AI16="○"),"【"&amp;AK16&amp;"行目】【整備先・内容】入力不十分、【単価】入力不十分、【補助対象区分】未入力"&amp;CHAR(10),
IF(AND(AF16="×",AG16="◎",AH16="×",AI16="◎"),"【"&amp;AK16&amp;"行目】【整備先・内容】入力不十分、【単価】入力不十分"&amp;CHAR(10),
IF(AND(AF16="×",AG16="◎",AH16="◎",AI16="○"),"【"&amp;AK16&amp;"行目】【整備先・内容】入力不十分、【補助対象区分】未入力"&amp;CHAR(10),
IF(AND(AF16="×",AG16="◎",AH16="◎",AI16="◎"),"【"&amp;AK16&amp;"行目】【整備先・内容】入力不十分"&amp;CHAR(10),
IF(AND(AF16="◎",AG16="○",AH16="○",AI16="○"),"【"&amp;AK16&amp;"行目】【規格・数量】未入力、【単価】未入力、【補助対象区分】未入力"&amp;CHAR(10),
IF(AND(AF16="◎",AG16="○",AH16="○",AI16="◎"),"【"&amp;AK16&amp;"行目】【規格・数量】未入力、【単価】未入力"&amp;CHAR(10),
IF(AND(AF16="◎",AG16="○",AH16="×",AI16="○"),"【"&amp;AK16&amp;"行目】【規格・数量】未入力、【単価】入力不十分、【補助対象区分】未入力"&amp;CHAR(10),
IF(AND(AF16="◎",AG16="○",AH16="×",AI16="◎"),"【"&amp;AK16&amp;"行目】【規格・数量】未入力、【単価】入力不十分"&amp;CHAR(10),
IF(AND(AF16="◎",AG16="○",AH16="◎",AI16="○"),"【"&amp;AK16&amp;"行目】【規格・数量】未入力、【補助対象区分】未入力"&amp;CHAR(10),
IF(AND(AF16="◎",AG16="○",AH16="◎",AI16="◎"),"【"&amp;AK16&amp;"行目】【規格・数量】未入力"&amp;CHAR(10),
IF(AND(AF16="◎",AG16="×",AH16="○",AI16="○"),"【"&amp;AK16&amp;"行目】【規格・数量】入力不十分、【単価】未入力、【補助対象区分】未入力"&amp;CHAR(10),
IF(AND(AF16="◎",AG16="×",AH16="○",AI16="◎"),"【"&amp;AK16&amp;"行目】【規格・数量】入力不十分、【単価】未入力"&amp;CHAR(10),
IF(AND(AF16="◎",AG16="×",AH16="×",AI16="○"),"【"&amp;AK16&amp;"行目】【規格・数量】入力不十分、【単価】入力不十分、【補助対象区分】未入力"&amp;CHAR(10),
IF(AND(AF16="◎",AG16="×",AH16="×",AI16="◎"),"【"&amp;AK16&amp;"行目】【規格・数量】入力不十分、【単価】入力不十分"&amp;CHAR(10),
IF(AND(AF16="◎",AG16="×",AH16="◎",AI16="○"),"【"&amp;AK16&amp;"行目】【規格・数量】入力不十分、【補助対象区分】未入力"&amp;CHAR(10),
IF(AND(AF16="◎",AG16="×",AH16="◎",AI16="◎"),"【"&amp;AK16&amp;"行目】【規格・数量】入力不十分"&amp;CHAR(10),
IF(AND(AF16="◎",AG16="◎",AH16="○",AI16="○"),"【"&amp;AK16&amp;"行目】【単価】未入力、【補助対象区分】未入力"&amp;CHAR(10),
IF(AND(AF16="◎",AG16="◎",AH16="○",AI16="◎"),"【"&amp;AK16&amp;"行目】【単価】未入力"&amp;CHAR(10),
IF(AND(AF16="◎",AG16="◎",AH16="×",AI16="○"),"【"&amp;AK16&amp;"行目】【単価】入力不十分、【補助対象区分】未入力"&amp;CHAR(10),
IF(AND(AF16="◎",AG16="◎",AH16="×",AI16="◎"),"【"&amp;AK16&amp;"行目】【単価】入力不十分"&amp;CHAR(10),
IF(AND(AF16="◎",AG16="◎",AH16="◎",AI16="○"),"【"&amp;AK16&amp;"行目】【補助対象区分】未入力"&amp;CHAR(10),
IF(AND(AF16="◎",AG16="◎",AH16="◎",AI16="◎"),"",
))))))))))))))))))))))))))))))))))))))))))))))))))))))</f>
        <v/>
      </c>
      <c r="AK16" s="41">
        <v>1</v>
      </c>
    </row>
    <row r="17" spans="1:75" ht="24.95" customHeight="1">
      <c r="A17" s="38">
        <v>2</v>
      </c>
      <c r="B17" s="313"/>
      <c r="C17" s="313"/>
      <c r="D17" s="313"/>
      <c r="E17" s="314"/>
      <c r="F17" s="315"/>
      <c r="G17" s="316"/>
      <c r="H17" s="316"/>
      <c r="I17" s="45">
        <f t="shared" ref="I17:I65" si="0">IF(G17="",H17*F17,ROUNDDOWN(F17*G17*1.1,0))</f>
        <v>0</v>
      </c>
      <c r="J17" s="317"/>
      <c r="K17" s="45">
        <f t="shared" ref="K17:K65" si="1">IF(J17="補助対象",I17,IF(J17="補助対象外",0,0))</f>
        <v>0</v>
      </c>
      <c r="L17" s="232" t="str">
        <f>IF(AD17="◎",COUNTIF($AD$16:AD17,"◎"),"")</f>
        <v/>
      </c>
      <c r="W17" s="234" t="str">
        <f>IF(B17="既設病床",はじめに入力してください!$K$12,IF(B17="新設病床",はじめに入力してください!$K$13,IF(B17="共通使用",1,"")))</f>
        <v/>
      </c>
      <c r="AC17" s="49" t="s">
        <v>69</v>
      </c>
      <c r="AD17" s="231" t="str">
        <f t="shared" ref="AD17:AD65" si="2" xml:space="preserve">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f>
        <v>○</v>
      </c>
      <c r="AE17" s="35" t="str">
        <f t="shared" ref="AE17:AE65" si="3" xml:space="preserve">
IF(AND(AF17="○",AG17="○",AH17="○",AI17="○"),"申請しない場合は入力不要です。",
IF(AND(AF17="○",AG17="○",AH17="○",AI17="◎"),"【要修正】【整備先・内容】未入力、【規格・数量】未入力、【単価】未入力"&amp;CHAR(10),
IF(AND(AF17="○",AG17="○",AH17="×",AI17="○"),"【要修正】【整備先・内容】未入力、【規格・数量】未入力、【単価】入力不十分、【補助対象区分】未入力"&amp;CHAR(10),
IF(AND(AF17="○",AG17="○",AH17="×",AI17="◎"),"【要修正】【整備先・内容】未入力、【規格・数量】未入力、【単価】入力不十分"&amp;CHAR(10),
IF(AND(AF17="○",AG17="○",AH17="◎",AI17="○"),"【要修正】【整備先・内容】未入力、【規格・数量】未入力、【補助対象区分】未入力"&amp;CHAR(10),
IF(AND(AF17="○",AG17="○",AH17="◎",AI17="◎"),"【要修正】【整備先・内容】未入力、【規格・数量】未入力"&amp;CHAR(10),
IF(AND(AF17="○",AG17="×",AH17="○",AI17="○"),"【要修正】【整備先・内容】未入力、【規格・数量】入力不十分、【単価】未入力、【補助対象区分】未入力"&amp;CHAR(10),
IF(AND(AF17="○",AG17="×",AH17="○",AI17="◎"),"【要修正】【整備先・内容】未入力、【規格・数量】入力不十分、【単価】未入力"&amp;CHAR(10),
IF(AND(AF17="○",AG17="×",AH17="×",AI17="○"),"【要修正】【整備先・内容】未入力、【規格・数量】入力不十分、【単価】入力不十分、【補助対象区分】未入力"&amp;CHAR(10),
IF(AND(AF17="○",AG17="×",AH17="×",AI17="◎"),"【要修正】【整備先・内容】未入力、【規格・数量】入力不十分、【単価】入力不十分"&amp;CHAR(10),
IF(AND(AF17="○",AG17="×",AH17="◎",AI17="○"),"【要修正】【整備先・内容】未入力、【規格・数量】入力不十分、【補助対象区分】未入力"&amp;CHAR(10),
IF(AND(AF17="○",AG17="×",AH17="◎",AI17="◎"),"【要修正】【整備先・内容】未入力、【規格・数量】入力不十分"&amp;CHAR(10),
IF(AND(AF17="○",AG17="◎",AH17="○",AI17="○"),"【要修正】【整備先・内容】未入力、【単価】未入力、【補助対象区分】未入力"&amp;CHAR(10),
IF(AND(AF17="○",AG17="◎",AH17="○",AI17="◎"),"【要修正】【整備先・内容】未入力、【単価】未入力"&amp;CHAR(10),
IF(AND(AF17="○",AG17="◎",AH17="×",AI17="○"),"【要修正】【整備先・内容】未入力、【単価】入力不十分、【補助対象区分】未入力"&amp;CHAR(10),
IF(AND(AF17="○",AG17="◎",AH17="×",AI17="◎"),"【要修正】【整備先・内容】未入力、【単価】入力不十分"&amp;CHAR(10),
IF(AND(AF17="○",AG17="◎",AH17="◎",AI17="○"),"【要修正】【整備先・内容】未入力、【補助対象区分】未入力"&amp;CHAR(10),
IF(AND(AF17="○",AG17="◎",AH17="◎",AI17="◎"),"【要修正】【整備先・内容】未入力"&amp;CHAR(10),
IF(AND(AF17="×",AG17="○",AH17="○",AI17="○"),"【要修正】【整備先・内容】入力不十分、【規格・数量】未入力、【単価】未入力、【補助対象区分】未入力"&amp;CHAR(10),
IF(AND(AF17="×",AG17="○",AH17="○",AI17="◎"),"【要修正】【整備先・内容】入力不十分、【規格・数量】未入力、【単価】未入力"&amp;CHAR(10),
IF(AND(AF17="×",AG17="○",AH17="×",AI17="○"),"【要修正】【整備先・内容】入力不十分、【規格・数量】未入力、【単価】入力不十分、【補助対象区分】未入力"&amp;CHAR(10),
IF(AND(AF17="×",AG17="○",AH17="×",AI17="◎"),"【要修正】【整備先・内容】入力不十分、【規格・数量】未入力、【単価】入力不十分"&amp;CHAR(10),
IF(AND(AF17="×",AG17="○",AH17="◎",AI17="○"),"【要修正】【整備先・内容】入力不十分、【規格・数量】未入力、【補助対象区分】未入力"&amp;CHAR(10),
IF(AND(AF17="×",AG17="○",AH17="◎",AI17="◎"),"【要修正】【整備先・内容】入力不十分、【規格・数量】未入力"&amp;CHAR(10),
IF(AND(AF17="×",AG17="×",AH17="○",AI17="○"),"【要修正】【整備先・内容】入力不十分、【規格・数量】入力不十分、【単価】未入力、【補助対象区分】未入力"&amp;CHAR(10),
IF(AND(AF17="×",AG17="×",AH17="○",AI17="◎"),"【要修正】【整備先・内容】入力不十分、【規格・数量】入力不十分、【単価】未入力"&amp;CHAR(10),
IF(AND(AF17="×",AG17="×",AH17="×",AI17="○"),"【要修正】【整備先・内容】入力不十分、【規格・数量】入力不十分、【単価】入力不十分、【補助対象区分】未入力"&amp;CHAR(10),
IF(AND(AF17="×",AG17="×",AH17="×",AI17="◎"),"【要修正】【整備先・内容】入力不十分、【規格・数量】入力不十分、【単価】入力不十分"&amp;CHAR(10),
IF(AND(AF17="×",AG17="×",AH17="◎",AI17="○"),"【要修正】【整備先・内容】入力不十分、【規格・数量】入力不十分、【補助対象区分】未入力"&amp;CHAR(10),
IF(AND(AF17="×",AG17="×",AH17="◎",AI17="◎"),"【要修正】【整備先・内容】入力不十分、【規格・数量】入力不十分"&amp;CHAR(10),
IF(AND(AF17="×",AG17="◎",AH17="○",AI17="○"),"【要修正】【整備先・内容】入力不十分、【単価】未入力、【補助対象区分】未入力"&amp;CHAR(10),
IF(AND(AF17="×",AG17="◎",AH17="○",AI17="◎"),"【要修正】【整備先・内容】入力不十分、【単価】未入力"&amp;CHAR(10),
IF(AND(AF17="×",AG17="◎",AH17="×",AI17="○"),"【要修正】【整備先・内容】入力不十分、【単価】入力不十分、【補助対象区分】未入力"&amp;CHAR(10),
IF(AND(AF17="×",AG17="◎",AH17="×",AI17="◎"),"【要修正】【整備先・内容】入力不十分、【単価】入力不十分"&amp;CHAR(10),
IF(AND(AF17="×",AG17="◎",AH17="◎",AI17="○"),"【要修正】【整備先・内容】入力不十分、【補助対象区分】未入力"&amp;CHAR(10),
IF(AND(AF17="×",AG17="◎",AH17="◎",AI17="◎"),"【要修正】【整備先・内容】入力不十分"&amp;CHAR(10),
IF(AND(AF17="◎",AG17="○",AH17="○",AI17="○"),"【要修正】【規格・数量】未入力、【単価】未入力、【補助対象区分】未入力"&amp;CHAR(10),
IF(AND(AF17="◎",AG17="○",AH17="○",AI17="◎"),"【要修正】【規格・数量】未入力、【単価】未入力"&amp;CHAR(10),
IF(AND(AF17="◎",AG17="○",AH17="×",AI17="○"),"【要修正】【規格・数量】未入力、【単価】入力不十分、【補助対象区分】未入力"&amp;CHAR(10),
IF(AND(AF17="◎",AG17="○",AH17="×",AI17="◎"),"【要修正】【規格・数量】未入力、【単価】入力不十分"&amp;CHAR(10),
IF(AND(AF17="◎",AG17="○",AH17="◎",AI17="○"),"【要修正】【規格・数量】未入力、【補助対象区分】未入力"&amp;CHAR(10),
IF(AND(AF17="◎",AG17="○",AH17="◎",AI17="◎"),"【要修正】【規格・数量】未入力"&amp;CHAR(10),
IF(AND(AF17="◎",AG17="×",AH17="○",AI17="○"),"【要修正】【規格・数量】入力不十分、【単価】未入力、【補助対象区分】未入力"&amp;CHAR(10),
IF(AND(AF17="◎",AG17="×",AH17="○",AI17="◎"),"【要修正】【規格・数量】入力不十分、【単価】未入力"&amp;CHAR(10),
IF(AND(AF17="◎",AG17="×",AH17="×",AI17="○"),"【要修正】【規格・数量】入力不十分、【単価】入力不十分、【補助対象区分】未入力"&amp;CHAR(10),
IF(AND(AF17="◎",AG17="×",AH17="×",AI17="◎"),"【要修正】【規格・数量】入力不十分、【単価】入力不十分"&amp;CHAR(10),
IF(AND(AF17="◎",AG17="×",AH17="◎",AI17="○"),"【要修正】【規格・数量】入力不十分、【補助対象区分】未入力"&amp;CHAR(10),
IF(AND(AF17="◎",AG17="×",AH17="◎",AI17="◎"),"【要修正】【規格・数量】入力不十分"&amp;CHAR(10),
IF(AND(AF17="◎",AG17="◎",AH17="○",AI17="○"),"【要修正】【単価】未入力、【補助対象区分】未入力"&amp;CHAR(10),
IF(AND(AF17="◎",AG17="◎",AH17="○",AI17="◎"),"【要修正】【単価】未入力"&amp;CHAR(10),
IF(AND(AF17="◎",AG17="◎",AH17="×",AI17="○"),"【要修正】【単価】入力不十分、【補助対象区分】未入力"&amp;CHAR(10),
IF(AND(AF17="◎",AG17="◎",AH17="×",AI17="◎"),"【要修正】【単価】入力不十分"&amp;CHAR(10),
IF(AND(AF17="◎",AG17="◎",AH17="◎",AI17="○"),"【要修正】【補助対象区分】未入力"&amp;CHAR(10),
IF(AND(AF17="◎",AG17="◎",AH17="◎",AI17="◎"),"適切に入力がされました。",
))))))))))))))))))))))))))))))))))))))))))))))))))))))</f>
        <v>申請しない場合は入力不要です。</v>
      </c>
      <c r="AF17" s="234" t="str">
        <f t="shared" ref="AF17:AF65" si="4">IF(COUNTA(B17:D17)=0,"○",IF(AND(COUNTA(B17:D17)&gt;=1,COUNTA(B17:D17)&lt;3),"×",IF(COUNTA(B17:D17)=3,"◎")))</f>
        <v>○</v>
      </c>
      <c r="AG17" s="234" t="str">
        <f t="shared" ref="AG17:AG65" si="5">IF(COUNTA(E17,F17,J17)=0,"○",IF(AND(COUNTA(E17,F17,J17)&gt;=1,COUNTA(E17,F17,J17)&lt;3),"×",IF(COUNTA(E17,F17,J17)=3,"◎")))</f>
        <v>○</v>
      </c>
      <c r="AH17" s="234" t="str">
        <f t="shared" ref="AH17:AH65" si="6">IF(COUNTA(G17:H17)=0,"○",IF(COUNTA(G17:H17)=1,"◎",IF(COUNTA(G17:H17)=2,"×")))</f>
        <v>○</v>
      </c>
      <c r="AI17" s="231" t="str">
        <f t="shared" ref="AI17:AI65" si="7">IF(COUNTA(J17)=0,"○",IF(COUNTA(J17)=1,"◎"))</f>
        <v>○</v>
      </c>
      <c r="AJ17" s="14" t="str">
        <f t="shared" ref="AJ17:AJ65" si="8" xml:space="preserve">
IF(AND(AF17="○",AG17="○",AH17="○",AI17="○"),"",
IF(AND(AF17="○",AG17="○",AH17="○",AI17="◎"),"【"&amp;AK17&amp;"行目】【整備先・内容】未入力、【規格・数量】未入力、【単価】未入力"&amp;CHAR(10),
IF(AND(AF17="○",AG17="○",AH17="×",AI17="○"),"【"&amp;AK17&amp;"行目】【整備先・内容】未入力、【規格・数量】未入力、【単価】入力不十分、【補助対象区分】未入力"&amp;CHAR(10),
IF(AND(AF17="○",AG17="○",AH17="×",AI17="◎"),"【"&amp;AK17&amp;"行目】【整備先・内容】未入力、【規格・数量】未入力、【単価】入力不十分"&amp;CHAR(10),
IF(AND(AF17="○",AG17="○",AH17="◎",AI17="○"),"【"&amp;AK17&amp;"行目】【整備先・内容】未入力、【規格・数量】未入力、【補助対象区分】未入力"&amp;CHAR(10),
IF(AND(AF17="○",AG17="○",AH17="◎",AI17="◎"),"【"&amp;AK17&amp;"行目】【整備先・内容】未入力、【規格・数量】未入力"&amp;CHAR(10),
IF(AND(AF17="○",AG17="×",AH17="○",AI17="○"),"【"&amp;AK17&amp;"行目】【整備先・内容】未入力、【規格・数量】入力不十分、【単価】未入力、【補助対象区分】未入力"&amp;CHAR(10),
IF(AND(AF17="○",AG17="×",AH17="○",AI17="◎"),"【"&amp;AK17&amp;"行目】【整備先・内容】未入力、【規格・数量】入力不十分、【単価】未入力"&amp;CHAR(10),
IF(AND(AF17="○",AG17="×",AH17="×",AI17="○"),"【"&amp;AK17&amp;"行目】【整備先・内容】未入力、【規格・数量】入力不十分、【単価】入力不十分、【補助対象区分】未入力"&amp;CHAR(10),
IF(AND(AF17="○",AG17="×",AH17="×",AI17="◎"),"【"&amp;AK17&amp;"行目】【整備先・内容】未入力、【規格・数量】入力不十分、【単価】入力不十分"&amp;CHAR(10),
IF(AND(AF17="○",AG17="×",AH17="◎",AI17="○"),"【"&amp;AK17&amp;"行目】【整備先・内容】未入力、【規格・数量】入力不十分、【補助対象区分】未入力"&amp;CHAR(10),
IF(AND(AF17="○",AG17="×",AH17="◎",AI17="◎"),"【"&amp;AK17&amp;"行目】【整備先・内容】未入力、【規格・数量】入力不十分"&amp;CHAR(10),
IF(AND(AF17="○",AG17="◎",AH17="○",AI17="○"),"【"&amp;AK17&amp;"行目】【整備先・内容】未入力、【単価】未入力、【補助対象区分】未入力"&amp;CHAR(10),
IF(AND(AF17="○",AG17="◎",AH17="○",AI17="◎"),"【"&amp;AK17&amp;"行目】【整備先・内容】未入力、【単価】未入力"&amp;CHAR(10),
IF(AND(AF17="○",AG17="◎",AH17="×",AI17="○"),"【"&amp;AK17&amp;"行目】【整備先・内容】未入力、【単価】入力不十分、【補助対象区分】未入力"&amp;CHAR(10),
IF(AND(AF17="○",AG17="◎",AH17="×",AI17="◎"),"【"&amp;AK17&amp;"行目】【整備先・内容】未入力、【単価】入力不十分"&amp;CHAR(10),
IF(AND(AF17="○",AG17="◎",AH17="◎",AI17="○"),"【"&amp;AK17&amp;"行目】【整備先・内容】未入力、【補助対象区分】未入力"&amp;CHAR(10),
IF(AND(AF17="○",AG17="◎",AH17="◎",AI17="◎"),"【"&amp;AK17&amp;"行目】【整備先・内容】未入力"&amp;CHAR(10),
IF(AND(AF17="×",AG17="○",AH17="○",AI17="○"),"【"&amp;AK17&amp;"行目】【整備先・内容】入力不十分、【規格・数量】未入力、【単価】未入力、【補助対象区分】未入力"&amp;CHAR(10),
IF(AND(AF17="×",AG17="○",AH17="○",AI17="◎"),"【"&amp;AK17&amp;"行目】【整備先・内容】入力不十分、【規格・数量】未入力、【単価】未入力"&amp;CHAR(10),
IF(AND(AF17="×",AG17="○",AH17="×",AI17="○"),"【"&amp;AK17&amp;"行目】【整備先・内容】入力不十分、【規格・数量】未入力、【単価】入力不十分、【補助対象区分】未入力"&amp;CHAR(10),
IF(AND(AF17="×",AG17="○",AH17="×",AI17="◎"),"【"&amp;AK17&amp;"行目】【整備先・内容】入力不十分、【規格・数量】未入力、【単価】入力不十分"&amp;CHAR(10),
IF(AND(AF17="×",AG17="○",AH17="◎",AI17="○"),"【"&amp;AK17&amp;"行目】【整備先・内容】入力不十分、【規格・数量】未入力、【補助対象区分】未入力"&amp;CHAR(10),
IF(AND(AF17="×",AG17="○",AH17="◎",AI17="◎"),"【"&amp;AK17&amp;"行目】【整備先・内容】入力不十分、【規格・数量】未入力"&amp;CHAR(10),
IF(AND(AF17="×",AG17="×",AH17="○",AI17="○"),"【"&amp;AK17&amp;"行目】【整備先・内容】入力不十分、【規格・数量】入力不十分、【単価】未入力、【補助対象区分】未入力"&amp;CHAR(10),
IF(AND(AF17="×",AG17="×",AH17="○",AI17="◎"),"【"&amp;AK17&amp;"行目】【整備先・内容】入力不十分、【規格・数量】入力不十分、【単価】未入力"&amp;CHAR(10),
IF(AND(AF17="×",AG17="×",AH17="×",AI17="○"),"【"&amp;AK17&amp;"行目】【整備先・内容】入力不十分、【規格・数量】入力不十分、【単価】入力不十分、【補助対象区分】未入力"&amp;CHAR(10),
IF(AND(AF17="×",AG17="×",AH17="×",AI17="◎"),"【"&amp;AK17&amp;"行目】【整備先・内容】入力不十分、【規格・数量】入力不十分、【単価】入力不十分"&amp;CHAR(10),
IF(AND(AF17="×",AG17="×",AH17="◎",AI17="○"),"【"&amp;AK17&amp;"行目】【整備先・内容】入力不十分、【規格・数量】入力不十分、【補助対象区分】未入力"&amp;CHAR(10),
IF(AND(AF17="×",AG17="×",AH17="◎",AI17="◎"),"【"&amp;AK17&amp;"行目】【整備先・内容】入力不十分、【規格・数量】入力不十分"&amp;CHAR(10),
IF(AND(AF17="×",AG17="◎",AH17="○",AI17="○"),"【"&amp;AK17&amp;"行目】【整備先・内容】入力不十分、【単価】未入力、【補助対象区分】未入力"&amp;CHAR(10),
IF(AND(AF17="×",AG17="◎",AH17="○",AI17="◎"),"【"&amp;AK17&amp;"行目】【整備先・内容】入力不十分、【単価】未入力"&amp;CHAR(10),
IF(AND(AF17="×",AG17="◎",AH17="×",AI17="○"),"【"&amp;AK17&amp;"行目】【整備先・内容】入力不十分、【単価】入力不十分、【補助対象区分】未入力"&amp;CHAR(10),
IF(AND(AF17="×",AG17="◎",AH17="×",AI17="◎"),"【"&amp;AK17&amp;"行目】【整備先・内容】入力不十分、【単価】入力不十分"&amp;CHAR(10),
IF(AND(AF17="×",AG17="◎",AH17="◎",AI17="○"),"【"&amp;AK17&amp;"行目】【整備先・内容】入力不十分、【補助対象区分】未入力"&amp;CHAR(10),
IF(AND(AF17="×",AG17="◎",AH17="◎",AI17="◎"),"【"&amp;AK17&amp;"行目】【整備先・内容】入力不十分"&amp;CHAR(10),
IF(AND(AF17="◎",AG17="○",AH17="○",AI17="○"),"【"&amp;AK17&amp;"行目】【規格・数量】未入力、【単価】未入力、【補助対象区分】未入力"&amp;CHAR(10),
IF(AND(AF17="◎",AG17="○",AH17="○",AI17="◎"),"【"&amp;AK17&amp;"行目】【規格・数量】未入力、【単価】未入力"&amp;CHAR(10),
IF(AND(AF17="◎",AG17="○",AH17="×",AI17="○"),"【"&amp;AK17&amp;"行目】【規格・数量】未入力、【単価】入力不十分、【補助対象区分】未入力"&amp;CHAR(10),
IF(AND(AF17="◎",AG17="○",AH17="×",AI17="◎"),"【"&amp;AK17&amp;"行目】【規格・数量】未入力、【単価】入力不十分"&amp;CHAR(10),
IF(AND(AF17="◎",AG17="○",AH17="◎",AI17="○"),"【"&amp;AK17&amp;"行目】【規格・数量】未入力、【補助対象区分】未入力"&amp;CHAR(10),
IF(AND(AF17="◎",AG17="○",AH17="◎",AI17="◎"),"【"&amp;AK17&amp;"行目】【規格・数量】未入力"&amp;CHAR(10),
IF(AND(AF17="◎",AG17="×",AH17="○",AI17="○"),"【"&amp;AK17&amp;"行目】【規格・数量】入力不十分、【単価】未入力、【補助対象区分】未入力"&amp;CHAR(10),
IF(AND(AF17="◎",AG17="×",AH17="○",AI17="◎"),"【"&amp;AK17&amp;"行目】【規格・数量】入力不十分、【単価】未入力"&amp;CHAR(10),
IF(AND(AF17="◎",AG17="×",AH17="×",AI17="○"),"【"&amp;AK17&amp;"行目】【規格・数量】入力不十分、【単価】入力不十分、【補助対象区分】未入力"&amp;CHAR(10),
IF(AND(AF17="◎",AG17="×",AH17="×",AI17="◎"),"【"&amp;AK17&amp;"行目】【規格・数量】入力不十分、【単価】入力不十分"&amp;CHAR(10),
IF(AND(AF17="◎",AG17="×",AH17="◎",AI17="○"),"【"&amp;AK17&amp;"行目】【規格・数量】入力不十分、【補助対象区分】未入力"&amp;CHAR(10),
IF(AND(AF17="◎",AG17="×",AH17="◎",AI17="◎"),"【"&amp;AK17&amp;"行目】【規格・数量】入力不十分"&amp;CHAR(10),
IF(AND(AF17="◎",AG17="◎",AH17="○",AI17="○"),"【"&amp;AK17&amp;"行目】【単価】未入力、【補助対象区分】未入力"&amp;CHAR(10),
IF(AND(AF17="◎",AG17="◎",AH17="○",AI17="◎"),"【"&amp;AK17&amp;"行目】【単価】未入力"&amp;CHAR(10),
IF(AND(AF17="◎",AG17="◎",AH17="×",AI17="○"),"【"&amp;AK17&amp;"行目】【単価】入力不十分、【補助対象区分】未入力"&amp;CHAR(10),
IF(AND(AF17="◎",AG17="◎",AH17="×",AI17="◎"),"【"&amp;AK17&amp;"行目】【単価】入力不十分"&amp;CHAR(10),
IF(AND(AF17="◎",AG17="◎",AH17="◎",AI17="○"),"【"&amp;AK17&amp;"行目】【補助対象区分】未入力"&amp;CHAR(10),
IF(AND(AF17="◎",AG17="◎",AH17="◎",AI17="◎"),"",
))))))))))))))))))))))))))))))))))))))))))))))))))))))</f>
        <v/>
      </c>
      <c r="AK17" s="41">
        <v>2</v>
      </c>
    </row>
    <row r="18" spans="1:75" ht="24.95" customHeight="1">
      <c r="A18" s="38">
        <v>3</v>
      </c>
      <c r="B18" s="313"/>
      <c r="C18" s="313"/>
      <c r="D18" s="313"/>
      <c r="E18" s="314"/>
      <c r="F18" s="315"/>
      <c r="G18" s="316"/>
      <c r="H18" s="316"/>
      <c r="I18" s="45">
        <f t="shared" si="0"/>
        <v>0</v>
      </c>
      <c r="J18" s="317"/>
      <c r="K18" s="45">
        <f t="shared" si="1"/>
        <v>0</v>
      </c>
      <c r="L18" s="232" t="str">
        <f>IF(AD18="◎",COUNTIF($AD$16:AD18,"◎"),"")</f>
        <v/>
      </c>
      <c r="W18" s="234" t="str">
        <f>IF(B18="既設病床",はじめに入力してください!$K$12,IF(B18="新設病床",はじめに入力してください!$K$13,IF(B18="共通使用",1,"")))</f>
        <v/>
      </c>
      <c r="AC18" s="49" t="s">
        <v>69</v>
      </c>
      <c r="AD18" s="231" t="str">
        <f t="shared" si="2"/>
        <v>○</v>
      </c>
      <c r="AE18" s="35" t="str">
        <f t="shared" si="3"/>
        <v>申請しない場合は入力不要です。</v>
      </c>
      <c r="AF18" s="234" t="str">
        <f t="shared" si="4"/>
        <v>○</v>
      </c>
      <c r="AG18" s="234" t="str">
        <f t="shared" si="5"/>
        <v>○</v>
      </c>
      <c r="AH18" s="234" t="str">
        <f t="shared" si="6"/>
        <v>○</v>
      </c>
      <c r="AI18" s="231" t="str">
        <f t="shared" si="7"/>
        <v>○</v>
      </c>
      <c r="AJ18" s="14" t="str">
        <f t="shared" si="8"/>
        <v/>
      </c>
      <c r="AK18" s="41">
        <v>3</v>
      </c>
      <c r="AY18" s="760" t="s">
        <v>76</v>
      </c>
      <c r="AZ18" s="761"/>
      <c r="BA18" s="761"/>
      <c r="BB18" s="761"/>
      <c r="BC18" s="762"/>
      <c r="BD18" s="760" t="s">
        <v>75</v>
      </c>
      <c r="BE18" s="761"/>
      <c r="BF18" s="761"/>
      <c r="BG18" s="761"/>
      <c r="BH18" s="762"/>
      <c r="BO18" s="234" t="s">
        <v>123</v>
      </c>
      <c r="BP18" s="234" t="s">
        <v>64</v>
      </c>
      <c r="BQ18" s="234" t="s">
        <v>122</v>
      </c>
      <c r="BR18" s="234" t="s">
        <v>121</v>
      </c>
      <c r="BS18" s="763" t="s">
        <v>89</v>
      </c>
      <c r="BT18" s="764"/>
      <c r="BU18" s="764"/>
      <c r="BV18" s="764"/>
      <c r="BW18" s="764"/>
    </row>
    <row r="19" spans="1:75" ht="24.95" customHeight="1">
      <c r="A19" s="38">
        <v>4</v>
      </c>
      <c r="B19" s="313"/>
      <c r="C19" s="313"/>
      <c r="D19" s="313"/>
      <c r="E19" s="314"/>
      <c r="F19" s="315"/>
      <c r="G19" s="316"/>
      <c r="H19" s="316"/>
      <c r="I19" s="45">
        <f t="shared" si="0"/>
        <v>0</v>
      </c>
      <c r="J19" s="317"/>
      <c r="K19" s="45">
        <f t="shared" si="1"/>
        <v>0</v>
      </c>
      <c r="L19" s="232" t="str">
        <f>IF(AD19="◎",COUNTIF($AD$16:AD19,"◎"),"")</f>
        <v/>
      </c>
      <c r="W19" s="234" t="str">
        <f>IF(B19="既設病床",はじめに入力してください!$K$12,IF(B19="新設病床",はじめに入力してください!$K$13,IF(B19="共通使用",1,"")))</f>
        <v/>
      </c>
      <c r="Y19" s="203" t="s">
        <v>217</v>
      </c>
      <c r="AC19" s="49" t="s">
        <v>69</v>
      </c>
      <c r="AD19" s="231" t="str">
        <f t="shared" si="2"/>
        <v>○</v>
      </c>
      <c r="AE19" s="35" t="str">
        <f t="shared" si="3"/>
        <v>申請しない場合は入力不要です。</v>
      </c>
      <c r="AF19" s="234" t="str">
        <f t="shared" si="4"/>
        <v>○</v>
      </c>
      <c r="AG19" s="234" t="str">
        <f t="shared" si="5"/>
        <v>○</v>
      </c>
      <c r="AH19" s="234" t="str">
        <f t="shared" si="6"/>
        <v>○</v>
      </c>
      <c r="AI19" s="231" t="str">
        <f t="shared" si="7"/>
        <v>○</v>
      </c>
      <c r="AJ19" s="14" t="str">
        <f t="shared" si="8"/>
        <v/>
      </c>
      <c r="AK19" s="41">
        <v>4</v>
      </c>
      <c r="AY19" s="765" t="e">
        <f>IF(BP19="○","個人防護具の申請を行わない場合は可",IF(BP19="×","　【未入力有】"&amp;CHAR(10)&amp;"　補助基準額を算出するため黄色セルを"&amp;CHAR(10)&amp;"　どちらも入力してください。"&amp;CHAR(10)&amp;"（「0」は入力しないでください。）",IF(BP19="◎","適切に入力されました。"&amp;CHAR(10)&amp;"延"&amp;#REF!&amp;"人×3,600円/円・日="&amp;TEXT(#REF!*3600,"#,##0")&amp;"円")))</f>
        <v>#REF!</v>
      </c>
      <c r="AZ19" s="766"/>
      <c r="BA19" s="766"/>
      <c r="BB19" s="766"/>
      <c r="BC19" s="767"/>
      <c r="BD19" s="766" t="str">
        <f>IF(BP20="×","【要修正】"&amp;CHAR(10)&amp;"入力が適切に完了していない項目があります。"&amp;CHAR(10)&amp;"判定欄が「×」の行は、記載が不十分または不要な入力がされていてる可能性がありますのでご確認をお願いします。",IF(BP20="○","個人防護具の補助申請を行わない場合は可",IF(BP20="◎","適切に入力がされました。"&amp;CHAR(10)&amp;"添付書類（発注、納品および支払いが確認できるもの）の御用意、御提出をお願いします。")))</f>
        <v>個人防護具の補助申請を行わない場合は可</v>
      </c>
      <c r="BE19" s="767"/>
      <c r="BF19" s="767"/>
      <c r="BG19" s="767"/>
      <c r="BH19" s="767"/>
      <c r="BO19" s="52" t="s">
        <v>128</v>
      </c>
      <c r="BP19" s="220" t="e">
        <f>IF(COUNTA(#REF!)=0,"○",IF(OR(COUNTA(#REF!)=1,#REF!=0,#REF!=0),"×",IF(COUNTA(#REF!)=2,"◎")))</f>
        <v>#REF!</v>
      </c>
      <c r="BQ19" s="768" t="e">
        <f xml:space="preserve">
IF(AND(BP19="×",BP20="×"),"×",
IF(AND(BP19="×",BP20="○"),"×",
IF(AND(BP19="×",BP20="◎"),"×",
IF(AND(BP19="○",BP20="×"),"×",
IF(AND(BP19="○",BP20="○"),"○",
IF(AND(BP19="○",BP20="◎"),"×",
IF(AND(BP19="◎",BP20="×"),"×",
IF(AND(BP19="◎",BP20="○"),"×",
IF(AND(BP19="◎",BP20="◎"),"◎",
)))))))))</f>
        <v>#REF!</v>
      </c>
      <c r="BR19" s="770" t="e">
        <f xml:space="preserve">
IF(AND(BP19="×",BP20="×"),"【要修正】「はじめに」及び「防護具情報」いずれも入力が不十分です。",
IF(AND(BP19="×",BP20="○"),"【要修正】「はじめに」が入力不十分、また「防護具情報」が未入力です。",
IF(AND(BP19="×",BP20="◎"),"【要修正】「はじめに」が入力不十分です。",
IF(AND(BP19="○",BP20="×"),"【要修正】「はじめに」が未入力、「防護具情報」が入力不十分です。",
IF(AND(BP19="○",BP20="○"),"個人防護具の補助申請を行わない場合は入力不要です。",
IF(AND(BP19="○",BP20="◎"),"【要修正】「はじめに」が未入力です。",
IF(AND(BP19="◎",BP20="×"),"【要修正】「防護具情報」が入力不十分です。",
IF(AND(BP19="◎",BP20="○"),"【要修正】「防護具情報」が入力不十分です。",
IF(AND(BP19="◎",BP20="◎"),"いずれの項目も適切に入力されました。",
)))))))))</f>
        <v>#REF!</v>
      </c>
      <c r="BS19" s="763"/>
      <c r="BT19" s="764"/>
      <c r="BU19" s="764"/>
      <c r="BV19" s="764"/>
      <c r="BW19" s="764"/>
    </row>
    <row r="20" spans="1:75" ht="24.95" customHeight="1">
      <c r="A20" s="38">
        <v>5</v>
      </c>
      <c r="B20" s="313"/>
      <c r="C20" s="313"/>
      <c r="D20" s="313"/>
      <c r="E20" s="314"/>
      <c r="F20" s="315"/>
      <c r="G20" s="316"/>
      <c r="H20" s="316"/>
      <c r="I20" s="45">
        <f t="shared" si="0"/>
        <v>0</v>
      </c>
      <c r="J20" s="317"/>
      <c r="K20" s="45">
        <f t="shared" si="1"/>
        <v>0</v>
      </c>
      <c r="L20" s="232" t="str">
        <f>IF(AD20="◎",COUNTIF($AD$16:AD20,"◎"),"")</f>
        <v/>
      </c>
      <c r="W20" s="234" t="str">
        <f>IF(B20="既設病床",はじめに入力してください!$K$12,IF(B20="新設病床",はじめに入力してください!$K$13,IF(B20="共通使用",1,"")))</f>
        <v/>
      </c>
      <c r="AC20" s="49" t="s">
        <v>69</v>
      </c>
      <c r="AD20" s="231" t="str">
        <f t="shared" si="2"/>
        <v>○</v>
      </c>
      <c r="AE20" s="35" t="str">
        <f t="shared" si="3"/>
        <v>申請しない場合は入力不要です。</v>
      </c>
      <c r="AF20" s="234" t="str">
        <f t="shared" si="4"/>
        <v>○</v>
      </c>
      <c r="AG20" s="234" t="str">
        <f t="shared" si="5"/>
        <v>○</v>
      </c>
      <c r="AH20" s="234" t="str">
        <f t="shared" si="6"/>
        <v>○</v>
      </c>
      <c r="AI20" s="231" t="str">
        <f t="shared" si="7"/>
        <v>○</v>
      </c>
      <c r="AJ20" s="14" t="str">
        <f t="shared" si="8"/>
        <v/>
      </c>
      <c r="AK20" s="41">
        <v>5</v>
      </c>
      <c r="AY20" s="766"/>
      <c r="AZ20" s="766"/>
      <c r="BA20" s="766"/>
      <c r="BB20" s="766"/>
      <c r="BC20" s="767"/>
      <c r="BD20" s="767"/>
      <c r="BE20" s="767"/>
      <c r="BF20" s="767"/>
      <c r="BG20" s="767"/>
      <c r="BH20" s="767"/>
      <c r="BO20" s="52" t="s">
        <v>130</v>
      </c>
      <c r="BP20" s="220" t="str">
        <f>IF(COUNTIF(AD16:AD47,"×")&gt;1,"×",IF(COUNTIF(AD16:AD47,"○")=32,"○","◎"))</f>
        <v>○</v>
      </c>
      <c r="BQ20" s="769"/>
      <c r="BR20" s="771"/>
      <c r="BS20" s="763"/>
      <c r="BT20" s="764"/>
      <c r="BU20" s="764"/>
      <c r="BV20" s="764"/>
      <c r="BW20" s="764"/>
    </row>
    <row r="21" spans="1:75" ht="24.95" customHeight="1">
      <c r="A21" s="38">
        <v>6</v>
      </c>
      <c r="B21" s="313"/>
      <c r="C21" s="313"/>
      <c r="D21" s="313"/>
      <c r="E21" s="314"/>
      <c r="F21" s="315"/>
      <c r="G21" s="316"/>
      <c r="H21" s="316"/>
      <c r="I21" s="45">
        <f t="shared" si="0"/>
        <v>0</v>
      </c>
      <c r="J21" s="317"/>
      <c r="K21" s="45">
        <f t="shared" si="1"/>
        <v>0</v>
      </c>
      <c r="L21" s="232" t="str">
        <f>IF(AD21="◎",COUNTIF($AD$16:AD21,"◎"),"")</f>
        <v/>
      </c>
      <c r="W21" s="234" t="str">
        <f>IF(B21="既設病床",はじめに入力してください!$K$12,IF(B21="新設病床",はじめに入力してください!$K$13,IF(B21="共通使用",1,"")))</f>
        <v/>
      </c>
      <c r="AC21" s="49" t="s">
        <v>69</v>
      </c>
      <c r="AD21" s="231" t="str">
        <f t="shared" si="2"/>
        <v>○</v>
      </c>
      <c r="AE21" s="35" t="str">
        <f t="shared" si="3"/>
        <v>申請しない場合は入力不要です。</v>
      </c>
      <c r="AF21" s="234" t="str">
        <f t="shared" si="4"/>
        <v>○</v>
      </c>
      <c r="AG21" s="234" t="str">
        <f t="shared" si="5"/>
        <v>○</v>
      </c>
      <c r="AH21" s="234" t="str">
        <f t="shared" si="6"/>
        <v>○</v>
      </c>
      <c r="AI21" s="231" t="str">
        <f t="shared" si="7"/>
        <v>○</v>
      </c>
      <c r="AJ21" s="14" t="str">
        <f t="shared" si="8"/>
        <v/>
      </c>
      <c r="AK21" s="41">
        <v>6</v>
      </c>
      <c r="AY21" s="766"/>
      <c r="AZ21" s="766"/>
      <c r="BA21" s="766"/>
      <c r="BB21" s="766"/>
      <c r="BC21" s="767"/>
      <c r="BD21" s="767"/>
      <c r="BE21" s="767"/>
      <c r="BF21" s="767"/>
      <c r="BG21" s="767"/>
      <c r="BH21" s="767"/>
      <c r="BO21" s="59" t="s">
        <v>127</v>
      </c>
      <c r="BP21" s="223"/>
      <c r="BQ21" s="223"/>
      <c r="BR21" s="222"/>
      <c r="BS21" s="222"/>
      <c r="BT21" s="237"/>
      <c r="BU21" s="237"/>
      <c r="BV21" s="237"/>
      <c r="BW21" s="237"/>
    </row>
    <row r="22" spans="1:75" ht="24.95" customHeight="1">
      <c r="A22" s="38">
        <v>7</v>
      </c>
      <c r="B22" s="313"/>
      <c r="C22" s="313"/>
      <c r="D22" s="313"/>
      <c r="E22" s="314"/>
      <c r="F22" s="315"/>
      <c r="G22" s="316"/>
      <c r="H22" s="316"/>
      <c r="I22" s="45">
        <f t="shared" si="0"/>
        <v>0</v>
      </c>
      <c r="J22" s="317"/>
      <c r="K22" s="45">
        <f t="shared" si="1"/>
        <v>0</v>
      </c>
      <c r="L22" s="232" t="str">
        <f>IF(AD22="◎",COUNTIF($AD$16:AD22,"◎"),"")</f>
        <v/>
      </c>
      <c r="W22" s="234" t="str">
        <f>IF(B22="既設病床",はじめに入力してください!$K$12,IF(B22="新設病床",はじめに入力してください!$K$13,IF(B22="共通使用",1,"")))</f>
        <v/>
      </c>
      <c r="AC22" s="49" t="s">
        <v>69</v>
      </c>
      <c r="AD22" s="231" t="str">
        <f t="shared" si="2"/>
        <v>○</v>
      </c>
      <c r="AE22" s="35" t="str">
        <f t="shared" si="3"/>
        <v>申請しない場合は入力不要です。</v>
      </c>
      <c r="AF22" s="234" t="str">
        <f t="shared" si="4"/>
        <v>○</v>
      </c>
      <c r="AG22" s="234" t="str">
        <f t="shared" si="5"/>
        <v>○</v>
      </c>
      <c r="AH22" s="234" t="str">
        <f t="shared" si="6"/>
        <v>○</v>
      </c>
      <c r="AI22" s="231" t="str">
        <f t="shared" si="7"/>
        <v>○</v>
      </c>
      <c r="AJ22" s="14" t="str">
        <f t="shared" si="8"/>
        <v/>
      </c>
      <c r="AK22" s="41">
        <v>7</v>
      </c>
      <c r="AY22" s="767"/>
      <c r="AZ22" s="767"/>
      <c r="BA22" s="767"/>
      <c r="BB22" s="767"/>
      <c r="BC22" s="767"/>
      <c r="BD22" s="767"/>
      <c r="BE22" s="767"/>
      <c r="BF22" s="767"/>
      <c r="BG22" s="767"/>
      <c r="BH22" s="767"/>
      <c r="BS22" s="222"/>
      <c r="BT22" s="237"/>
      <c r="BU22" s="237"/>
      <c r="BV22" s="237"/>
      <c r="BW22" s="237"/>
    </row>
    <row r="23" spans="1:75" ht="24.95" customHeight="1">
      <c r="A23" s="38">
        <v>8</v>
      </c>
      <c r="B23" s="313"/>
      <c r="C23" s="313"/>
      <c r="D23" s="313"/>
      <c r="E23" s="314"/>
      <c r="F23" s="315"/>
      <c r="G23" s="316"/>
      <c r="H23" s="316"/>
      <c r="I23" s="45">
        <f t="shared" si="0"/>
        <v>0</v>
      </c>
      <c r="J23" s="317"/>
      <c r="K23" s="45">
        <f t="shared" si="1"/>
        <v>0</v>
      </c>
      <c r="L23" s="232" t="str">
        <f>IF(AD23="◎",COUNTIF($AD$16:AD23,"◎"),"")</f>
        <v/>
      </c>
      <c r="T23" s="237"/>
      <c r="U23" s="237"/>
      <c r="V23" s="237"/>
      <c r="W23" s="234" t="str">
        <f>IF(B23="既設病床",はじめに入力してください!$K$12,IF(B23="新設病床",はじめに入力してください!$K$13,IF(B23="共通使用",1,"")))</f>
        <v/>
      </c>
      <c r="AC23" s="49" t="s">
        <v>69</v>
      </c>
      <c r="AD23" s="231" t="str">
        <f t="shared" si="2"/>
        <v>○</v>
      </c>
      <c r="AE23" s="35" t="str">
        <f t="shared" si="3"/>
        <v>申請しない場合は入力不要です。</v>
      </c>
      <c r="AF23" s="234" t="str">
        <f t="shared" si="4"/>
        <v>○</v>
      </c>
      <c r="AG23" s="234" t="str">
        <f t="shared" si="5"/>
        <v>○</v>
      </c>
      <c r="AH23" s="234" t="str">
        <f t="shared" si="6"/>
        <v>○</v>
      </c>
      <c r="AI23" s="231" t="str">
        <f t="shared" si="7"/>
        <v>○</v>
      </c>
      <c r="AJ23" s="14" t="str">
        <f t="shared" si="8"/>
        <v/>
      </c>
      <c r="AK23" s="41">
        <v>8</v>
      </c>
      <c r="AY23" s="762"/>
      <c r="AZ23" s="767"/>
      <c r="BA23" s="767"/>
      <c r="BB23" s="767"/>
      <c r="BC23" s="767"/>
      <c r="BD23" s="767"/>
      <c r="BE23" s="767"/>
      <c r="BF23" s="767"/>
      <c r="BG23" s="767"/>
      <c r="BH23" s="767"/>
      <c r="BS23" s="222"/>
      <c r="BT23" s="237"/>
      <c r="BU23" s="237"/>
      <c r="BV23" s="237"/>
      <c r="BW23" s="237"/>
    </row>
    <row r="24" spans="1:75" ht="24.95" customHeight="1">
      <c r="A24" s="38">
        <v>9</v>
      </c>
      <c r="B24" s="313"/>
      <c r="C24" s="313"/>
      <c r="D24" s="313"/>
      <c r="E24" s="314"/>
      <c r="F24" s="315"/>
      <c r="G24" s="316"/>
      <c r="H24" s="316"/>
      <c r="I24" s="45">
        <f t="shared" si="0"/>
        <v>0</v>
      </c>
      <c r="J24" s="317"/>
      <c r="K24" s="45">
        <f t="shared" si="1"/>
        <v>0</v>
      </c>
      <c r="L24" s="232" t="str">
        <f>IF(AD24="◎",COUNTIF($AD$16:AD24,"◎"),"")</f>
        <v/>
      </c>
      <c r="W24" s="234" t="str">
        <f>IF(B24="既設病床",はじめに入力してください!$K$12,IF(B24="新設病床",はじめに入力してください!$K$13,IF(B24="共通使用",1,"")))</f>
        <v/>
      </c>
      <c r="AC24" s="49" t="s">
        <v>69</v>
      </c>
      <c r="AD24" s="231" t="str">
        <f t="shared" si="2"/>
        <v>○</v>
      </c>
      <c r="AE24" s="35" t="str">
        <f t="shared" si="3"/>
        <v>申請しない場合は入力不要です。</v>
      </c>
      <c r="AF24" s="234" t="str">
        <f t="shared" si="4"/>
        <v>○</v>
      </c>
      <c r="AG24" s="234" t="str">
        <f t="shared" si="5"/>
        <v>○</v>
      </c>
      <c r="AH24" s="234" t="str">
        <f t="shared" si="6"/>
        <v>○</v>
      </c>
      <c r="AI24" s="231" t="str">
        <f t="shared" si="7"/>
        <v>○</v>
      </c>
      <c r="AJ24" s="14" t="str">
        <f t="shared" si="8"/>
        <v/>
      </c>
      <c r="AK24" s="41">
        <v>9</v>
      </c>
    </row>
    <row r="25" spans="1:75" ht="24.95" customHeight="1">
      <c r="A25" s="38">
        <v>10</v>
      </c>
      <c r="B25" s="313"/>
      <c r="C25" s="313"/>
      <c r="D25" s="313"/>
      <c r="E25" s="314"/>
      <c r="F25" s="315"/>
      <c r="G25" s="316"/>
      <c r="H25" s="316"/>
      <c r="I25" s="45">
        <f t="shared" si="0"/>
        <v>0</v>
      </c>
      <c r="J25" s="317"/>
      <c r="K25" s="45">
        <f t="shared" si="1"/>
        <v>0</v>
      </c>
      <c r="L25" s="232" t="str">
        <f>IF(AD25="◎",COUNTIF($AD$16:AD25,"◎"),"")</f>
        <v/>
      </c>
      <c r="W25" s="234" t="str">
        <f>IF(B25="既設病床",はじめに入力してください!$K$12,IF(B25="新設病床",はじめに入力してください!$K$13,IF(B25="共通使用",1,"")))</f>
        <v/>
      </c>
      <c r="AC25" s="49" t="s">
        <v>69</v>
      </c>
      <c r="AD25" s="231" t="str">
        <f t="shared" si="2"/>
        <v>○</v>
      </c>
      <c r="AE25" s="35" t="str">
        <f t="shared" si="3"/>
        <v>申請しない場合は入力不要です。</v>
      </c>
      <c r="AF25" s="234" t="str">
        <f t="shared" si="4"/>
        <v>○</v>
      </c>
      <c r="AG25" s="234" t="str">
        <f t="shared" si="5"/>
        <v>○</v>
      </c>
      <c r="AH25" s="234" t="str">
        <f t="shared" si="6"/>
        <v>○</v>
      </c>
      <c r="AI25" s="231" t="str">
        <f t="shared" si="7"/>
        <v>○</v>
      </c>
      <c r="AJ25" s="14" t="str">
        <f t="shared" si="8"/>
        <v/>
      </c>
      <c r="AK25" s="41">
        <v>10</v>
      </c>
    </row>
    <row r="26" spans="1:75" ht="24.95" customHeight="1">
      <c r="A26" s="38">
        <v>11</v>
      </c>
      <c r="B26" s="313"/>
      <c r="C26" s="313"/>
      <c r="D26" s="313"/>
      <c r="E26" s="314"/>
      <c r="F26" s="315"/>
      <c r="G26" s="316"/>
      <c r="H26" s="316"/>
      <c r="I26" s="45">
        <f t="shared" si="0"/>
        <v>0</v>
      </c>
      <c r="J26" s="317"/>
      <c r="K26" s="45">
        <f t="shared" si="1"/>
        <v>0</v>
      </c>
      <c r="L26" s="232" t="str">
        <f>IF(AD26="◎",COUNTIF($AD$16:AD26,"◎"),"")</f>
        <v/>
      </c>
      <c r="W26" s="234" t="str">
        <f>IF(B26="既設病床",はじめに入力してください!$K$12,IF(B26="新設病床",はじめに入力してください!$K$13,IF(B26="共通使用",1,"")))</f>
        <v/>
      </c>
      <c r="AC26" s="49" t="s">
        <v>69</v>
      </c>
      <c r="AD26" s="231" t="str">
        <f t="shared" si="2"/>
        <v>○</v>
      </c>
      <c r="AE26" s="35" t="str">
        <f t="shared" si="3"/>
        <v>申請しない場合は入力不要です。</v>
      </c>
      <c r="AF26" s="234" t="str">
        <f t="shared" si="4"/>
        <v>○</v>
      </c>
      <c r="AG26" s="234" t="str">
        <f t="shared" si="5"/>
        <v>○</v>
      </c>
      <c r="AH26" s="234" t="str">
        <f t="shared" si="6"/>
        <v>○</v>
      </c>
      <c r="AI26" s="231" t="str">
        <f t="shared" si="7"/>
        <v>○</v>
      </c>
      <c r="AJ26" s="14" t="str">
        <f t="shared" si="8"/>
        <v/>
      </c>
      <c r="AK26" s="41">
        <v>11</v>
      </c>
    </row>
    <row r="27" spans="1:75" ht="24.95" customHeight="1">
      <c r="A27" s="38">
        <v>12</v>
      </c>
      <c r="B27" s="313"/>
      <c r="C27" s="313"/>
      <c r="D27" s="313"/>
      <c r="E27" s="314"/>
      <c r="F27" s="315"/>
      <c r="G27" s="316"/>
      <c r="H27" s="316"/>
      <c r="I27" s="45">
        <f t="shared" si="0"/>
        <v>0</v>
      </c>
      <c r="J27" s="317"/>
      <c r="K27" s="45">
        <f t="shared" si="1"/>
        <v>0</v>
      </c>
      <c r="L27" s="232" t="str">
        <f>IF(AD27="◎",COUNTIF($AD$16:AD27,"◎"),"")</f>
        <v/>
      </c>
      <c r="W27" s="234" t="str">
        <f>IF(B27="既設病床",はじめに入力してください!$K$12,IF(B27="新設病床",はじめに入力してください!$K$13,IF(B27="共通使用",1,"")))</f>
        <v/>
      </c>
      <c r="AC27" s="49" t="s">
        <v>69</v>
      </c>
      <c r="AD27" s="231" t="str">
        <f t="shared" si="2"/>
        <v>○</v>
      </c>
      <c r="AE27" s="35" t="str">
        <f t="shared" si="3"/>
        <v>申請しない場合は入力不要です。</v>
      </c>
      <c r="AF27" s="234" t="str">
        <f t="shared" si="4"/>
        <v>○</v>
      </c>
      <c r="AG27" s="234" t="str">
        <f t="shared" si="5"/>
        <v>○</v>
      </c>
      <c r="AH27" s="234" t="str">
        <f t="shared" si="6"/>
        <v>○</v>
      </c>
      <c r="AI27" s="231" t="str">
        <f t="shared" si="7"/>
        <v>○</v>
      </c>
      <c r="AJ27" s="14" t="str">
        <f t="shared" si="8"/>
        <v/>
      </c>
      <c r="AK27" s="41">
        <v>12</v>
      </c>
    </row>
    <row r="28" spans="1:75" ht="24.95" customHeight="1">
      <c r="A28" s="38">
        <v>13</v>
      </c>
      <c r="B28" s="313"/>
      <c r="C28" s="313"/>
      <c r="D28" s="313"/>
      <c r="E28" s="314"/>
      <c r="F28" s="315"/>
      <c r="G28" s="316"/>
      <c r="H28" s="316"/>
      <c r="I28" s="45">
        <f t="shared" si="0"/>
        <v>0</v>
      </c>
      <c r="J28" s="317"/>
      <c r="K28" s="45">
        <f t="shared" si="1"/>
        <v>0</v>
      </c>
      <c r="L28" s="232" t="str">
        <f>IF(AD28="◎",COUNTIF($AD$16:AD28,"◎"),"")</f>
        <v/>
      </c>
      <c r="W28" s="234" t="str">
        <f>IF(B28="既設病床",はじめに入力してください!$K$12,IF(B28="新設病床",はじめに入力してください!$K$13,IF(B28="共通使用",1,"")))</f>
        <v/>
      </c>
      <c r="AC28" s="49" t="s">
        <v>69</v>
      </c>
      <c r="AD28" s="231" t="str">
        <f t="shared" si="2"/>
        <v>○</v>
      </c>
      <c r="AE28" s="35" t="str">
        <f t="shared" si="3"/>
        <v>申請しない場合は入力不要です。</v>
      </c>
      <c r="AF28" s="234" t="str">
        <f t="shared" si="4"/>
        <v>○</v>
      </c>
      <c r="AG28" s="234" t="str">
        <f t="shared" si="5"/>
        <v>○</v>
      </c>
      <c r="AH28" s="234" t="str">
        <f t="shared" si="6"/>
        <v>○</v>
      </c>
      <c r="AI28" s="231" t="str">
        <f t="shared" si="7"/>
        <v>○</v>
      </c>
      <c r="AJ28" s="14" t="str">
        <f t="shared" si="8"/>
        <v/>
      </c>
      <c r="AK28" s="41">
        <v>13</v>
      </c>
    </row>
    <row r="29" spans="1:75" ht="24.95" customHeight="1">
      <c r="A29" s="38">
        <v>14</v>
      </c>
      <c r="B29" s="313"/>
      <c r="C29" s="313"/>
      <c r="D29" s="313"/>
      <c r="E29" s="314"/>
      <c r="F29" s="315"/>
      <c r="G29" s="316"/>
      <c r="H29" s="316"/>
      <c r="I29" s="45">
        <f t="shared" si="0"/>
        <v>0</v>
      </c>
      <c r="J29" s="317"/>
      <c r="K29" s="45">
        <f t="shared" si="1"/>
        <v>0</v>
      </c>
      <c r="L29" s="232" t="str">
        <f>IF(AD29="◎",COUNTIF($AD$16:AD29,"◎"),"")</f>
        <v/>
      </c>
      <c r="W29" s="234" t="str">
        <f>IF(B29="既設病床",はじめに入力してください!$K$12,IF(B29="新設病床",はじめに入力してください!$K$13,IF(B29="共通使用",1,"")))</f>
        <v/>
      </c>
      <c r="AC29" s="49" t="s">
        <v>69</v>
      </c>
      <c r="AD29" s="231" t="str">
        <f t="shared" si="2"/>
        <v>○</v>
      </c>
      <c r="AE29" s="35" t="str">
        <f t="shared" si="3"/>
        <v>申請しない場合は入力不要です。</v>
      </c>
      <c r="AF29" s="234" t="str">
        <f t="shared" si="4"/>
        <v>○</v>
      </c>
      <c r="AG29" s="234" t="str">
        <f t="shared" si="5"/>
        <v>○</v>
      </c>
      <c r="AH29" s="234" t="str">
        <f t="shared" si="6"/>
        <v>○</v>
      </c>
      <c r="AI29" s="231" t="str">
        <f t="shared" si="7"/>
        <v>○</v>
      </c>
      <c r="AJ29" s="14" t="str">
        <f t="shared" si="8"/>
        <v/>
      </c>
      <c r="AK29" s="41">
        <v>14</v>
      </c>
    </row>
    <row r="30" spans="1:75" ht="24.95" customHeight="1">
      <c r="A30" s="38">
        <v>15</v>
      </c>
      <c r="B30" s="313"/>
      <c r="C30" s="313"/>
      <c r="D30" s="313"/>
      <c r="E30" s="314"/>
      <c r="F30" s="315"/>
      <c r="G30" s="316"/>
      <c r="H30" s="316"/>
      <c r="I30" s="45">
        <f t="shared" si="0"/>
        <v>0</v>
      </c>
      <c r="J30" s="317"/>
      <c r="K30" s="45">
        <f t="shared" si="1"/>
        <v>0</v>
      </c>
      <c r="L30" s="232" t="str">
        <f>IF(AD30="◎",COUNTIF($AD$16:AD30,"◎"),"")</f>
        <v/>
      </c>
      <c r="W30" s="234" t="str">
        <f>IF(B30="既設病床",はじめに入力してください!$K$12,IF(B30="新設病床",はじめに入力してください!$K$13,IF(B30="共通使用",1,"")))</f>
        <v/>
      </c>
      <c r="AC30" s="49" t="s">
        <v>69</v>
      </c>
      <c r="AD30" s="231" t="str">
        <f t="shared" si="2"/>
        <v>○</v>
      </c>
      <c r="AE30" s="35" t="str">
        <f t="shared" si="3"/>
        <v>申請しない場合は入力不要です。</v>
      </c>
      <c r="AF30" s="234" t="str">
        <f t="shared" si="4"/>
        <v>○</v>
      </c>
      <c r="AG30" s="234" t="str">
        <f t="shared" si="5"/>
        <v>○</v>
      </c>
      <c r="AH30" s="234" t="str">
        <f t="shared" si="6"/>
        <v>○</v>
      </c>
      <c r="AI30" s="231" t="str">
        <f t="shared" si="7"/>
        <v>○</v>
      </c>
      <c r="AJ30" s="14" t="str">
        <f t="shared" si="8"/>
        <v/>
      </c>
      <c r="AK30" s="41">
        <v>15</v>
      </c>
    </row>
    <row r="31" spans="1:75" ht="24.95" customHeight="1">
      <c r="A31" s="38">
        <v>16</v>
      </c>
      <c r="B31" s="313"/>
      <c r="C31" s="313"/>
      <c r="D31" s="313"/>
      <c r="E31" s="314"/>
      <c r="F31" s="315"/>
      <c r="G31" s="316"/>
      <c r="H31" s="316"/>
      <c r="I31" s="45">
        <f t="shared" si="0"/>
        <v>0</v>
      </c>
      <c r="J31" s="317"/>
      <c r="K31" s="45">
        <f t="shared" si="1"/>
        <v>0</v>
      </c>
      <c r="L31" s="232" t="str">
        <f>IF(AD31="◎",COUNTIF($AD$16:AD31,"◎"),"")</f>
        <v/>
      </c>
      <c r="W31" s="234" t="str">
        <f>IF(B31="既設病床",はじめに入力してください!$K$12,IF(B31="新設病床",はじめに入力してください!$K$13,IF(B31="共通使用",1,"")))</f>
        <v/>
      </c>
      <c r="AC31" s="49" t="s">
        <v>69</v>
      </c>
      <c r="AD31" s="231" t="str">
        <f t="shared" si="2"/>
        <v>○</v>
      </c>
      <c r="AE31" s="35" t="str">
        <f t="shared" si="3"/>
        <v>申請しない場合は入力不要です。</v>
      </c>
      <c r="AF31" s="234" t="str">
        <f t="shared" si="4"/>
        <v>○</v>
      </c>
      <c r="AG31" s="234" t="str">
        <f t="shared" si="5"/>
        <v>○</v>
      </c>
      <c r="AH31" s="234" t="str">
        <f t="shared" si="6"/>
        <v>○</v>
      </c>
      <c r="AI31" s="231" t="str">
        <f t="shared" si="7"/>
        <v>○</v>
      </c>
      <c r="AJ31" s="14" t="str">
        <f t="shared" si="8"/>
        <v/>
      </c>
      <c r="AK31" s="41">
        <v>16</v>
      </c>
    </row>
    <row r="32" spans="1:75" ht="24.95" customHeight="1">
      <c r="A32" s="38">
        <v>17</v>
      </c>
      <c r="B32" s="313"/>
      <c r="C32" s="313"/>
      <c r="D32" s="313"/>
      <c r="E32" s="314"/>
      <c r="F32" s="315"/>
      <c r="G32" s="316"/>
      <c r="H32" s="316"/>
      <c r="I32" s="45">
        <f t="shared" si="0"/>
        <v>0</v>
      </c>
      <c r="J32" s="317"/>
      <c r="K32" s="45">
        <f t="shared" si="1"/>
        <v>0</v>
      </c>
      <c r="L32" s="232" t="str">
        <f>IF(AD32="◎",COUNTIF($AD$16:AD32,"◎"),"")</f>
        <v/>
      </c>
      <c r="W32" s="234" t="str">
        <f>IF(B32="既設病床",はじめに入力してください!$K$12,IF(B32="新設病床",はじめに入力してください!$K$13,IF(B32="共通使用",1,"")))</f>
        <v/>
      </c>
      <c r="AC32" s="49" t="s">
        <v>69</v>
      </c>
      <c r="AD32" s="231" t="str">
        <f t="shared" si="2"/>
        <v>○</v>
      </c>
      <c r="AE32" s="35" t="str">
        <f t="shared" si="3"/>
        <v>申請しない場合は入力不要です。</v>
      </c>
      <c r="AF32" s="234" t="str">
        <f t="shared" si="4"/>
        <v>○</v>
      </c>
      <c r="AG32" s="234" t="str">
        <f t="shared" si="5"/>
        <v>○</v>
      </c>
      <c r="AH32" s="234" t="str">
        <f t="shared" si="6"/>
        <v>○</v>
      </c>
      <c r="AI32" s="231" t="str">
        <f t="shared" si="7"/>
        <v>○</v>
      </c>
      <c r="AJ32" s="14" t="str">
        <f t="shared" si="8"/>
        <v/>
      </c>
      <c r="AK32" s="41">
        <v>17</v>
      </c>
    </row>
    <row r="33" spans="1:37" ht="24.95" customHeight="1">
      <c r="A33" s="38">
        <v>18</v>
      </c>
      <c r="B33" s="313"/>
      <c r="C33" s="313"/>
      <c r="D33" s="313"/>
      <c r="E33" s="314"/>
      <c r="F33" s="315"/>
      <c r="G33" s="316"/>
      <c r="H33" s="316"/>
      <c r="I33" s="45">
        <f t="shared" si="0"/>
        <v>0</v>
      </c>
      <c r="J33" s="317"/>
      <c r="K33" s="45">
        <f t="shared" si="1"/>
        <v>0</v>
      </c>
      <c r="L33" s="232" t="str">
        <f>IF(AD33="◎",COUNTIF($AD$16:AD33,"◎"),"")</f>
        <v/>
      </c>
      <c r="W33" s="234" t="str">
        <f>IF(B33="既設病床",はじめに入力してください!$K$12,IF(B33="新設病床",はじめに入力してください!$K$13,IF(B33="共通使用",1,"")))</f>
        <v/>
      </c>
      <c r="AC33" s="49" t="s">
        <v>69</v>
      </c>
      <c r="AD33" s="231" t="str">
        <f t="shared" si="2"/>
        <v>○</v>
      </c>
      <c r="AE33" s="35" t="str">
        <f t="shared" si="3"/>
        <v>申請しない場合は入力不要です。</v>
      </c>
      <c r="AF33" s="234" t="str">
        <f t="shared" si="4"/>
        <v>○</v>
      </c>
      <c r="AG33" s="234" t="str">
        <f t="shared" si="5"/>
        <v>○</v>
      </c>
      <c r="AH33" s="234" t="str">
        <f t="shared" si="6"/>
        <v>○</v>
      </c>
      <c r="AI33" s="231" t="str">
        <f t="shared" si="7"/>
        <v>○</v>
      </c>
      <c r="AJ33" s="14" t="str">
        <f t="shared" si="8"/>
        <v/>
      </c>
      <c r="AK33" s="41">
        <v>18</v>
      </c>
    </row>
    <row r="34" spans="1:37" ht="24.95" customHeight="1">
      <c r="A34" s="38">
        <v>19</v>
      </c>
      <c r="B34" s="313"/>
      <c r="C34" s="313"/>
      <c r="D34" s="313"/>
      <c r="E34" s="314"/>
      <c r="F34" s="315"/>
      <c r="G34" s="316"/>
      <c r="H34" s="316"/>
      <c r="I34" s="45">
        <f t="shared" si="0"/>
        <v>0</v>
      </c>
      <c r="J34" s="317"/>
      <c r="K34" s="45">
        <f t="shared" si="1"/>
        <v>0</v>
      </c>
      <c r="L34" s="232" t="str">
        <f>IF(AD34="◎",COUNTIF($AD$16:AD34,"◎"),"")</f>
        <v/>
      </c>
      <c r="W34" s="234" t="str">
        <f>IF(B34="既設病床",はじめに入力してください!$K$12,IF(B34="新設病床",はじめに入力してください!$K$13,IF(B34="共通使用",1,"")))</f>
        <v/>
      </c>
      <c r="AC34" s="49" t="s">
        <v>69</v>
      </c>
      <c r="AD34" s="231" t="str">
        <f t="shared" si="2"/>
        <v>○</v>
      </c>
      <c r="AE34" s="35" t="str">
        <f t="shared" si="3"/>
        <v>申請しない場合は入力不要です。</v>
      </c>
      <c r="AF34" s="234" t="str">
        <f t="shared" si="4"/>
        <v>○</v>
      </c>
      <c r="AG34" s="234" t="str">
        <f t="shared" si="5"/>
        <v>○</v>
      </c>
      <c r="AH34" s="234" t="str">
        <f t="shared" si="6"/>
        <v>○</v>
      </c>
      <c r="AI34" s="231" t="str">
        <f t="shared" si="7"/>
        <v>○</v>
      </c>
      <c r="AJ34" s="14" t="str">
        <f t="shared" si="8"/>
        <v/>
      </c>
      <c r="AK34" s="41">
        <v>19</v>
      </c>
    </row>
    <row r="35" spans="1:37" ht="24.95" customHeight="1">
      <c r="A35" s="38">
        <v>20</v>
      </c>
      <c r="B35" s="313"/>
      <c r="C35" s="313"/>
      <c r="D35" s="313"/>
      <c r="E35" s="314"/>
      <c r="F35" s="315"/>
      <c r="G35" s="316"/>
      <c r="H35" s="316"/>
      <c r="I35" s="45">
        <f t="shared" si="0"/>
        <v>0</v>
      </c>
      <c r="J35" s="317"/>
      <c r="K35" s="45">
        <f t="shared" si="1"/>
        <v>0</v>
      </c>
      <c r="L35" s="232" t="str">
        <f>IF(AD35="◎",COUNTIF($AD$16:AD35,"◎"),"")</f>
        <v/>
      </c>
      <c r="W35" s="234" t="str">
        <f>IF(B35="既設病床",はじめに入力してください!$K$12,IF(B35="新設病床",はじめに入力してください!$K$13,IF(B35="共通使用",1,"")))</f>
        <v/>
      </c>
      <c r="AC35" s="49" t="s">
        <v>69</v>
      </c>
      <c r="AD35" s="231" t="str">
        <f t="shared" si="2"/>
        <v>○</v>
      </c>
      <c r="AE35" s="35" t="str">
        <f t="shared" si="3"/>
        <v>申請しない場合は入力不要です。</v>
      </c>
      <c r="AF35" s="234" t="str">
        <f t="shared" si="4"/>
        <v>○</v>
      </c>
      <c r="AG35" s="234" t="str">
        <f t="shared" si="5"/>
        <v>○</v>
      </c>
      <c r="AH35" s="234" t="str">
        <f t="shared" si="6"/>
        <v>○</v>
      </c>
      <c r="AI35" s="231" t="str">
        <f t="shared" si="7"/>
        <v>○</v>
      </c>
      <c r="AJ35" s="14" t="str">
        <f t="shared" si="8"/>
        <v/>
      </c>
      <c r="AK35" s="41">
        <v>20</v>
      </c>
    </row>
    <row r="36" spans="1:37" ht="24.95" customHeight="1">
      <c r="A36" s="38">
        <v>21</v>
      </c>
      <c r="B36" s="313"/>
      <c r="C36" s="313"/>
      <c r="D36" s="313"/>
      <c r="E36" s="314"/>
      <c r="F36" s="315"/>
      <c r="G36" s="316"/>
      <c r="H36" s="316"/>
      <c r="I36" s="45">
        <f t="shared" si="0"/>
        <v>0</v>
      </c>
      <c r="J36" s="317"/>
      <c r="K36" s="45">
        <f t="shared" si="1"/>
        <v>0</v>
      </c>
      <c r="L36" s="232" t="str">
        <f>IF(AD36="◎",COUNTIF($AD$16:AD36,"◎"),"")</f>
        <v/>
      </c>
      <c r="W36" s="234" t="str">
        <f>IF(B36="既設病床",はじめに入力してください!$K$12,IF(B36="新設病床",はじめに入力してください!$K$13,IF(B36="共通使用",1,"")))</f>
        <v/>
      </c>
      <c r="AC36" s="49" t="s">
        <v>69</v>
      </c>
      <c r="AD36" s="231" t="str">
        <f t="shared" si="2"/>
        <v>○</v>
      </c>
      <c r="AE36" s="35" t="str">
        <f t="shared" si="3"/>
        <v>申請しない場合は入力不要です。</v>
      </c>
      <c r="AF36" s="234" t="str">
        <f t="shared" si="4"/>
        <v>○</v>
      </c>
      <c r="AG36" s="234" t="str">
        <f t="shared" si="5"/>
        <v>○</v>
      </c>
      <c r="AH36" s="234" t="str">
        <f t="shared" si="6"/>
        <v>○</v>
      </c>
      <c r="AI36" s="231" t="str">
        <f t="shared" si="7"/>
        <v>○</v>
      </c>
      <c r="AJ36" s="14" t="str">
        <f t="shared" si="8"/>
        <v/>
      </c>
      <c r="AK36" s="41">
        <v>21</v>
      </c>
    </row>
    <row r="37" spans="1:37" ht="24.95" customHeight="1">
      <c r="A37" s="38">
        <v>22</v>
      </c>
      <c r="B37" s="313"/>
      <c r="C37" s="313"/>
      <c r="D37" s="313"/>
      <c r="E37" s="314"/>
      <c r="F37" s="315"/>
      <c r="G37" s="316"/>
      <c r="H37" s="316"/>
      <c r="I37" s="45">
        <f t="shared" si="0"/>
        <v>0</v>
      </c>
      <c r="J37" s="317"/>
      <c r="K37" s="45">
        <f t="shared" si="1"/>
        <v>0</v>
      </c>
      <c r="L37" s="232" t="str">
        <f>IF(AD37="◎",COUNTIF($AD$16:AD37,"◎"),"")</f>
        <v/>
      </c>
      <c r="W37" s="234" t="str">
        <f>IF(B37="既設病床",はじめに入力してください!$K$12,IF(B37="新設病床",はじめに入力してください!$K$13,IF(B37="共通使用",1,"")))</f>
        <v/>
      </c>
      <c r="AC37" s="49" t="s">
        <v>69</v>
      </c>
      <c r="AD37" s="231" t="str">
        <f t="shared" si="2"/>
        <v>○</v>
      </c>
      <c r="AE37" s="35" t="str">
        <f t="shared" si="3"/>
        <v>申請しない場合は入力不要です。</v>
      </c>
      <c r="AF37" s="234" t="str">
        <f t="shared" si="4"/>
        <v>○</v>
      </c>
      <c r="AG37" s="234" t="str">
        <f t="shared" si="5"/>
        <v>○</v>
      </c>
      <c r="AH37" s="234" t="str">
        <f t="shared" si="6"/>
        <v>○</v>
      </c>
      <c r="AI37" s="231" t="str">
        <f t="shared" si="7"/>
        <v>○</v>
      </c>
      <c r="AJ37" s="14" t="str">
        <f t="shared" si="8"/>
        <v/>
      </c>
      <c r="AK37" s="41">
        <v>22</v>
      </c>
    </row>
    <row r="38" spans="1:37" ht="24.95" customHeight="1">
      <c r="A38" s="38">
        <v>23</v>
      </c>
      <c r="B38" s="313"/>
      <c r="C38" s="313"/>
      <c r="D38" s="313"/>
      <c r="E38" s="314"/>
      <c r="F38" s="315"/>
      <c r="G38" s="316"/>
      <c r="H38" s="316"/>
      <c r="I38" s="45">
        <f t="shared" si="0"/>
        <v>0</v>
      </c>
      <c r="J38" s="317"/>
      <c r="K38" s="45">
        <f t="shared" si="1"/>
        <v>0</v>
      </c>
      <c r="L38" s="232" t="str">
        <f>IF(AD38="◎",COUNTIF($AD$16:AD38,"◎"),"")</f>
        <v/>
      </c>
      <c r="W38" s="234" t="str">
        <f>IF(B38="既設病床",はじめに入力してください!$K$12,IF(B38="新設病床",はじめに入力してください!$K$13,IF(B38="共通使用",1,"")))</f>
        <v/>
      </c>
      <c r="AC38" s="49" t="s">
        <v>69</v>
      </c>
      <c r="AD38" s="231" t="str">
        <f t="shared" si="2"/>
        <v>○</v>
      </c>
      <c r="AE38" s="35" t="str">
        <f t="shared" si="3"/>
        <v>申請しない場合は入力不要です。</v>
      </c>
      <c r="AF38" s="234" t="str">
        <f t="shared" si="4"/>
        <v>○</v>
      </c>
      <c r="AG38" s="234" t="str">
        <f t="shared" si="5"/>
        <v>○</v>
      </c>
      <c r="AH38" s="234" t="str">
        <f t="shared" si="6"/>
        <v>○</v>
      </c>
      <c r="AI38" s="231" t="str">
        <f t="shared" si="7"/>
        <v>○</v>
      </c>
      <c r="AJ38" s="14" t="str">
        <f t="shared" si="8"/>
        <v/>
      </c>
      <c r="AK38" s="41">
        <v>23</v>
      </c>
    </row>
    <row r="39" spans="1:37" ht="24.95" customHeight="1">
      <c r="A39" s="38">
        <v>24</v>
      </c>
      <c r="B39" s="313"/>
      <c r="C39" s="313"/>
      <c r="D39" s="313"/>
      <c r="E39" s="314"/>
      <c r="F39" s="315"/>
      <c r="G39" s="316"/>
      <c r="H39" s="316"/>
      <c r="I39" s="45">
        <f t="shared" si="0"/>
        <v>0</v>
      </c>
      <c r="J39" s="317"/>
      <c r="K39" s="45">
        <f t="shared" si="1"/>
        <v>0</v>
      </c>
      <c r="L39" s="232" t="str">
        <f>IF(AD39="◎",COUNTIF($AD$16:AD39,"◎"),"")</f>
        <v/>
      </c>
      <c r="W39" s="234" t="str">
        <f>IF(B39="既設病床",はじめに入力してください!$K$12,IF(B39="新設病床",はじめに入力してください!$K$13,IF(B39="共通使用",1,"")))</f>
        <v/>
      </c>
      <c r="AC39" s="49" t="s">
        <v>69</v>
      </c>
      <c r="AD39" s="231" t="str">
        <f t="shared" si="2"/>
        <v>○</v>
      </c>
      <c r="AE39" s="35" t="str">
        <f t="shared" si="3"/>
        <v>申請しない場合は入力不要です。</v>
      </c>
      <c r="AF39" s="234" t="str">
        <f t="shared" si="4"/>
        <v>○</v>
      </c>
      <c r="AG39" s="234" t="str">
        <f t="shared" si="5"/>
        <v>○</v>
      </c>
      <c r="AH39" s="234" t="str">
        <f t="shared" si="6"/>
        <v>○</v>
      </c>
      <c r="AI39" s="231" t="str">
        <f t="shared" si="7"/>
        <v>○</v>
      </c>
      <c r="AJ39" s="14" t="str">
        <f t="shared" si="8"/>
        <v/>
      </c>
      <c r="AK39" s="41">
        <v>24</v>
      </c>
    </row>
    <row r="40" spans="1:37" ht="24.95" customHeight="1">
      <c r="A40" s="38">
        <v>25</v>
      </c>
      <c r="B40" s="313"/>
      <c r="C40" s="313"/>
      <c r="D40" s="313"/>
      <c r="E40" s="314"/>
      <c r="F40" s="315"/>
      <c r="G40" s="316"/>
      <c r="H40" s="316"/>
      <c r="I40" s="45">
        <f t="shared" si="0"/>
        <v>0</v>
      </c>
      <c r="J40" s="317"/>
      <c r="K40" s="45">
        <f t="shared" si="1"/>
        <v>0</v>
      </c>
      <c r="L40" s="232" t="str">
        <f>IF(AD40="◎",COUNTIF($AD$16:AD40,"◎"),"")</f>
        <v/>
      </c>
      <c r="W40" s="234" t="str">
        <f>IF(B40="既設病床",はじめに入力してください!$K$12,IF(B40="新設病床",はじめに入力してください!$K$13,IF(B40="共通使用",1,"")))</f>
        <v/>
      </c>
      <c r="AC40" s="49" t="s">
        <v>69</v>
      </c>
      <c r="AD40" s="231" t="str">
        <f t="shared" si="2"/>
        <v>○</v>
      </c>
      <c r="AE40" s="35" t="str">
        <f t="shared" si="3"/>
        <v>申請しない場合は入力不要です。</v>
      </c>
      <c r="AF40" s="234" t="str">
        <f t="shared" si="4"/>
        <v>○</v>
      </c>
      <c r="AG40" s="234" t="str">
        <f t="shared" si="5"/>
        <v>○</v>
      </c>
      <c r="AH40" s="234" t="str">
        <f t="shared" si="6"/>
        <v>○</v>
      </c>
      <c r="AI40" s="231" t="str">
        <f t="shared" si="7"/>
        <v>○</v>
      </c>
      <c r="AJ40" s="14" t="str">
        <f t="shared" si="8"/>
        <v/>
      </c>
      <c r="AK40" s="41">
        <v>25</v>
      </c>
    </row>
    <row r="41" spans="1:37" ht="24.95" customHeight="1">
      <c r="A41" s="38">
        <v>26</v>
      </c>
      <c r="B41" s="313"/>
      <c r="C41" s="313"/>
      <c r="D41" s="313"/>
      <c r="E41" s="314"/>
      <c r="F41" s="315"/>
      <c r="G41" s="316"/>
      <c r="H41" s="316"/>
      <c r="I41" s="45">
        <f t="shared" si="0"/>
        <v>0</v>
      </c>
      <c r="J41" s="317"/>
      <c r="K41" s="45">
        <f t="shared" si="1"/>
        <v>0</v>
      </c>
      <c r="L41" s="232" t="str">
        <f>IF(AD41="◎",COUNTIF($AD$16:AD41,"◎"),"")</f>
        <v/>
      </c>
      <c r="W41" s="234" t="str">
        <f>IF(B41="既設病床",はじめに入力してください!$K$12,IF(B41="新設病床",はじめに入力してください!$K$13,IF(B41="共通使用",1,"")))</f>
        <v/>
      </c>
      <c r="AC41" s="49" t="s">
        <v>69</v>
      </c>
      <c r="AD41" s="231" t="str">
        <f t="shared" si="2"/>
        <v>○</v>
      </c>
      <c r="AE41" s="35" t="str">
        <f t="shared" si="3"/>
        <v>申請しない場合は入力不要です。</v>
      </c>
      <c r="AF41" s="234" t="str">
        <f t="shared" si="4"/>
        <v>○</v>
      </c>
      <c r="AG41" s="234" t="str">
        <f t="shared" si="5"/>
        <v>○</v>
      </c>
      <c r="AH41" s="234" t="str">
        <f t="shared" si="6"/>
        <v>○</v>
      </c>
      <c r="AI41" s="231" t="str">
        <f t="shared" si="7"/>
        <v>○</v>
      </c>
      <c r="AJ41" s="14" t="str">
        <f t="shared" si="8"/>
        <v/>
      </c>
      <c r="AK41" s="41">
        <v>26</v>
      </c>
    </row>
    <row r="42" spans="1:37" ht="24.95" customHeight="1">
      <c r="A42" s="38">
        <v>27</v>
      </c>
      <c r="B42" s="313"/>
      <c r="C42" s="313"/>
      <c r="D42" s="313"/>
      <c r="E42" s="314"/>
      <c r="F42" s="315"/>
      <c r="G42" s="316"/>
      <c r="H42" s="316"/>
      <c r="I42" s="45">
        <f t="shared" si="0"/>
        <v>0</v>
      </c>
      <c r="J42" s="317"/>
      <c r="K42" s="45">
        <f t="shared" si="1"/>
        <v>0</v>
      </c>
      <c r="L42" s="232" t="str">
        <f>IF(AD42="◎",COUNTIF($AD$16:AD42,"◎"),"")</f>
        <v/>
      </c>
      <c r="W42" s="234" t="str">
        <f>IF(B42="既設病床",はじめに入力してください!$K$12,IF(B42="新設病床",はじめに入力してください!$K$13,IF(B42="共通使用",1,"")))</f>
        <v/>
      </c>
      <c r="AC42" s="49" t="s">
        <v>69</v>
      </c>
      <c r="AD42" s="231" t="str">
        <f t="shared" si="2"/>
        <v>○</v>
      </c>
      <c r="AE42" s="35" t="str">
        <f t="shared" si="3"/>
        <v>申請しない場合は入力不要です。</v>
      </c>
      <c r="AF42" s="234" t="str">
        <f t="shared" si="4"/>
        <v>○</v>
      </c>
      <c r="AG42" s="234" t="str">
        <f t="shared" si="5"/>
        <v>○</v>
      </c>
      <c r="AH42" s="234" t="str">
        <f t="shared" si="6"/>
        <v>○</v>
      </c>
      <c r="AI42" s="231" t="str">
        <f t="shared" si="7"/>
        <v>○</v>
      </c>
      <c r="AJ42" s="14" t="str">
        <f t="shared" si="8"/>
        <v/>
      </c>
      <c r="AK42" s="41">
        <v>27</v>
      </c>
    </row>
    <row r="43" spans="1:37" ht="24.95" customHeight="1">
      <c r="A43" s="38">
        <v>28</v>
      </c>
      <c r="B43" s="313"/>
      <c r="C43" s="313"/>
      <c r="D43" s="313"/>
      <c r="E43" s="314"/>
      <c r="F43" s="315"/>
      <c r="G43" s="316"/>
      <c r="H43" s="316"/>
      <c r="I43" s="45">
        <f t="shared" si="0"/>
        <v>0</v>
      </c>
      <c r="J43" s="317"/>
      <c r="K43" s="45">
        <f t="shared" si="1"/>
        <v>0</v>
      </c>
      <c r="L43" s="232" t="str">
        <f>IF(AD43="◎",COUNTIF($AD$16:AD43,"◎"),"")</f>
        <v/>
      </c>
      <c r="W43" s="234" t="str">
        <f>IF(B43="既設病床",はじめに入力してください!$K$12,IF(B43="新設病床",はじめに入力してください!$K$13,IF(B43="共通使用",1,"")))</f>
        <v/>
      </c>
      <c r="AC43" s="49" t="s">
        <v>69</v>
      </c>
      <c r="AD43" s="231" t="str">
        <f t="shared" si="2"/>
        <v>○</v>
      </c>
      <c r="AE43" s="35" t="str">
        <f t="shared" si="3"/>
        <v>申請しない場合は入力不要です。</v>
      </c>
      <c r="AF43" s="234" t="str">
        <f t="shared" si="4"/>
        <v>○</v>
      </c>
      <c r="AG43" s="234" t="str">
        <f t="shared" si="5"/>
        <v>○</v>
      </c>
      <c r="AH43" s="234" t="str">
        <f t="shared" si="6"/>
        <v>○</v>
      </c>
      <c r="AI43" s="231" t="str">
        <f t="shared" si="7"/>
        <v>○</v>
      </c>
      <c r="AJ43" s="14" t="str">
        <f t="shared" si="8"/>
        <v/>
      </c>
      <c r="AK43" s="41">
        <v>28</v>
      </c>
    </row>
    <row r="44" spans="1:37" ht="24.95" customHeight="1">
      <c r="A44" s="38">
        <v>29</v>
      </c>
      <c r="B44" s="313"/>
      <c r="C44" s="313"/>
      <c r="D44" s="313"/>
      <c r="E44" s="314"/>
      <c r="F44" s="315"/>
      <c r="G44" s="316"/>
      <c r="H44" s="316"/>
      <c r="I44" s="45">
        <f t="shared" si="0"/>
        <v>0</v>
      </c>
      <c r="J44" s="317"/>
      <c r="K44" s="45">
        <f t="shared" si="1"/>
        <v>0</v>
      </c>
      <c r="L44" s="232" t="str">
        <f>IF(AD44="◎",COUNTIF($AD$16:AD44,"◎"),"")</f>
        <v/>
      </c>
      <c r="W44" s="234" t="str">
        <f>IF(B44="既設病床",はじめに入力してください!$K$12,IF(B44="新設病床",はじめに入力してください!$K$13,IF(B44="共通使用",1,"")))</f>
        <v/>
      </c>
      <c r="AC44" s="49" t="s">
        <v>69</v>
      </c>
      <c r="AD44" s="231" t="str">
        <f t="shared" si="2"/>
        <v>○</v>
      </c>
      <c r="AE44" s="35" t="str">
        <f t="shared" si="3"/>
        <v>申請しない場合は入力不要です。</v>
      </c>
      <c r="AF44" s="234" t="str">
        <f t="shared" si="4"/>
        <v>○</v>
      </c>
      <c r="AG44" s="234" t="str">
        <f t="shared" si="5"/>
        <v>○</v>
      </c>
      <c r="AH44" s="234" t="str">
        <f t="shared" si="6"/>
        <v>○</v>
      </c>
      <c r="AI44" s="231" t="str">
        <f t="shared" si="7"/>
        <v>○</v>
      </c>
      <c r="AJ44" s="14" t="str">
        <f t="shared" si="8"/>
        <v/>
      </c>
      <c r="AK44" s="41">
        <v>29</v>
      </c>
    </row>
    <row r="45" spans="1:37" ht="24.95" customHeight="1">
      <c r="A45" s="38">
        <v>30</v>
      </c>
      <c r="B45" s="313"/>
      <c r="C45" s="313"/>
      <c r="D45" s="313"/>
      <c r="E45" s="314"/>
      <c r="F45" s="315"/>
      <c r="G45" s="316"/>
      <c r="H45" s="316"/>
      <c r="I45" s="45">
        <f t="shared" si="0"/>
        <v>0</v>
      </c>
      <c r="J45" s="317"/>
      <c r="K45" s="45">
        <f t="shared" si="1"/>
        <v>0</v>
      </c>
      <c r="L45" s="232" t="str">
        <f>IF(AD45="◎",COUNTIF($AD$16:AD45,"◎"),"")</f>
        <v/>
      </c>
      <c r="W45" s="234" t="str">
        <f>IF(B45="既設病床",はじめに入力してください!$K$12,IF(B45="新設病床",はじめに入力してください!$K$13,IF(B45="共通使用",1,"")))</f>
        <v/>
      </c>
      <c r="AC45" s="49" t="s">
        <v>69</v>
      </c>
      <c r="AD45" s="231" t="str">
        <f t="shared" si="2"/>
        <v>○</v>
      </c>
      <c r="AE45" s="35" t="str">
        <f t="shared" si="3"/>
        <v>申請しない場合は入力不要です。</v>
      </c>
      <c r="AF45" s="234" t="str">
        <f t="shared" si="4"/>
        <v>○</v>
      </c>
      <c r="AG45" s="234" t="str">
        <f t="shared" si="5"/>
        <v>○</v>
      </c>
      <c r="AH45" s="234" t="str">
        <f t="shared" si="6"/>
        <v>○</v>
      </c>
      <c r="AI45" s="231" t="str">
        <f t="shared" si="7"/>
        <v>○</v>
      </c>
      <c r="AJ45" s="14" t="str">
        <f t="shared" si="8"/>
        <v/>
      </c>
      <c r="AK45" s="41">
        <v>30</v>
      </c>
    </row>
    <row r="46" spans="1:37" ht="24.95" customHeight="1">
      <c r="A46" s="38">
        <v>31</v>
      </c>
      <c r="B46" s="313"/>
      <c r="C46" s="313"/>
      <c r="D46" s="313"/>
      <c r="E46" s="314"/>
      <c r="F46" s="315"/>
      <c r="G46" s="316"/>
      <c r="H46" s="316"/>
      <c r="I46" s="45">
        <f t="shared" si="0"/>
        <v>0</v>
      </c>
      <c r="J46" s="317"/>
      <c r="K46" s="45">
        <f t="shared" si="1"/>
        <v>0</v>
      </c>
      <c r="L46" s="232" t="str">
        <f>IF(AD46="◎",COUNTIF($AD$16:AD46,"◎"),"")</f>
        <v/>
      </c>
      <c r="W46" s="234" t="str">
        <f>IF(B46="既設病床",はじめに入力してください!$K$12,IF(B46="新設病床",はじめに入力してください!$K$13,IF(B46="共通使用",1,"")))</f>
        <v/>
      </c>
      <c r="AC46" s="49" t="s">
        <v>69</v>
      </c>
      <c r="AD46" s="231" t="str">
        <f t="shared" si="2"/>
        <v>○</v>
      </c>
      <c r="AE46" s="35" t="str">
        <f t="shared" si="3"/>
        <v>申請しない場合は入力不要です。</v>
      </c>
      <c r="AF46" s="234" t="str">
        <f t="shared" si="4"/>
        <v>○</v>
      </c>
      <c r="AG46" s="234" t="str">
        <f t="shared" si="5"/>
        <v>○</v>
      </c>
      <c r="AH46" s="234" t="str">
        <f t="shared" si="6"/>
        <v>○</v>
      </c>
      <c r="AI46" s="231" t="str">
        <f t="shared" si="7"/>
        <v>○</v>
      </c>
      <c r="AJ46" s="14" t="str">
        <f t="shared" si="8"/>
        <v/>
      </c>
      <c r="AK46" s="41">
        <v>31</v>
      </c>
    </row>
    <row r="47" spans="1:37" ht="24.95" customHeight="1">
      <c r="A47" s="38">
        <v>32</v>
      </c>
      <c r="B47" s="313"/>
      <c r="C47" s="313"/>
      <c r="D47" s="313"/>
      <c r="E47" s="314"/>
      <c r="F47" s="315"/>
      <c r="G47" s="316"/>
      <c r="H47" s="316"/>
      <c r="I47" s="45">
        <f t="shared" si="0"/>
        <v>0</v>
      </c>
      <c r="J47" s="317"/>
      <c r="K47" s="45">
        <f t="shared" si="1"/>
        <v>0</v>
      </c>
      <c r="L47" s="232" t="str">
        <f>IF(AD47="◎",COUNTIF($AD$16:AD47,"◎"),"")</f>
        <v/>
      </c>
      <c r="W47" s="234" t="str">
        <f>IF(B47="既設病床",はじめに入力してください!$K$12,IF(B47="新設病床",はじめに入力してください!$K$13,IF(B47="共通使用",1,"")))</f>
        <v/>
      </c>
      <c r="AC47" s="49" t="s">
        <v>69</v>
      </c>
      <c r="AD47" s="231" t="str">
        <f t="shared" si="2"/>
        <v>○</v>
      </c>
      <c r="AE47" s="35" t="str">
        <f t="shared" si="3"/>
        <v>申請しない場合は入力不要です。</v>
      </c>
      <c r="AF47" s="234" t="str">
        <f t="shared" si="4"/>
        <v>○</v>
      </c>
      <c r="AG47" s="234" t="str">
        <f t="shared" si="5"/>
        <v>○</v>
      </c>
      <c r="AH47" s="234" t="str">
        <f t="shared" si="6"/>
        <v>○</v>
      </c>
      <c r="AI47" s="231" t="str">
        <f t="shared" si="7"/>
        <v>○</v>
      </c>
      <c r="AJ47" s="14" t="str">
        <f t="shared" si="8"/>
        <v/>
      </c>
      <c r="AK47" s="41">
        <v>32</v>
      </c>
    </row>
    <row r="48" spans="1:37" ht="24.95" customHeight="1">
      <c r="A48" s="38">
        <v>33</v>
      </c>
      <c r="B48" s="313"/>
      <c r="C48" s="313"/>
      <c r="D48" s="313"/>
      <c r="E48" s="314"/>
      <c r="F48" s="315"/>
      <c r="G48" s="316"/>
      <c r="H48" s="316"/>
      <c r="I48" s="45">
        <f t="shared" si="0"/>
        <v>0</v>
      </c>
      <c r="J48" s="317"/>
      <c r="K48" s="45">
        <f t="shared" si="1"/>
        <v>0</v>
      </c>
      <c r="L48" s="232" t="str">
        <f>IF(AD48="◎",COUNTIF($AD$16:AD48,"◎"),"")</f>
        <v/>
      </c>
      <c r="W48" s="234" t="str">
        <f>IF(B48="既設病床",はじめに入力してください!$K$12,IF(B48="新設病床",はじめに入力してください!$K$13,IF(B48="共通使用",1,"")))</f>
        <v/>
      </c>
      <c r="AC48" s="49" t="s">
        <v>69</v>
      </c>
      <c r="AD48" s="231" t="str">
        <f t="shared" si="2"/>
        <v>○</v>
      </c>
      <c r="AE48" s="35" t="str">
        <f t="shared" si="3"/>
        <v>申請しない場合は入力不要です。</v>
      </c>
      <c r="AF48" s="234" t="str">
        <f t="shared" si="4"/>
        <v>○</v>
      </c>
      <c r="AG48" s="234" t="str">
        <f t="shared" si="5"/>
        <v>○</v>
      </c>
      <c r="AH48" s="234" t="str">
        <f t="shared" si="6"/>
        <v>○</v>
      </c>
      <c r="AI48" s="231" t="str">
        <f t="shared" si="7"/>
        <v>○</v>
      </c>
      <c r="AJ48" s="14" t="str">
        <f t="shared" si="8"/>
        <v/>
      </c>
      <c r="AK48" s="41">
        <v>33</v>
      </c>
    </row>
    <row r="49" spans="1:37" ht="24.95" customHeight="1">
      <c r="A49" s="38">
        <v>34</v>
      </c>
      <c r="B49" s="313"/>
      <c r="C49" s="313"/>
      <c r="D49" s="313"/>
      <c r="E49" s="314"/>
      <c r="F49" s="315"/>
      <c r="G49" s="316"/>
      <c r="H49" s="316"/>
      <c r="I49" s="45">
        <f t="shared" si="0"/>
        <v>0</v>
      </c>
      <c r="J49" s="317"/>
      <c r="K49" s="45">
        <f t="shared" si="1"/>
        <v>0</v>
      </c>
      <c r="L49" s="232" t="str">
        <f>IF(AD49="◎",COUNTIF($AD$16:AD49,"◎"),"")</f>
        <v/>
      </c>
      <c r="W49" s="234" t="str">
        <f>IF(B49="既設病床",はじめに入力してください!$K$12,IF(B49="新設病床",はじめに入力してください!$K$13,IF(B49="共通使用",1,"")))</f>
        <v/>
      </c>
      <c r="AC49" s="49" t="s">
        <v>69</v>
      </c>
      <c r="AD49" s="231" t="str">
        <f t="shared" si="2"/>
        <v>○</v>
      </c>
      <c r="AE49" s="35" t="str">
        <f t="shared" si="3"/>
        <v>申請しない場合は入力不要です。</v>
      </c>
      <c r="AF49" s="234" t="str">
        <f t="shared" si="4"/>
        <v>○</v>
      </c>
      <c r="AG49" s="234" t="str">
        <f t="shared" si="5"/>
        <v>○</v>
      </c>
      <c r="AH49" s="234" t="str">
        <f t="shared" si="6"/>
        <v>○</v>
      </c>
      <c r="AI49" s="231" t="str">
        <f t="shared" si="7"/>
        <v>○</v>
      </c>
      <c r="AJ49" s="14" t="str">
        <f t="shared" si="8"/>
        <v/>
      </c>
      <c r="AK49" s="41">
        <v>34</v>
      </c>
    </row>
    <row r="50" spans="1:37" ht="24.95" customHeight="1">
      <c r="A50" s="38">
        <v>35</v>
      </c>
      <c r="B50" s="313"/>
      <c r="C50" s="313"/>
      <c r="D50" s="313"/>
      <c r="E50" s="314"/>
      <c r="F50" s="315"/>
      <c r="G50" s="316"/>
      <c r="H50" s="316"/>
      <c r="I50" s="45">
        <f t="shared" si="0"/>
        <v>0</v>
      </c>
      <c r="J50" s="317"/>
      <c r="K50" s="45">
        <f t="shared" si="1"/>
        <v>0</v>
      </c>
      <c r="L50" s="232" t="str">
        <f>IF(AD50="◎",COUNTIF($AD$16:AD50,"◎"),"")</f>
        <v/>
      </c>
      <c r="W50" s="234" t="str">
        <f>IF(B50="既設病床",はじめに入力してください!$K$12,IF(B50="新設病床",はじめに入力してください!$K$13,IF(B50="共通使用",1,"")))</f>
        <v/>
      </c>
      <c r="AC50" s="49" t="s">
        <v>69</v>
      </c>
      <c r="AD50" s="231" t="str">
        <f t="shared" si="2"/>
        <v>○</v>
      </c>
      <c r="AE50" s="35" t="str">
        <f t="shared" si="3"/>
        <v>申請しない場合は入力不要です。</v>
      </c>
      <c r="AF50" s="234" t="str">
        <f t="shared" si="4"/>
        <v>○</v>
      </c>
      <c r="AG50" s="234" t="str">
        <f t="shared" si="5"/>
        <v>○</v>
      </c>
      <c r="AH50" s="234" t="str">
        <f t="shared" si="6"/>
        <v>○</v>
      </c>
      <c r="AI50" s="231" t="str">
        <f t="shared" si="7"/>
        <v>○</v>
      </c>
      <c r="AJ50" s="14" t="str">
        <f t="shared" si="8"/>
        <v/>
      </c>
      <c r="AK50" s="41">
        <v>35</v>
      </c>
    </row>
    <row r="51" spans="1:37" ht="24.95" customHeight="1">
      <c r="A51" s="38">
        <v>36</v>
      </c>
      <c r="B51" s="313"/>
      <c r="C51" s="313"/>
      <c r="D51" s="313"/>
      <c r="E51" s="314"/>
      <c r="F51" s="315"/>
      <c r="G51" s="316"/>
      <c r="H51" s="316"/>
      <c r="I51" s="45">
        <f t="shared" si="0"/>
        <v>0</v>
      </c>
      <c r="J51" s="317"/>
      <c r="K51" s="45">
        <f t="shared" si="1"/>
        <v>0</v>
      </c>
      <c r="L51" s="232" t="str">
        <f>IF(AD51="◎",COUNTIF($AD$16:AD51,"◎"),"")</f>
        <v/>
      </c>
      <c r="W51" s="234" t="str">
        <f>IF(B51="既設病床",はじめに入力してください!$K$12,IF(B51="新設病床",はじめに入力してください!$K$13,IF(B51="共通使用",1,"")))</f>
        <v/>
      </c>
      <c r="AC51" s="49" t="s">
        <v>69</v>
      </c>
      <c r="AD51" s="231" t="str">
        <f t="shared" si="2"/>
        <v>○</v>
      </c>
      <c r="AE51" s="35" t="str">
        <f t="shared" si="3"/>
        <v>申請しない場合は入力不要です。</v>
      </c>
      <c r="AF51" s="234" t="str">
        <f t="shared" si="4"/>
        <v>○</v>
      </c>
      <c r="AG51" s="234" t="str">
        <f t="shared" si="5"/>
        <v>○</v>
      </c>
      <c r="AH51" s="234" t="str">
        <f t="shared" si="6"/>
        <v>○</v>
      </c>
      <c r="AI51" s="231" t="str">
        <f t="shared" si="7"/>
        <v>○</v>
      </c>
      <c r="AJ51" s="14" t="str">
        <f t="shared" si="8"/>
        <v/>
      </c>
      <c r="AK51" s="41">
        <v>36</v>
      </c>
    </row>
    <row r="52" spans="1:37" ht="24.95" customHeight="1">
      <c r="A52" s="38">
        <v>37</v>
      </c>
      <c r="B52" s="313"/>
      <c r="C52" s="313"/>
      <c r="D52" s="313"/>
      <c r="E52" s="314"/>
      <c r="F52" s="315"/>
      <c r="G52" s="316"/>
      <c r="H52" s="316"/>
      <c r="I52" s="45">
        <f t="shared" si="0"/>
        <v>0</v>
      </c>
      <c r="J52" s="317"/>
      <c r="K52" s="45">
        <f t="shared" si="1"/>
        <v>0</v>
      </c>
      <c r="L52" s="232" t="str">
        <f>IF(AD52="◎",COUNTIF($AD$16:AD52,"◎"),"")</f>
        <v/>
      </c>
      <c r="W52" s="234" t="str">
        <f>IF(B52="既設病床",はじめに入力してください!$K$12,IF(B52="新設病床",はじめに入力してください!$K$13,IF(B52="共通使用",1,"")))</f>
        <v/>
      </c>
      <c r="AC52" s="49" t="s">
        <v>69</v>
      </c>
      <c r="AD52" s="231" t="str">
        <f t="shared" si="2"/>
        <v>○</v>
      </c>
      <c r="AE52" s="35" t="str">
        <f t="shared" si="3"/>
        <v>申請しない場合は入力不要です。</v>
      </c>
      <c r="AF52" s="234" t="str">
        <f t="shared" si="4"/>
        <v>○</v>
      </c>
      <c r="AG52" s="234" t="str">
        <f t="shared" si="5"/>
        <v>○</v>
      </c>
      <c r="AH52" s="234" t="str">
        <f t="shared" si="6"/>
        <v>○</v>
      </c>
      <c r="AI52" s="231" t="str">
        <f t="shared" si="7"/>
        <v>○</v>
      </c>
      <c r="AJ52" s="14" t="str">
        <f t="shared" si="8"/>
        <v/>
      </c>
      <c r="AK52" s="41">
        <v>37</v>
      </c>
    </row>
    <row r="53" spans="1:37" ht="24.95" customHeight="1">
      <c r="A53" s="38">
        <v>38</v>
      </c>
      <c r="B53" s="313"/>
      <c r="C53" s="313"/>
      <c r="D53" s="313"/>
      <c r="E53" s="314"/>
      <c r="F53" s="315"/>
      <c r="G53" s="316"/>
      <c r="H53" s="316"/>
      <c r="I53" s="45">
        <f t="shared" si="0"/>
        <v>0</v>
      </c>
      <c r="J53" s="317"/>
      <c r="K53" s="45">
        <f t="shared" si="1"/>
        <v>0</v>
      </c>
      <c r="L53" s="232" t="str">
        <f>IF(AD53="◎",COUNTIF($AD$16:AD53,"◎"),"")</f>
        <v/>
      </c>
      <c r="W53" s="234" t="str">
        <f>IF(B53="既設病床",はじめに入力してください!$K$12,IF(B53="新設病床",はじめに入力してください!$K$13,IF(B53="共通使用",1,"")))</f>
        <v/>
      </c>
      <c r="AC53" s="49" t="s">
        <v>69</v>
      </c>
      <c r="AD53" s="231" t="str">
        <f t="shared" si="2"/>
        <v>○</v>
      </c>
      <c r="AE53" s="35" t="str">
        <f t="shared" si="3"/>
        <v>申請しない場合は入力不要です。</v>
      </c>
      <c r="AF53" s="234" t="str">
        <f t="shared" si="4"/>
        <v>○</v>
      </c>
      <c r="AG53" s="234" t="str">
        <f t="shared" si="5"/>
        <v>○</v>
      </c>
      <c r="AH53" s="234" t="str">
        <f t="shared" si="6"/>
        <v>○</v>
      </c>
      <c r="AI53" s="231" t="str">
        <f t="shared" si="7"/>
        <v>○</v>
      </c>
      <c r="AJ53" s="14" t="str">
        <f t="shared" si="8"/>
        <v/>
      </c>
      <c r="AK53" s="41">
        <v>38</v>
      </c>
    </row>
    <row r="54" spans="1:37" ht="24.95" customHeight="1">
      <c r="A54" s="38">
        <v>39</v>
      </c>
      <c r="B54" s="313"/>
      <c r="C54" s="313"/>
      <c r="D54" s="313"/>
      <c r="E54" s="314"/>
      <c r="F54" s="315"/>
      <c r="G54" s="316"/>
      <c r="H54" s="316"/>
      <c r="I54" s="45">
        <f t="shared" si="0"/>
        <v>0</v>
      </c>
      <c r="J54" s="317"/>
      <c r="K54" s="45">
        <f t="shared" si="1"/>
        <v>0</v>
      </c>
      <c r="L54" s="232" t="str">
        <f>IF(AD54="◎",COUNTIF($AD$16:AD54,"◎"),"")</f>
        <v/>
      </c>
      <c r="W54" s="234" t="str">
        <f>IF(B54="既設病床",はじめに入力してください!$K$12,IF(B54="新設病床",はじめに入力してください!$K$13,IF(B54="共通使用",1,"")))</f>
        <v/>
      </c>
      <c r="AC54" s="49" t="s">
        <v>69</v>
      </c>
      <c r="AD54" s="231" t="str">
        <f t="shared" si="2"/>
        <v>○</v>
      </c>
      <c r="AE54" s="35" t="str">
        <f t="shared" si="3"/>
        <v>申請しない場合は入力不要です。</v>
      </c>
      <c r="AF54" s="234" t="str">
        <f t="shared" si="4"/>
        <v>○</v>
      </c>
      <c r="AG54" s="234" t="str">
        <f t="shared" si="5"/>
        <v>○</v>
      </c>
      <c r="AH54" s="234" t="str">
        <f t="shared" si="6"/>
        <v>○</v>
      </c>
      <c r="AI54" s="231" t="str">
        <f t="shared" si="7"/>
        <v>○</v>
      </c>
      <c r="AJ54" s="14" t="str">
        <f t="shared" si="8"/>
        <v/>
      </c>
      <c r="AK54" s="41">
        <v>39</v>
      </c>
    </row>
    <row r="55" spans="1:37" ht="24.95" customHeight="1">
      <c r="A55" s="38">
        <v>40</v>
      </c>
      <c r="B55" s="313"/>
      <c r="C55" s="313"/>
      <c r="D55" s="313"/>
      <c r="E55" s="314"/>
      <c r="F55" s="315"/>
      <c r="G55" s="316"/>
      <c r="H55" s="316"/>
      <c r="I55" s="45">
        <f t="shared" si="0"/>
        <v>0</v>
      </c>
      <c r="J55" s="317"/>
      <c r="K55" s="45">
        <f t="shared" si="1"/>
        <v>0</v>
      </c>
      <c r="L55" s="232" t="str">
        <f>IF(AD55="◎",COUNTIF($AD$16:AD55,"◎"),"")</f>
        <v/>
      </c>
      <c r="W55" s="234" t="str">
        <f>IF(B55="既設病床",はじめに入力してください!$K$12,IF(B55="新設病床",はじめに入力してください!$K$13,IF(B55="共通使用",1,"")))</f>
        <v/>
      </c>
      <c r="AC55" s="49" t="s">
        <v>69</v>
      </c>
      <c r="AD55" s="231" t="str">
        <f t="shared" si="2"/>
        <v>○</v>
      </c>
      <c r="AE55" s="35" t="str">
        <f t="shared" si="3"/>
        <v>申請しない場合は入力不要です。</v>
      </c>
      <c r="AF55" s="234" t="str">
        <f t="shared" si="4"/>
        <v>○</v>
      </c>
      <c r="AG55" s="234" t="str">
        <f t="shared" si="5"/>
        <v>○</v>
      </c>
      <c r="AH55" s="234" t="str">
        <f t="shared" si="6"/>
        <v>○</v>
      </c>
      <c r="AI55" s="231" t="str">
        <f t="shared" si="7"/>
        <v>○</v>
      </c>
      <c r="AJ55" s="14" t="str">
        <f t="shared" si="8"/>
        <v/>
      </c>
      <c r="AK55" s="41">
        <v>40</v>
      </c>
    </row>
    <row r="56" spans="1:37" ht="24.95" customHeight="1">
      <c r="A56" s="38">
        <v>41</v>
      </c>
      <c r="B56" s="313"/>
      <c r="C56" s="313"/>
      <c r="D56" s="313"/>
      <c r="E56" s="314"/>
      <c r="F56" s="315"/>
      <c r="G56" s="316"/>
      <c r="H56" s="316"/>
      <c r="I56" s="45">
        <f t="shared" si="0"/>
        <v>0</v>
      </c>
      <c r="J56" s="317"/>
      <c r="K56" s="45">
        <f t="shared" si="1"/>
        <v>0</v>
      </c>
      <c r="L56" s="232" t="str">
        <f>IF(AD56="◎",COUNTIF($AD$16:AD56,"◎"),"")</f>
        <v/>
      </c>
      <c r="W56" s="234" t="str">
        <f>IF(B56="既設病床",はじめに入力してください!$K$12,IF(B56="新設病床",はじめに入力してください!$K$13,IF(B56="共通使用",1,"")))</f>
        <v/>
      </c>
      <c r="AC56" s="49" t="s">
        <v>69</v>
      </c>
      <c r="AD56" s="231" t="str">
        <f t="shared" si="2"/>
        <v>○</v>
      </c>
      <c r="AE56" s="35" t="str">
        <f t="shared" si="3"/>
        <v>申請しない場合は入力不要です。</v>
      </c>
      <c r="AF56" s="234" t="str">
        <f t="shared" si="4"/>
        <v>○</v>
      </c>
      <c r="AG56" s="234" t="str">
        <f t="shared" si="5"/>
        <v>○</v>
      </c>
      <c r="AH56" s="234" t="str">
        <f t="shared" si="6"/>
        <v>○</v>
      </c>
      <c r="AI56" s="231" t="str">
        <f t="shared" si="7"/>
        <v>○</v>
      </c>
      <c r="AJ56" s="14" t="str">
        <f t="shared" si="8"/>
        <v/>
      </c>
      <c r="AK56" s="41">
        <v>41</v>
      </c>
    </row>
    <row r="57" spans="1:37" ht="24.95" customHeight="1">
      <c r="A57" s="38">
        <v>42</v>
      </c>
      <c r="B57" s="313"/>
      <c r="C57" s="313"/>
      <c r="D57" s="313"/>
      <c r="E57" s="314"/>
      <c r="F57" s="315"/>
      <c r="G57" s="316"/>
      <c r="H57" s="316"/>
      <c r="I57" s="45">
        <f t="shared" si="0"/>
        <v>0</v>
      </c>
      <c r="J57" s="317"/>
      <c r="K57" s="45">
        <f t="shared" si="1"/>
        <v>0</v>
      </c>
      <c r="L57" s="232" t="str">
        <f>IF(AD57="◎",COUNTIF($AD$16:AD57,"◎"),"")</f>
        <v/>
      </c>
      <c r="W57" s="234" t="str">
        <f>IF(B57="既設病床",はじめに入力してください!$K$12,IF(B57="新設病床",はじめに入力してください!$K$13,IF(B57="共通使用",1,"")))</f>
        <v/>
      </c>
      <c r="AC57" s="49" t="s">
        <v>69</v>
      </c>
      <c r="AD57" s="231" t="str">
        <f t="shared" si="2"/>
        <v>○</v>
      </c>
      <c r="AE57" s="35" t="str">
        <f t="shared" si="3"/>
        <v>申請しない場合は入力不要です。</v>
      </c>
      <c r="AF57" s="234" t="str">
        <f t="shared" si="4"/>
        <v>○</v>
      </c>
      <c r="AG57" s="234" t="str">
        <f t="shared" si="5"/>
        <v>○</v>
      </c>
      <c r="AH57" s="234" t="str">
        <f t="shared" si="6"/>
        <v>○</v>
      </c>
      <c r="AI57" s="231" t="str">
        <f t="shared" si="7"/>
        <v>○</v>
      </c>
      <c r="AJ57" s="14" t="str">
        <f t="shared" si="8"/>
        <v/>
      </c>
      <c r="AK57" s="41">
        <v>42</v>
      </c>
    </row>
    <row r="58" spans="1:37" ht="24.95" customHeight="1">
      <c r="A58" s="38">
        <v>43</v>
      </c>
      <c r="B58" s="313"/>
      <c r="C58" s="313"/>
      <c r="D58" s="313"/>
      <c r="E58" s="314"/>
      <c r="F58" s="315"/>
      <c r="G58" s="316"/>
      <c r="H58" s="316"/>
      <c r="I58" s="45">
        <f t="shared" si="0"/>
        <v>0</v>
      </c>
      <c r="J58" s="317"/>
      <c r="K58" s="45">
        <f t="shared" si="1"/>
        <v>0</v>
      </c>
      <c r="L58" s="232" t="str">
        <f>IF(AD58="◎",COUNTIF($AD$16:AD58,"◎"),"")</f>
        <v/>
      </c>
      <c r="W58" s="234" t="str">
        <f>IF(B58="既設病床",はじめに入力してください!$K$12,IF(B58="新設病床",はじめに入力してください!$K$13,IF(B58="共通使用",1,"")))</f>
        <v/>
      </c>
      <c r="AC58" s="49" t="s">
        <v>69</v>
      </c>
      <c r="AD58" s="231" t="str">
        <f t="shared" si="2"/>
        <v>○</v>
      </c>
      <c r="AE58" s="35" t="str">
        <f t="shared" si="3"/>
        <v>申請しない場合は入力不要です。</v>
      </c>
      <c r="AF58" s="234" t="str">
        <f t="shared" si="4"/>
        <v>○</v>
      </c>
      <c r="AG58" s="234" t="str">
        <f t="shared" si="5"/>
        <v>○</v>
      </c>
      <c r="AH58" s="234" t="str">
        <f t="shared" si="6"/>
        <v>○</v>
      </c>
      <c r="AI58" s="231" t="str">
        <f t="shared" si="7"/>
        <v>○</v>
      </c>
      <c r="AJ58" s="14" t="str">
        <f t="shared" si="8"/>
        <v/>
      </c>
      <c r="AK58" s="41">
        <v>43</v>
      </c>
    </row>
    <row r="59" spans="1:37" ht="24.95" customHeight="1">
      <c r="A59" s="38">
        <v>44</v>
      </c>
      <c r="B59" s="313"/>
      <c r="C59" s="313"/>
      <c r="D59" s="313"/>
      <c r="E59" s="314"/>
      <c r="F59" s="315"/>
      <c r="G59" s="316"/>
      <c r="H59" s="316"/>
      <c r="I59" s="45">
        <f t="shared" si="0"/>
        <v>0</v>
      </c>
      <c r="J59" s="317"/>
      <c r="K59" s="45">
        <f t="shared" si="1"/>
        <v>0</v>
      </c>
      <c r="L59" s="232" t="str">
        <f>IF(AD59="◎",COUNTIF($AD$16:AD59,"◎"),"")</f>
        <v/>
      </c>
      <c r="W59" s="234" t="str">
        <f>IF(B59="既設病床",はじめに入力してください!$K$12,IF(B59="新設病床",はじめに入力してください!$K$13,IF(B59="共通使用",1,"")))</f>
        <v/>
      </c>
      <c r="AC59" s="49" t="s">
        <v>69</v>
      </c>
      <c r="AD59" s="231" t="str">
        <f t="shared" si="2"/>
        <v>○</v>
      </c>
      <c r="AE59" s="35" t="str">
        <f t="shared" si="3"/>
        <v>申請しない場合は入力不要です。</v>
      </c>
      <c r="AF59" s="234" t="str">
        <f t="shared" si="4"/>
        <v>○</v>
      </c>
      <c r="AG59" s="234" t="str">
        <f t="shared" si="5"/>
        <v>○</v>
      </c>
      <c r="AH59" s="234" t="str">
        <f t="shared" si="6"/>
        <v>○</v>
      </c>
      <c r="AI59" s="231" t="str">
        <f t="shared" si="7"/>
        <v>○</v>
      </c>
      <c r="AJ59" s="14" t="str">
        <f t="shared" si="8"/>
        <v/>
      </c>
      <c r="AK59" s="41">
        <v>44</v>
      </c>
    </row>
    <row r="60" spans="1:37" ht="24.95" customHeight="1">
      <c r="A60" s="38">
        <v>45</v>
      </c>
      <c r="B60" s="313"/>
      <c r="C60" s="313"/>
      <c r="D60" s="313"/>
      <c r="E60" s="314"/>
      <c r="F60" s="315"/>
      <c r="G60" s="316"/>
      <c r="H60" s="316"/>
      <c r="I60" s="45">
        <f t="shared" si="0"/>
        <v>0</v>
      </c>
      <c r="J60" s="317"/>
      <c r="K60" s="45">
        <f t="shared" si="1"/>
        <v>0</v>
      </c>
      <c r="L60" s="232" t="str">
        <f>IF(AD60="◎",COUNTIF($AD$16:AD60,"◎"),"")</f>
        <v/>
      </c>
      <c r="W60" s="234" t="str">
        <f>IF(B60="既設病床",はじめに入力してください!$K$12,IF(B60="新設病床",はじめに入力してください!$K$13,IF(B60="共通使用",1,"")))</f>
        <v/>
      </c>
      <c r="AC60" s="49" t="s">
        <v>69</v>
      </c>
      <c r="AD60" s="231" t="str">
        <f t="shared" si="2"/>
        <v>○</v>
      </c>
      <c r="AE60" s="35" t="str">
        <f t="shared" si="3"/>
        <v>申請しない場合は入力不要です。</v>
      </c>
      <c r="AF60" s="234" t="str">
        <f t="shared" si="4"/>
        <v>○</v>
      </c>
      <c r="AG60" s="234" t="str">
        <f t="shared" si="5"/>
        <v>○</v>
      </c>
      <c r="AH60" s="234" t="str">
        <f t="shared" si="6"/>
        <v>○</v>
      </c>
      <c r="AI60" s="231" t="str">
        <f t="shared" si="7"/>
        <v>○</v>
      </c>
      <c r="AJ60" s="14" t="str">
        <f t="shared" si="8"/>
        <v/>
      </c>
      <c r="AK60" s="41">
        <v>45</v>
      </c>
    </row>
    <row r="61" spans="1:37" ht="24.95" customHeight="1">
      <c r="A61" s="38">
        <v>46</v>
      </c>
      <c r="B61" s="313"/>
      <c r="C61" s="313"/>
      <c r="D61" s="313"/>
      <c r="E61" s="314"/>
      <c r="F61" s="315"/>
      <c r="G61" s="316"/>
      <c r="H61" s="316"/>
      <c r="I61" s="45">
        <f t="shared" si="0"/>
        <v>0</v>
      </c>
      <c r="J61" s="317"/>
      <c r="K61" s="45">
        <f t="shared" si="1"/>
        <v>0</v>
      </c>
      <c r="L61" s="232" t="str">
        <f>IF(AD61="◎",COUNTIF($AD$16:AD61,"◎"),"")</f>
        <v/>
      </c>
      <c r="W61" s="234" t="str">
        <f>IF(B61="既設病床",はじめに入力してください!$K$12,IF(B61="新設病床",はじめに入力してください!$K$13,IF(B61="共通使用",1,"")))</f>
        <v/>
      </c>
      <c r="AC61" s="49" t="s">
        <v>69</v>
      </c>
      <c r="AD61" s="231" t="str">
        <f t="shared" si="2"/>
        <v>○</v>
      </c>
      <c r="AE61" s="35" t="str">
        <f t="shared" si="3"/>
        <v>申請しない場合は入力不要です。</v>
      </c>
      <c r="AF61" s="234" t="str">
        <f t="shared" si="4"/>
        <v>○</v>
      </c>
      <c r="AG61" s="234" t="str">
        <f t="shared" si="5"/>
        <v>○</v>
      </c>
      <c r="AH61" s="234" t="str">
        <f t="shared" si="6"/>
        <v>○</v>
      </c>
      <c r="AI61" s="231" t="str">
        <f t="shared" si="7"/>
        <v>○</v>
      </c>
      <c r="AJ61" s="14" t="str">
        <f t="shared" si="8"/>
        <v/>
      </c>
      <c r="AK61" s="41">
        <v>46</v>
      </c>
    </row>
    <row r="62" spans="1:37" ht="24.95" customHeight="1">
      <c r="A62" s="38">
        <v>47</v>
      </c>
      <c r="B62" s="313"/>
      <c r="C62" s="313"/>
      <c r="D62" s="313"/>
      <c r="E62" s="314"/>
      <c r="F62" s="315"/>
      <c r="G62" s="316"/>
      <c r="H62" s="316"/>
      <c r="I62" s="45">
        <f t="shared" si="0"/>
        <v>0</v>
      </c>
      <c r="J62" s="317"/>
      <c r="K62" s="45">
        <f t="shared" si="1"/>
        <v>0</v>
      </c>
      <c r="L62" s="232" t="str">
        <f>IF(AD62="◎",COUNTIF($AD$16:AD62,"◎"),"")</f>
        <v/>
      </c>
      <c r="W62" s="234" t="str">
        <f>IF(B62="既設病床",はじめに入力してください!$K$12,IF(B62="新設病床",はじめに入力してください!$K$13,IF(B62="共通使用",1,"")))</f>
        <v/>
      </c>
      <c r="AC62" s="49" t="s">
        <v>69</v>
      </c>
      <c r="AD62" s="231" t="str">
        <f t="shared" si="2"/>
        <v>○</v>
      </c>
      <c r="AE62" s="35" t="str">
        <f t="shared" si="3"/>
        <v>申請しない場合は入力不要です。</v>
      </c>
      <c r="AF62" s="234" t="str">
        <f t="shared" si="4"/>
        <v>○</v>
      </c>
      <c r="AG62" s="234" t="str">
        <f t="shared" si="5"/>
        <v>○</v>
      </c>
      <c r="AH62" s="234" t="str">
        <f t="shared" si="6"/>
        <v>○</v>
      </c>
      <c r="AI62" s="231" t="str">
        <f t="shared" si="7"/>
        <v>○</v>
      </c>
      <c r="AJ62" s="14" t="str">
        <f t="shared" si="8"/>
        <v/>
      </c>
      <c r="AK62" s="41">
        <v>47</v>
      </c>
    </row>
    <row r="63" spans="1:37" ht="24.95" customHeight="1">
      <c r="A63" s="38">
        <v>48</v>
      </c>
      <c r="B63" s="313"/>
      <c r="C63" s="313"/>
      <c r="D63" s="313"/>
      <c r="E63" s="314"/>
      <c r="F63" s="315"/>
      <c r="G63" s="316"/>
      <c r="H63" s="316"/>
      <c r="I63" s="45">
        <f t="shared" si="0"/>
        <v>0</v>
      </c>
      <c r="J63" s="317"/>
      <c r="K63" s="45">
        <f t="shared" si="1"/>
        <v>0</v>
      </c>
      <c r="L63" s="232" t="str">
        <f>IF(AD63="◎",COUNTIF($AD$16:AD63,"◎"),"")</f>
        <v/>
      </c>
      <c r="W63" s="234" t="str">
        <f>IF(B63="既設病床",はじめに入力してください!$K$12,IF(B63="新設病床",はじめに入力してください!$K$13,IF(B63="共通使用",1,"")))</f>
        <v/>
      </c>
      <c r="AC63" s="49" t="s">
        <v>69</v>
      </c>
      <c r="AD63" s="231" t="str">
        <f t="shared" si="2"/>
        <v>○</v>
      </c>
      <c r="AE63" s="35" t="str">
        <f t="shared" si="3"/>
        <v>申請しない場合は入力不要です。</v>
      </c>
      <c r="AF63" s="234" t="str">
        <f t="shared" si="4"/>
        <v>○</v>
      </c>
      <c r="AG63" s="234" t="str">
        <f t="shared" si="5"/>
        <v>○</v>
      </c>
      <c r="AH63" s="234" t="str">
        <f t="shared" si="6"/>
        <v>○</v>
      </c>
      <c r="AI63" s="231" t="str">
        <f t="shared" si="7"/>
        <v>○</v>
      </c>
      <c r="AJ63" s="14" t="str">
        <f t="shared" si="8"/>
        <v/>
      </c>
      <c r="AK63" s="41">
        <v>48</v>
      </c>
    </row>
    <row r="64" spans="1:37" ht="24.95" customHeight="1">
      <c r="A64" s="38">
        <v>49</v>
      </c>
      <c r="B64" s="313"/>
      <c r="C64" s="313"/>
      <c r="D64" s="313"/>
      <c r="E64" s="314"/>
      <c r="F64" s="315"/>
      <c r="G64" s="316"/>
      <c r="H64" s="316"/>
      <c r="I64" s="45">
        <f t="shared" si="0"/>
        <v>0</v>
      </c>
      <c r="J64" s="317"/>
      <c r="K64" s="45">
        <f t="shared" si="1"/>
        <v>0</v>
      </c>
      <c r="L64" s="232" t="str">
        <f>IF(AD64="◎",COUNTIF($AD$16:AD64,"◎"),"")</f>
        <v/>
      </c>
      <c r="W64" s="234" t="str">
        <f>IF(B64="既設病床",はじめに入力してください!$K$12,IF(B64="新設病床",はじめに入力してください!$K$13,IF(B64="共通使用",1,"")))</f>
        <v/>
      </c>
      <c r="AC64" s="49" t="s">
        <v>69</v>
      </c>
      <c r="AD64" s="231" t="str">
        <f t="shared" si="2"/>
        <v>○</v>
      </c>
      <c r="AE64" s="35" t="str">
        <f t="shared" si="3"/>
        <v>申請しない場合は入力不要です。</v>
      </c>
      <c r="AF64" s="234" t="str">
        <f t="shared" si="4"/>
        <v>○</v>
      </c>
      <c r="AG64" s="234" t="str">
        <f t="shared" si="5"/>
        <v>○</v>
      </c>
      <c r="AH64" s="234" t="str">
        <f t="shared" si="6"/>
        <v>○</v>
      </c>
      <c r="AI64" s="231" t="str">
        <f t="shared" si="7"/>
        <v>○</v>
      </c>
      <c r="AJ64" s="14" t="str">
        <f t="shared" si="8"/>
        <v/>
      </c>
      <c r="AK64" s="41">
        <v>49</v>
      </c>
    </row>
    <row r="65" spans="1:37" ht="24.95" customHeight="1">
      <c r="A65" s="38">
        <v>50</v>
      </c>
      <c r="B65" s="313"/>
      <c r="C65" s="313"/>
      <c r="D65" s="313"/>
      <c r="E65" s="314"/>
      <c r="F65" s="315"/>
      <c r="G65" s="316"/>
      <c r="H65" s="316"/>
      <c r="I65" s="45">
        <f t="shared" si="0"/>
        <v>0</v>
      </c>
      <c r="J65" s="317"/>
      <c r="K65" s="45">
        <f t="shared" si="1"/>
        <v>0</v>
      </c>
      <c r="L65" s="232" t="str">
        <f>IF(AD65="◎",COUNTIF($AD$16:AD65,"◎"),"")</f>
        <v/>
      </c>
      <c r="W65" s="234" t="str">
        <f>IF(B65="既設病床",はじめに入力してください!$K$12,IF(B65="新設病床",はじめに入力してください!$K$13,IF(B65="共通使用",1,"")))</f>
        <v/>
      </c>
      <c r="AC65" s="49" t="s">
        <v>69</v>
      </c>
      <c r="AD65" s="231" t="str">
        <f t="shared" si="2"/>
        <v>○</v>
      </c>
      <c r="AE65" s="35" t="str">
        <f t="shared" si="3"/>
        <v>申請しない場合は入力不要です。</v>
      </c>
      <c r="AF65" s="234" t="str">
        <f t="shared" si="4"/>
        <v>○</v>
      </c>
      <c r="AG65" s="234" t="str">
        <f t="shared" si="5"/>
        <v>○</v>
      </c>
      <c r="AH65" s="234" t="str">
        <f t="shared" si="6"/>
        <v>○</v>
      </c>
      <c r="AI65" s="231" t="str">
        <f t="shared" si="7"/>
        <v>○</v>
      </c>
      <c r="AJ65" s="14" t="str">
        <f t="shared" si="8"/>
        <v/>
      </c>
      <c r="AK65" s="41">
        <v>50</v>
      </c>
    </row>
  </sheetData>
  <sheetProtection algorithmName="SHA-512" hashValue="oDbDw+96hfDGHdPX1OmvZ7wFWyx/ErcUHMCLK9bLa2GJUEGruFaQ4Exk/IH7ZoxgoufBlwmDdA/yvH/dsmURcw==" saltValue="BVxXZ2s06BLKtv0YN0yQrA==" spinCount="100000" sheet="1" insertRows="0"/>
  <mergeCells count="29">
    <mergeCell ref="F2:G2"/>
    <mergeCell ref="H2:L2"/>
    <mergeCell ref="B3:L6"/>
    <mergeCell ref="AD5:AD6"/>
    <mergeCell ref="AD7:AD13"/>
    <mergeCell ref="H9:I9"/>
    <mergeCell ref="K9:L9"/>
    <mergeCell ref="J10:J11"/>
    <mergeCell ref="B14:D14"/>
    <mergeCell ref="E14:F14"/>
    <mergeCell ref="G14:J14"/>
    <mergeCell ref="K14:K15"/>
    <mergeCell ref="L14:L15"/>
    <mergeCell ref="AY18:BC18"/>
    <mergeCell ref="BD18:BH18"/>
    <mergeCell ref="BS18:BW20"/>
    <mergeCell ref="AY19:BC23"/>
    <mergeCell ref="BD19:BH23"/>
    <mergeCell ref="BQ19:BQ20"/>
    <mergeCell ref="BR19:BR20"/>
    <mergeCell ref="AE5:AG6"/>
    <mergeCell ref="AE7:AG13"/>
    <mergeCell ref="B9:C9"/>
    <mergeCell ref="B10:C10"/>
    <mergeCell ref="B11:C11"/>
    <mergeCell ref="B8:L8"/>
    <mergeCell ref="H10:I11"/>
    <mergeCell ref="K10:L11"/>
    <mergeCell ref="B13:L13"/>
  </mergeCells>
  <phoneticPr fontId="1"/>
  <conditionalFormatting sqref="AY19">
    <cfRule type="containsText" dxfId="102" priority="13" operator="containsText" text="（補助対象員数）">
      <formula>NOT(ISERROR(SEARCH("（補助対象員数）",AY19)))</formula>
    </cfRule>
  </conditionalFormatting>
  <conditionalFormatting sqref="AF16:AF65">
    <cfRule type="containsText" dxfId="101" priority="12" operator="containsText" text="【不備の点】">
      <formula>NOT(ISERROR(SEARCH("【不備の点】",AF16)))</formula>
    </cfRule>
  </conditionalFormatting>
  <conditionalFormatting sqref="BD19:BG23">
    <cfRule type="containsText" dxfId="100" priority="10" operator="containsText" text="要修正">
      <formula>NOT(ISERROR(SEARCH("要修正",BD19)))</formula>
    </cfRule>
  </conditionalFormatting>
  <conditionalFormatting sqref="AY19:BC23">
    <cfRule type="containsText" dxfId="99" priority="9" operator="containsText" text="【未入力有】">
      <formula>NOT(ISERROR(SEARCH("【未入力有】",AY19)))</formula>
    </cfRule>
  </conditionalFormatting>
  <conditionalFormatting sqref="BP19:BQ20">
    <cfRule type="containsText" dxfId="98" priority="8" operator="containsText" text="×">
      <formula>NOT(ISERROR(SEARCH("×",BP19)))</formula>
    </cfRule>
  </conditionalFormatting>
  <conditionalFormatting sqref="BR19:BR20">
    <cfRule type="containsText" dxfId="97" priority="7" operator="containsText" text="要修正">
      <formula>NOT(ISERROR(SEARCH("要修正",BR19)))</formula>
    </cfRule>
  </conditionalFormatting>
  <conditionalFormatting sqref="AD7:AD13">
    <cfRule type="containsText" dxfId="96" priority="6" operator="containsText" text="×">
      <formula>NOT(ISERROR(SEARCH("×",AD7)))</formula>
    </cfRule>
  </conditionalFormatting>
  <conditionalFormatting sqref="AE7:AE13">
    <cfRule type="containsText" dxfId="95" priority="5" operator="containsText" text="要修正">
      <formula>NOT(ISERROR(SEARCH("要修正",AE7)))</formula>
    </cfRule>
  </conditionalFormatting>
  <conditionalFormatting sqref="AE16:AE65">
    <cfRule type="containsText" dxfId="94" priority="2" operator="containsText" text="【不備の点】">
      <formula>NOT(ISERROR(SEARCH("【不備の点】",AE16)))</formula>
    </cfRule>
  </conditionalFormatting>
  <conditionalFormatting sqref="AD16:AD65">
    <cfRule type="containsText" dxfId="93" priority="1" operator="containsText" text="×">
      <formula>NOT(ISERROR(SEARCH("×",AD16)))</formula>
    </cfRule>
  </conditionalFormatting>
  <dataValidations xWindow="531" yWindow="450" count="8">
    <dataValidation type="list" allowBlank="1" showInputMessage="1" showErrorMessage="1" promptTitle="補助対象の該当非該当" prompt="人工呼吸器の設備整備に係る経費が対象となります。_x000a_医療用消耗品等のランニングコストといった人工呼吸器自体の整備と直接に関係しないものは補助対象外なので「対象外」を選択してください。_x000a_審査において確認、対象外と認めたものについては対象外として補正をお願いする場合があります。" sqref="J16:J65">
      <formula1>"補助対象,補助対象外"</formula1>
    </dataValidation>
    <dataValidation allowBlank="1" showInputMessage="1" showErrorMessage="1" promptTitle="金額の表示" prompt="数式が入力されているため、自動計算されます。" sqref="K16:K65 I16:I65"/>
    <dataValidation allowBlank="1" showInputMessage="1" showErrorMessage="1" promptTitle="添付書類番号" prompt="種類、規格、数量、単価が全て適切に入力され、右の「判定」が「◎」と表示されると自動で番号が表示されます。" sqref="L16:L65"/>
    <dataValidation allowBlank="1" showInputMessage="1" showErrorMessage="1" promptTitle="単価の入力" prompt="税抜額または税込額のいずれかを入力してください。_x000a_入力しない方は「0」は入力せず、空欄としてください。" sqref="G16:H65"/>
    <dataValidation allowBlank="1" showInputMessage="1" showErrorMessage="1" promptTitle="規格及び数量の入力" prompt="補助対象経費を計上する際、いずれも入力してください。" sqref="E16:F65"/>
    <dataValidation type="list" allowBlank="1" showInputMessage="1" showErrorMessage="1" promptTitle="装置、付属備品の別を選択" prompt="当該行に記載する品目が_x000a_・「装置」_x000a_・「付属備品」（テント等）_x000a_の別をプルダウンから選択してください。" sqref="D16:D65">
      <formula1>"装置,付属備品"</formula1>
    </dataValidation>
    <dataValidation allowBlank="1" showInputMessage="1" showErrorMessage="1" promptTitle="補助対象金額" prompt="見積書金額×（見積書金額-割引額）/見積書金額_x000a_で算出されます。" sqref="K10:L11"/>
    <dataValidation allowBlank="1" showInputMessage="1" showErrorMessage="1" promptTitle="割引額がある場合は入力" prompt="割引がない場合は「0円」のままとしてください。" sqref="J10:J11"/>
  </dataValidations>
  <printOptions horizontalCentered="1"/>
  <pageMargins left="0.59055118110236227" right="0.39370078740157483" top="0.39370078740157483" bottom="0.39370078740157483" header="0.31496062992125984" footer="0.31496062992125984"/>
  <pageSetup paperSize="9" scale="53" fitToWidth="0" orientation="portrait" r:id="rId1"/>
  <drawing r:id="rId2"/>
  <legacyDrawing r:id="rId3"/>
  <extLst>
    <ext xmlns:x14="http://schemas.microsoft.com/office/spreadsheetml/2009/9/main" uri="{CCE6A557-97BC-4b89-ADB6-D9C93CAAB3DF}">
      <x14:dataValidations xmlns:xm="http://schemas.microsoft.com/office/excel/2006/main" xWindow="531" yWindow="450" count="2">
        <x14:dataValidation type="list" allowBlank="1" showInputMessage="1" showErrorMessage="1" promptTitle="配備する病床の「新設」「既設」の別を選択" prompt="ベッドに必ずしも紐付けるものではありませんが、１病床１台で紐付けした場合、配備する病床が_x000a_・令和３年度までにコロナ対応病床として指定済のものか_x000a_・令和４年度に指定を受けた・指定予定か_x000a_いずれかを選択してください。">
          <x14:formula1>
            <xm:f>はじめに入力してください!$AO$41:$AO$43</xm:f>
          </x14:formula1>
          <xm:sqref>B16:B65</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不足する病床に番号付けをした場合の番号を選択してください。_x000a_（例）_x000a_　既存の設備２台_x000a_　既設病床２床、新設病床３床の場合_x000a_→既存の設備２台は、既設病床１～２に配備_x000a_　３台申請する場合は「新設病床１」～「新設病床３」を選択して品目等必要情報を入力">
          <x14:formula1>
            <xm:f>OFFSET( はじめに入力してください!$AO$41, 0, MATCH(B16,はじめに入力してください!$AP$40:$AR$40,0), COUNTA(OFFSET(はじめに入力してください!$AO$41,0,MATCH(B16,はじめに入力してください!$AP$40:$AR$40,0),W16,1)),1)</xm:f>
          </x14:formula1>
          <xm:sqref>C16:C65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BC48"/>
  <sheetViews>
    <sheetView showGridLines="0" view="pageBreakPreview" zoomScale="60" zoomScaleNormal="100" workbookViewId="0">
      <pane xSplit="1" ySplit="9" topLeftCell="B10" activePane="bottomRight" state="frozen"/>
      <selection activeCell="N3" sqref="N3:Q3"/>
      <selection pane="topRight" activeCell="N3" sqref="N3:Q3"/>
      <selection pane="bottomLeft" activeCell="N3" sqref="N3:Q3"/>
      <selection pane="bottomRight" activeCell="L15" sqref="L15"/>
    </sheetView>
  </sheetViews>
  <sheetFormatPr defaultColWidth="9" defaultRowHeight="20.100000000000001" customHeight="1"/>
  <cols>
    <col min="1" max="1" width="3.625" style="40" customWidth="1"/>
    <col min="2" max="2" width="11.625" style="38" customWidth="1"/>
    <col min="3" max="3" width="26.5" style="39" customWidth="1"/>
    <col min="4" max="4" width="7.125" style="40" customWidth="1"/>
    <col min="5" max="5" width="11.625" style="40" customWidth="1"/>
    <col min="6" max="7" width="12.625" style="40" customWidth="1"/>
    <col min="8" max="8" width="9" style="40"/>
    <col min="9" max="9" width="2.625" style="40" customWidth="1"/>
    <col min="10" max="11" width="30.625" style="41" customWidth="1"/>
    <col min="12" max="12" width="40.625" style="41" customWidth="1"/>
    <col min="13" max="14" width="30.625" style="41" hidden="1" customWidth="1"/>
    <col min="15" max="18" width="12.625" style="41" hidden="1" customWidth="1"/>
    <col min="19" max="24" width="9" style="41"/>
    <col min="25" max="25" width="3.625" style="49" customWidth="1"/>
    <col min="26" max="26" width="9" style="41"/>
    <col min="27" max="27" width="80.625" style="41" customWidth="1"/>
    <col min="28" max="29" width="9" style="41"/>
    <col min="30" max="30" width="40.625" style="41" customWidth="1"/>
    <col min="31" max="46" width="9" style="41"/>
    <col min="47" max="47" width="20.625" style="41" customWidth="1"/>
    <col min="48" max="49" width="9" style="41"/>
    <col min="50" max="50" width="35.625" style="41" customWidth="1"/>
    <col min="51" max="16384" width="9" style="41"/>
  </cols>
  <sheetData>
    <row r="1" spans="1:55" ht="20.100000000000001" customHeight="1">
      <c r="H1" s="386" t="str">
        <f>IF(はじめに入力してください!L20="","",はじめに入力してください!AE20)</f>
        <v/>
      </c>
    </row>
    <row r="2" spans="1:55" ht="30" customHeight="1">
      <c r="B2" s="37" t="s">
        <v>53</v>
      </c>
      <c r="D2" s="50" t="s">
        <v>24</v>
      </c>
      <c r="E2" s="785">
        <f>SUM(G10:G41)</f>
        <v>0</v>
      </c>
      <c r="F2" s="786"/>
      <c r="G2" s="786"/>
      <c r="H2" s="786"/>
    </row>
    <row r="3" spans="1:55" ht="80.099999999999994" customHeight="1">
      <c r="B3" s="787" t="s">
        <v>749</v>
      </c>
      <c r="C3" s="788"/>
      <c r="D3" s="788"/>
      <c r="E3" s="788"/>
      <c r="F3" s="788"/>
      <c r="G3" s="788"/>
      <c r="H3" s="788"/>
    </row>
    <row r="4" spans="1:55" ht="20.100000000000001" customHeight="1">
      <c r="B4" s="233">
        <v>1</v>
      </c>
      <c r="C4" s="51" t="s">
        <v>65</v>
      </c>
      <c r="D4" s="319"/>
      <c r="E4" s="237"/>
      <c r="F4" s="237"/>
      <c r="H4" s="49"/>
      <c r="AG4" s="767" t="s">
        <v>76</v>
      </c>
      <c r="AH4" s="767"/>
      <c r="AI4" s="767"/>
      <c r="AJ4" s="767"/>
      <c r="AK4" s="767"/>
      <c r="AL4" s="767" t="s">
        <v>75</v>
      </c>
      <c r="AM4" s="767"/>
      <c r="AN4" s="767"/>
      <c r="AO4" s="767"/>
      <c r="AP4" s="767"/>
      <c r="AU4" s="234" t="s">
        <v>123</v>
      </c>
      <c r="AV4" s="234" t="s">
        <v>124</v>
      </c>
      <c r="AW4" s="234" t="s">
        <v>125</v>
      </c>
      <c r="AX4" s="234" t="s">
        <v>126</v>
      </c>
      <c r="AY4" s="763" t="s">
        <v>89</v>
      </c>
      <c r="AZ4" s="783"/>
      <c r="BA4" s="783"/>
      <c r="BB4" s="783"/>
      <c r="BC4" s="783"/>
    </row>
    <row r="5" spans="1:55" ht="20.100000000000001" customHeight="1">
      <c r="B5" s="233">
        <v>2</v>
      </c>
      <c r="C5" s="51" t="s">
        <v>66</v>
      </c>
      <c r="D5" s="320"/>
      <c r="E5" s="237"/>
      <c r="F5" s="237"/>
      <c r="G5" s="237"/>
      <c r="H5" s="237"/>
      <c r="AG5" s="765" t="str">
        <f>IF(AV5="○","個人防護具の申請を行わない場合は可",IF(AV5="×","　【未入力有】"&amp;CHAR(10)&amp;"　補助基準額を算出するため黄色セルを"&amp;CHAR(10)&amp;"　どちらも入力してください。"&amp;CHAR(10)&amp;"（「0」は入力しないでください。）",IF(AV5="◎","適切に入力されました。"&amp;CHAR(10)&amp;"延"&amp;D6&amp;"人×3,600円/円・日="&amp;TEXT(D6*3600,"#,##0")&amp;"円")))</f>
        <v>個人防護具の申請を行わない場合は可</v>
      </c>
      <c r="AH5" s="766"/>
      <c r="AI5" s="766"/>
      <c r="AJ5" s="766"/>
      <c r="AK5" s="767"/>
      <c r="AL5" s="766" t="str">
        <f>IF(AV6="×","【要修正】"&amp;CHAR(10)&amp;"入力が適切に完了していない項目があります。"&amp;CHAR(10)&amp;"判定欄が「×」の行は、記載が不十分または不要な入力がされていてる可能性がありますのでご確認をお願いします。",IF(AV6="○","個人防護具の補助申請を行わない場合は可",IF(AV6="◎","適切に入力がされました。"&amp;CHAR(10)&amp;"添付書類（発注、納品および支払いが確認できるもの）の御用意、御提出をお願いします。")))</f>
        <v>個人防護具の補助申請を行わない場合は可</v>
      </c>
      <c r="AM5" s="767"/>
      <c r="AN5" s="767"/>
      <c r="AO5" s="767"/>
      <c r="AP5" s="767"/>
      <c r="AU5" s="52" t="s">
        <v>128</v>
      </c>
      <c r="AV5" s="220" t="str">
        <f>IF(COUNTA(D4:D5)=0,"○",IF(OR(COUNTA(D4:D5)=1,D4=0,D5=0),"×",IF(COUNTA(D4:D5)=2,"◎")))</f>
        <v>○</v>
      </c>
      <c r="AW5" s="768" t="str">
        <f xml:space="preserve">
IF(AND(AV5="×",AV6="×"),"×",
IF(AND(AV5="×",AV6="○"),"×",
IF(AND(AV5="×",AV6="◎"),"×",
IF(AND(AV5="○",AV6="×"),"×",
IF(AND(AV5="○",AV6="○"),"○",
IF(AND(AV5="○",AV6="◎"),"×",
IF(AND(AV5="◎",AV6="×"),"×",
IF(AND(AV5="◎",AV6="○"),"×",
IF(AND(AV5="◎",AV6="◎"),"◎",
)))))))))</f>
        <v>○</v>
      </c>
      <c r="AX5" s="770" t="str">
        <f xml:space="preserve">
IF(AND(AV5="×",AV6="×"),"【要修正】「はじめに」及び「防護具情報」いずれも入力が不十分です。",
IF(AND(AV5="×",AV6="○"),"【要修正】「はじめに」が入力不十分、また「防護具情報」が未入力です。",
IF(AND(AV5="×",AV6="◎"),"【要修正】「はじめに」が入力不十分です。",
IF(AND(AV5="○",AV6="×"),"【要修正】「はじめに」が未入力、「防護具情報」が入力不十分です。",
IF(AND(AV5="○",AV6="○"),"個人防護具の補助申請を行わない場合は入力不要です。",
IF(AND(AV5="○",AV6="◎"),"【要修正】「はじめに」が未入力です。",
IF(AND(AV5="◎",AV6="×"),"【要修正】「防護具情報」が入力不十分です。",
IF(AND(AV5="◎",AV6="○"),"【要修正】「防護具情報」が入力不十分です。",
IF(AND(AV5="◎",AV6="◎"),"いずれの項目も適切に入力されました。",
)))))))))</f>
        <v>個人防護具の補助申請を行わない場合は入力不要です。</v>
      </c>
      <c r="AY5" s="784"/>
      <c r="AZ5" s="783"/>
      <c r="BA5" s="783"/>
      <c r="BB5" s="783"/>
      <c r="BC5" s="783"/>
    </row>
    <row r="6" spans="1:55" ht="20.100000000000001" customHeight="1">
      <c r="B6" s="50">
        <v>3</v>
      </c>
      <c r="C6" s="53" t="s">
        <v>67</v>
      </c>
      <c r="D6" s="54">
        <f>D4*D5</f>
        <v>0</v>
      </c>
      <c r="E6" s="41"/>
      <c r="F6" s="41"/>
      <c r="G6" s="41"/>
      <c r="H6" s="41"/>
      <c r="O6" s="222"/>
      <c r="P6" s="222"/>
      <c r="Q6" s="222"/>
      <c r="R6" s="222"/>
      <c r="AG6" s="766"/>
      <c r="AH6" s="766"/>
      <c r="AI6" s="766"/>
      <c r="AJ6" s="766"/>
      <c r="AK6" s="767"/>
      <c r="AL6" s="767"/>
      <c r="AM6" s="767"/>
      <c r="AN6" s="767"/>
      <c r="AO6" s="767"/>
      <c r="AP6" s="767"/>
      <c r="AU6" s="52" t="s">
        <v>130</v>
      </c>
      <c r="AV6" s="220" t="str">
        <f>IF(COUNTIF(Z10:Z41,"×")&gt;1,"×",IF(COUNTIF(Z10:Z41,"○")=32,"○","◎"))</f>
        <v>○</v>
      </c>
      <c r="AW6" s="769"/>
      <c r="AX6" s="771"/>
      <c r="AY6" s="784"/>
      <c r="AZ6" s="783"/>
      <c r="BA6" s="783"/>
      <c r="BB6" s="783"/>
      <c r="BC6" s="783"/>
    </row>
    <row r="7" spans="1:55" ht="20.100000000000001" customHeight="1">
      <c r="B7" s="56"/>
      <c r="C7" s="57"/>
      <c r="D7" s="58"/>
      <c r="E7" s="41"/>
      <c r="F7" s="41"/>
      <c r="G7" s="41"/>
      <c r="H7" s="41"/>
      <c r="O7" s="222"/>
      <c r="P7" s="222"/>
      <c r="Q7" s="222"/>
      <c r="R7" s="222"/>
      <c r="AG7" s="766"/>
      <c r="AH7" s="766"/>
      <c r="AI7" s="766"/>
      <c r="AJ7" s="766"/>
      <c r="AK7" s="767"/>
      <c r="AL7" s="767"/>
      <c r="AM7" s="767"/>
      <c r="AN7" s="767"/>
      <c r="AO7" s="767"/>
      <c r="AP7" s="767"/>
      <c r="AU7" s="59" t="s">
        <v>127</v>
      </c>
      <c r="AV7" s="223"/>
      <c r="AW7" s="223"/>
      <c r="AX7" s="222"/>
      <c r="AY7" s="222"/>
      <c r="AZ7" s="237"/>
      <c r="BA7" s="237"/>
      <c r="BB7" s="237"/>
      <c r="BC7" s="237"/>
    </row>
    <row r="8" spans="1:55" ht="15" customHeight="1">
      <c r="B8" s="36" t="s">
        <v>129</v>
      </c>
      <c r="E8" s="41"/>
      <c r="F8" s="41"/>
      <c r="G8" s="41"/>
      <c r="H8" s="41"/>
      <c r="O8" s="222"/>
      <c r="P8" s="222"/>
      <c r="Q8" s="222"/>
      <c r="R8" s="222"/>
      <c r="AG8" s="767"/>
      <c r="AH8" s="767"/>
      <c r="AI8" s="767"/>
      <c r="AJ8" s="767"/>
      <c r="AK8" s="767"/>
      <c r="AL8" s="767"/>
      <c r="AM8" s="767"/>
      <c r="AN8" s="767"/>
      <c r="AO8" s="767"/>
      <c r="AP8" s="767"/>
      <c r="AY8" s="222"/>
      <c r="AZ8" s="237"/>
      <c r="BA8" s="237"/>
      <c r="BB8" s="237"/>
      <c r="BC8" s="237"/>
    </row>
    <row r="9" spans="1:55" ht="19.5">
      <c r="B9" s="61" t="s">
        <v>54</v>
      </c>
      <c r="C9" s="61" t="s">
        <v>55</v>
      </c>
      <c r="D9" s="61" t="s">
        <v>22</v>
      </c>
      <c r="E9" s="61" t="s">
        <v>71</v>
      </c>
      <c r="F9" s="61" t="s">
        <v>72</v>
      </c>
      <c r="G9" s="61" t="s">
        <v>73</v>
      </c>
      <c r="H9" s="61" t="s">
        <v>23</v>
      </c>
      <c r="Z9" s="62" t="s">
        <v>70</v>
      </c>
      <c r="AA9" s="63" t="s">
        <v>74</v>
      </c>
      <c r="AB9" s="221" t="s">
        <v>94</v>
      </c>
      <c r="AC9" s="64" t="s">
        <v>95</v>
      </c>
      <c r="AD9" s="52" t="s">
        <v>126</v>
      </c>
      <c r="AE9" s="52" t="str">
        <f>AD10&amp;AD11&amp;AD12&amp;AD13&amp;AD14&amp;AD15&amp;AD16&amp;AD17&amp;AD18&amp;AD19&amp;AD20&amp;AD21&amp;AD22&amp;AD23&amp;AD24&amp;AD25&amp;AD26&amp;AD27&amp;AD28&amp;AD29&amp;AD30&amp;AD31&amp;AD32&amp;AD33&amp;AD34&amp;AD35&amp;AD36&amp;AD37&amp;AD38&amp;AD39&amp;AD40&amp;AD41</f>
        <v/>
      </c>
      <c r="AG9" s="762"/>
      <c r="AH9" s="767"/>
      <c r="AI9" s="767"/>
      <c r="AJ9" s="767"/>
      <c r="AK9" s="767"/>
      <c r="AL9" s="767"/>
      <c r="AM9" s="767"/>
      <c r="AN9" s="767"/>
      <c r="AO9" s="767"/>
      <c r="AP9" s="767"/>
      <c r="AY9" s="222"/>
      <c r="AZ9" s="237"/>
      <c r="BA9" s="237"/>
      <c r="BB9" s="237"/>
      <c r="BC9" s="237"/>
    </row>
    <row r="10" spans="1:55" ht="20.100000000000001" customHeight="1">
      <c r="A10" s="40">
        <v>1</v>
      </c>
      <c r="B10" s="313"/>
      <c r="C10" s="314"/>
      <c r="D10" s="315"/>
      <c r="E10" s="316"/>
      <c r="F10" s="316"/>
      <c r="G10" s="45">
        <f>IF(E10="",F10*D10,ROUNDDOWN(D10*E10*1.1,0))</f>
        <v>0</v>
      </c>
      <c r="H10" s="385" t="str">
        <f>IF(Z10="◎",COUNTIF($Z$10:Z10,"◎"),"")</f>
        <v/>
      </c>
      <c r="Y10" s="49" t="s">
        <v>69</v>
      </c>
      <c r="Z10" s="234" t="str">
        <f t="shared" ref="Z10:Z41" si="0" xml:space="preserve">
IF(AND(AB10="○",AC10="○"),"○",
IF(AND(AB10="○",AC10="◎"),"×",
IF(AND(AB10="○",AC10="×"),"×",
IF(AND(AB10="×",AC10="○"),"×",
IF(AND(AB10="×",AC10="◎"),"×",
IF(AND(AB10="×",AC10="×"),"×",
IF(AND(AB10="◎",AC10="○"),"×",
IF(AND(AB10="◎",AC10="◎"),"◎",
IF(AND(AB10="◎",AC10="×"),"×")))))))))</f>
        <v>○</v>
      </c>
      <c r="AA10" s="52" t="str">
        <f t="shared" ref="AA10:AA41" si="1" xml:space="preserve">
IF(AND(AB10="○",AC10="○"),"補助対象経費がある場合は入力してください。",
IF(AND(AB10="○",AC10="◎"),"【不備の点】単価のみ入力されており、種類、規格、数量が入力されていません。",
IF(AND(AB10="○",AC10="×"),"【不備の点】単価はいずれか片方を入力してください。また種類、規格、数量も入力してください。（単価の欄は「0」も入力せず空欄としてください。）",
IF(AND(AB10="×",AC10="○"),"【不備の点】単価が入力されておらず、また種類、規格、数量の一部しか入力されていません。",
IF(AND(AB10="×",AC10="◎"),"【不備の点】単価は入力されていますが、種類、規格、数量の一部しか入力されていません。",
IF(AND(AB10="×",AC10="×"),"【不備の点】単価はいずれか片方を入力してください。また種類、規格、数量の一部しか入力されていません。（単価の欄は「0」も入力せず空欄としてください。）",
IF(AND(AB10="◎",AC10="○"),"【不備の点】種類、規格、数量は入力されていますが、単価が入力されていません。",
IF(AND(AB10="◎",AC10="◎"),"適切に入力されました。",
IF(AND(AB10="◎",AC10="×"),"【不備の点】種類、規格、数量は入力されていますが、単価が入力されていません。")))))))))</f>
        <v>補助対象経費がある場合は入力してください。</v>
      </c>
      <c r="AB10" s="234" t="str">
        <f t="shared" ref="AB10:AB41" si="2">IF(COUNTA(B10:D10)=0,"○",IF(AND(COUNTA(B10:D10)&gt;=1,COUNTA(B10:D10)&lt;3),"×",IF(COUNTA(B10:D10)=3,"◎")))</f>
        <v>○</v>
      </c>
      <c r="AC10" s="234" t="str">
        <f t="shared" ref="AC10:AC41" si="3">IF(COUNTA(E10:F10)=0,"○",IF(COUNTA(E10:F10)=1,"◎",IF(COUNTA(E10:F10)=2,"×")))</f>
        <v>○</v>
      </c>
      <c r="AD10" s="52" t="str">
        <f xml:space="preserve">
IF(AND(AB10="○",AC10="○"),"",
IF(AND(AB10="○",AC10="◎"),"１行目の品目：種類、規格が未入力/",
IF(AND(AB10="○",AC10="×"),"１行目の品目：種類、規格が未入力＆単価が入力不十分/",
IF(AND(AB10="×",AC10="○"),"１行目の品目：種類、規格が入力不十分＆単価が未入力/",
IF(AND(AB10="×",AC10="◎"),"１行目の品目：種類、規格が入力不十分/",
IF(AND(AB10="×",AC10="×"),"１行目の品目：種類、規格及び単価が入力不十分/",
IF(AND(AB10="◎",AC10="○"),"１行目の品目：単価が未入力/",
IF(AND(AB10="◎",AC10="◎"),"",
IF(AND(AB10="◎",AC10="×"),"１行目の品目：単価が入力不十分/")))))))))</f>
        <v/>
      </c>
      <c r="AE10" s="41">
        <v>1</v>
      </c>
    </row>
    <row r="11" spans="1:55" ht="20.100000000000001" customHeight="1">
      <c r="A11" s="40">
        <v>2</v>
      </c>
      <c r="B11" s="313"/>
      <c r="C11" s="314"/>
      <c r="D11" s="315"/>
      <c r="E11" s="316"/>
      <c r="F11" s="316"/>
      <c r="G11" s="45">
        <f t="shared" ref="G11:G41" si="4">IF(E11="",F11*D11,ROUNDDOWN(D11*E11*1.1,0))</f>
        <v>0</v>
      </c>
      <c r="H11" s="385" t="str">
        <f>IF(Z11="◎",COUNTIF($Z$10:Z11,"◎"),"")</f>
        <v/>
      </c>
      <c r="Y11" s="49" t="s">
        <v>69</v>
      </c>
      <c r="Z11" s="234" t="str">
        <f t="shared" si="0"/>
        <v>○</v>
      </c>
      <c r="AA11" s="52" t="str">
        <f t="shared" si="1"/>
        <v>補助対象経費がある場合は入力してください。</v>
      </c>
      <c r="AB11" s="234" t="str">
        <f t="shared" si="2"/>
        <v>○</v>
      </c>
      <c r="AC11" s="234" t="str">
        <f t="shared" si="3"/>
        <v>○</v>
      </c>
      <c r="AD11" s="52" t="str">
        <f xml:space="preserve">
IF(AND(AB11="○",AC11="○"),"",
IF(AND(AB11="○",AC11="◎"),"２行目の品目：種類、規格が未入力/",
IF(AND(AB11="○",AC11="×"),"２行目の品目：種類、規格が未入力＆単価が入力不十分/",
IF(AND(AB11="×",AC11="○"),"２行目の品目：種類、規格が入力不十分＆単価が未入力/",
IF(AND(AB11="×",AC11="◎"),"２行目の品目：種類、規格が入力不十分/",
IF(AND(AB11="×",AC11="×"),"２行目の品目：種類、規格及び単価が入力不十分/",
IF(AND(AB11="◎",AC11="○"),"２行目の品目：単価が未入力/",
IF(AND(AB11="◎",AC11="◎"),"",
IF(AND(AB11="◎",AC11="×"),"２行目の品目：単価が入力不十分/")))))))))</f>
        <v/>
      </c>
      <c r="AE11" s="41">
        <v>2</v>
      </c>
    </row>
    <row r="12" spans="1:55" ht="20.100000000000001" customHeight="1">
      <c r="A12" s="40">
        <v>3</v>
      </c>
      <c r="B12" s="313"/>
      <c r="C12" s="314"/>
      <c r="D12" s="315"/>
      <c r="E12" s="316"/>
      <c r="F12" s="316"/>
      <c r="G12" s="45">
        <f t="shared" si="4"/>
        <v>0</v>
      </c>
      <c r="H12" s="385" t="str">
        <f>IF(Z12="◎",COUNTIF($Z$10:Z12,"◎"),"")</f>
        <v/>
      </c>
      <c r="Y12" s="49" t="s">
        <v>69</v>
      </c>
      <c r="Z12" s="234" t="str">
        <f t="shared" si="0"/>
        <v>○</v>
      </c>
      <c r="AA12" s="52" t="str">
        <f t="shared" si="1"/>
        <v>補助対象経費がある場合は入力してください。</v>
      </c>
      <c r="AB12" s="234" t="str">
        <f t="shared" si="2"/>
        <v>○</v>
      </c>
      <c r="AC12" s="234" t="str">
        <f t="shared" si="3"/>
        <v>○</v>
      </c>
      <c r="AD12" s="52" t="str">
        <f xml:space="preserve">
IF(AND(AB12="○",AC12="○"),"",
IF(AND(AB12="○",AC12="◎"),"３行目の品目：種類、規格が未入力/",
IF(AND(AB12="○",AC12="×"),"３行目の品目：種類、規格が未入力＆単価が入力不十分/",
IF(AND(AB12="×",AC12="○"),"３行目の品目：種類、規格が入力不十分＆単価が未入力/",
IF(AND(AB12="×",AC12="◎"),"３行目の品目：種類、規格が入力不十分/",
IF(AND(AB12="×",AC12="×"),"３行目の品目：種類、規格及び単価が入力不十分/",
IF(AND(AB12="◎",AC12="○"),"３行目の品目：単価が未入力/",
IF(AND(AB12="◎",AC12="◎"),"",
IF(AND(AB12="◎",AC12="×"),"３行目の品目：単価が入力不十分/")))))))))</f>
        <v/>
      </c>
      <c r="AE12" s="41">
        <v>3</v>
      </c>
    </row>
    <row r="13" spans="1:55" ht="20.100000000000001" customHeight="1">
      <c r="A13" s="40">
        <v>4</v>
      </c>
      <c r="B13" s="313"/>
      <c r="C13" s="314"/>
      <c r="D13" s="315"/>
      <c r="E13" s="316"/>
      <c r="F13" s="316"/>
      <c r="G13" s="45">
        <f t="shared" si="4"/>
        <v>0</v>
      </c>
      <c r="H13" s="385" t="str">
        <f>IF(Z13="◎",COUNTIF($Z$10:Z13,"◎"),"")</f>
        <v/>
      </c>
      <c r="Y13" s="49" t="s">
        <v>69</v>
      </c>
      <c r="Z13" s="234" t="str">
        <f t="shared" si="0"/>
        <v>○</v>
      </c>
      <c r="AA13" s="52" t="str">
        <f t="shared" si="1"/>
        <v>補助対象経費がある場合は入力してください。</v>
      </c>
      <c r="AB13" s="234" t="str">
        <f t="shared" si="2"/>
        <v>○</v>
      </c>
      <c r="AC13" s="234" t="str">
        <f t="shared" si="3"/>
        <v>○</v>
      </c>
      <c r="AD13" s="52" t="str">
        <f xml:space="preserve">
IF(AND(AB13="○",AC13="○"),"",
IF(AND(AB13="○",AC13="◎"),"４行目の品目：種類、規格が未入力/",
IF(AND(AB13="○",AC13="×"),"４行目の品目：種類、規格が未入力＆単価が入力不十分/",
IF(AND(AB13="×",AC13="○"),"４行目の品目：種類、規格が入力不十分＆単価が未入力/",
IF(AND(AB13="×",AC13="◎"),"４行目の品目：種類、規格が入力不十分/",
IF(AND(AB13="×",AC13="×"),"４行目の品目：種類、規格及び単価が入力不十分/",
IF(AND(AB13="◎",AC13="○"),"４行目の品目：単価が未入力/",
IF(AND(AB13="◎",AC13="◎"),"",
IF(AND(AB13="◎",AC13="×"),"４行目の品目：単価が入力不十分/")))))))))</f>
        <v/>
      </c>
      <c r="AE13" s="41">
        <v>4</v>
      </c>
    </row>
    <row r="14" spans="1:55" ht="20.100000000000001" customHeight="1">
      <c r="A14" s="40">
        <v>5</v>
      </c>
      <c r="B14" s="313"/>
      <c r="C14" s="314"/>
      <c r="D14" s="315"/>
      <c r="E14" s="316"/>
      <c r="F14" s="316"/>
      <c r="G14" s="45">
        <f t="shared" si="4"/>
        <v>0</v>
      </c>
      <c r="H14" s="385" t="str">
        <f>IF(Z14="◎",COUNTIF($Z$10:Z14,"◎"),"")</f>
        <v/>
      </c>
      <c r="Y14" s="49" t="s">
        <v>69</v>
      </c>
      <c r="Z14" s="234" t="str">
        <f t="shared" si="0"/>
        <v>○</v>
      </c>
      <c r="AA14" s="52" t="str">
        <f t="shared" si="1"/>
        <v>補助対象経費がある場合は入力してください。</v>
      </c>
      <c r="AB14" s="234" t="str">
        <f t="shared" si="2"/>
        <v>○</v>
      </c>
      <c r="AC14" s="234" t="str">
        <f t="shared" si="3"/>
        <v>○</v>
      </c>
      <c r="AD14" s="52" t="str">
        <f xml:space="preserve">
IF(AND(AB14="○",AC14="○"),"",
IF(AND(AB14="○",AC14="◎"),"５行目の品目：種類、規格が未入力/",
IF(AND(AB14="○",AC14="×"),"５行目の品目：種類、規格が未入力＆単価が入力不十分/",
IF(AND(AB14="×",AC14="○"),"５行目の品目：種類、規格が入力不十分＆単価が未入力/",
IF(AND(AB14="×",AC14="◎"),"５行目の品目：種類、規格が入力不十分/",
IF(AND(AB14="×",AC14="×"),"５行目の品目：種類、規格及び単価が入力不十分/",
IF(AND(AB14="◎",AC14="○"),"５行目の品目：単価が未入力/",
IF(AND(AB14="◎",AC14="◎"),"",
IF(AND(AB14="◎",AC14="×"),"５行目の品目：単価が入力不十分/")))))))))</f>
        <v/>
      </c>
      <c r="AE14" s="41">
        <v>5</v>
      </c>
    </row>
    <row r="15" spans="1:55" ht="20.100000000000001" customHeight="1">
      <c r="A15" s="40">
        <v>6</v>
      </c>
      <c r="B15" s="313"/>
      <c r="C15" s="314"/>
      <c r="D15" s="315"/>
      <c r="E15" s="316"/>
      <c r="F15" s="316"/>
      <c r="G15" s="45">
        <f t="shared" si="4"/>
        <v>0</v>
      </c>
      <c r="H15" s="385" t="str">
        <f>IF(Z15="◎",COUNTIF($Z$10:Z15,"◎"),"")</f>
        <v/>
      </c>
      <c r="Y15" s="49" t="s">
        <v>69</v>
      </c>
      <c r="Z15" s="234" t="str">
        <f t="shared" si="0"/>
        <v>○</v>
      </c>
      <c r="AA15" s="52" t="str">
        <f t="shared" si="1"/>
        <v>補助対象経費がある場合は入力してください。</v>
      </c>
      <c r="AB15" s="234" t="str">
        <f t="shared" si="2"/>
        <v>○</v>
      </c>
      <c r="AC15" s="234" t="str">
        <f t="shared" si="3"/>
        <v>○</v>
      </c>
      <c r="AD15" s="52" t="str">
        <f xml:space="preserve">
IF(AND(AB15="○",AC15="○"),"",
IF(AND(AB15="○",AC15="◎"),"６行目の品目：種類、規格が未入力/",
IF(AND(AB15="○",AC15="×"),"６行目の品目：種類、規格が未入力＆単価が入力不十分/",
IF(AND(AB15="×",AC15="○"),"６行目の品目：種類、規格が入力不十分＆単価が未入力/",
IF(AND(AB15="×",AC15="◎"),"６行目の品目：種類、規格が入力不十分/",
IF(AND(AB15="×",AC15="×"),"６行目の品目：種類、規格及び単価が入力不十分/",
IF(AND(AB15="◎",AC15="○"),"６行目の品目：単価が未入力/",
IF(AND(AB15="◎",AC15="◎"),"",
IF(AND(AB15="◎",AC15="×"),"６行目の品目：単価が入力不十分/")))))))))</f>
        <v/>
      </c>
      <c r="AE15" s="41">
        <v>6</v>
      </c>
    </row>
    <row r="16" spans="1:55" ht="20.100000000000001" customHeight="1">
      <c r="A16" s="40">
        <v>7</v>
      </c>
      <c r="B16" s="313"/>
      <c r="C16" s="314"/>
      <c r="D16" s="315"/>
      <c r="E16" s="316"/>
      <c r="F16" s="316"/>
      <c r="G16" s="45">
        <f t="shared" si="4"/>
        <v>0</v>
      </c>
      <c r="H16" s="385" t="str">
        <f>IF(Z16="◎",COUNTIF($Z$10:Z16,"◎"),"")</f>
        <v/>
      </c>
      <c r="Y16" s="49" t="s">
        <v>69</v>
      </c>
      <c r="Z16" s="234" t="str">
        <f t="shared" si="0"/>
        <v>○</v>
      </c>
      <c r="AA16" s="52" t="str">
        <f t="shared" si="1"/>
        <v>補助対象経費がある場合は入力してください。</v>
      </c>
      <c r="AB16" s="234" t="str">
        <f t="shared" si="2"/>
        <v>○</v>
      </c>
      <c r="AC16" s="234" t="str">
        <f t="shared" si="3"/>
        <v>○</v>
      </c>
      <c r="AD16" s="52" t="str">
        <f xml:space="preserve">
IF(AND(AB16="○",AC16="○"),"",
IF(AND(AB16="○",AC16="◎"),"７行目の品目：種類、規格が未入力/",
IF(AND(AB16="○",AC16="×"),"７行目の品目：種類、規格が未入力＆単価が入力不十分/",
IF(AND(AB16="×",AC16="○"),"７行目の品目：種類、規格が入力不十分＆単価が未入力/",
IF(AND(AB16="×",AC16="◎"),"７行目の品目：種類、規格が入力不十分/",
IF(AND(AB16="×",AC16="×"),"７行目の品目：種類、規格及び単価が入力不十分/",
IF(AND(AB16="◎",AC16="○"),"７行目の品目：単価が未入力/",
IF(AND(AB16="◎",AC16="◎"),"",
IF(AND(AB16="◎",AC16="×"),"７行目の品目：単価が入力不十分/")))))))))</f>
        <v/>
      </c>
      <c r="AE16" s="41">
        <v>7</v>
      </c>
    </row>
    <row r="17" spans="1:31" ht="20.100000000000001" customHeight="1">
      <c r="A17" s="40">
        <v>8</v>
      </c>
      <c r="B17" s="313"/>
      <c r="C17" s="314"/>
      <c r="D17" s="315"/>
      <c r="E17" s="316"/>
      <c r="F17" s="316"/>
      <c r="G17" s="45">
        <f t="shared" si="4"/>
        <v>0</v>
      </c>
      <c r="H17" s="385" t="str">
        <f>IF(Z17="◎",COUNTIF($Z$10:Z17,"◎"),"")</f>
        <v/>
      </c>
      <c r="P17" s="237"/>
      <c r="Q17" s="237"/>
      <c r="R17" s="237"/>
      <c r="Y17" s="49" t="s">
        <v>69</v>
      </c>
      <c r="Z17" s="234" t="str">
        <f t="shared" si="0"/>
        <v>○</v>
      </c>
      <c r="AA17" s="52" t="str">
        <f t="shared" si="1"/>
        <v>補助対象経費がある場合は入力してください。</v>
      </c>
      <c r="AB17" s="234" t="str">
        <f t="shared" si="2"/>
        <v>○</v>
      </c>
      <c r="AC17" s="234" t="str">
        <f t="shared" si="3"/>
        <v>○</v>
      </c>
      <c r="AD17" s="52" t="str">
        <f xml:space="preserve">
IF(AND(AB17="○",AC17="○"),"",
IF(AND(AB17="○",AC17="◎"),"８行目の品目：種類、規格が未入力/",
IF(AND(AB17="○",AC17="×"),"８行目の品目：種類、規格が未入力＆単価が入力不十分/",
IF(AND(AB17="×",AC17="○"),"８行目の品目：種類、規格が入力不十分＆単価が未入力/",
IF(AND(AB17="×",AC17="◎"),"８行目の品目：種類、規格が入力不十分/",
IF(AND(AB17="×",AC17="×"),"８行目の品目：種類、規格及び単価が入力不十分/",
IF(AND(AB17="◎",AC17="○"),"８行目の品目：単価が未入力/",
IF(AND(AB17="◎",AC17="◎"),"",
IF(AND(AB17="◎",AC17="×"),"８行目の品目：単価が入力不十分/")))))))))</f>
        <v/>
      </c>
      <c r="AE17" s="41">
        <v>8</v>
      </c>
    </row>
    <row r="18" spans="1:31" ht="20.100000000000001" customHeight="1">
      <c r="A18" s="40">
        <v>9</v>
      </c>
      <c r="B18" s="313"/>
      <c r="C18" s="314"/>
      <c r="D18" s="315"/>
      <c r="E18" s="316"/>
      <c r="F18" s="316"/>
      <c r="G18" s="45">
        <f t="shared" si="4"/>
        <v>0</v>
      </c>
      <c r="H18" s="385" t="str">
        <f>IF(Z18="◎",COUNTIF($Z$10:Z18,"◎"),"")</f>
        <v/>
      </c>
      <c r="Y18" s="49" t="s">
        <v>69</v>
      </c>
      <c r="Z18" s="234" t="str">
        <f t="shared" si="0"/>
        <v>○</v>
      </c>
      <c r="AA18" s="52" t="str">
        <f t="shared" si="1"/>
        <v>補助対象経費がある場合は入力してください。</v>
      </c>
      <c r="AB18" s="234" t="str">
        <f t="shared" si="2"/>
        <v>○</v>
      </c>
      <c r="AC18" s="234" t="str">
        <f t="shared" si="3"/>
        <v>○</v>
      </c>
      <c r="AD18" s="52" t="str">
        <f xml:space="preserve">
IF(AND(AB18="○",AC18="○"),"",
IF(AND(AB18="○",AC18="◎"),"９行目の品目：種類、規格が未入力/",
IF(AND(AB18="○",AC18="×"),"９行目の品目：種類、規格が未入力＆単価が入力不十分/",
IF(AND(AB18="×",AC18="○"),"９行目の品目：種類、規格が入力不十分＆単価が未入力/",
IF(AND(AB18="×",AC18="◎"),"９行目の品目：種類、規格が入力不十分/",
IF(AND(AB18="×",AC18="×"),"９行目の品目：種類、規格及び単価が入力不十分/",
IF(AND(AB18="◎",AC18="○"),"９行目の品目：単価が未入力/",
IF(AND(AB18="◎",AC18="◎"),"",
IF(AND(AB18="◎",AC18="×"),"９行目の品目：単価が入力不十分/")))))))))</f>
        <v/>
      </c>
      <c r="AE18" s="41">
        <v>9</v>
      </c>
    </row>
    <row r="19" spans="1:31" ht="20.100000000000001" customHeight="1">
      <c r="A19" s="40">
        <v>10</v>
      </c>
      <c r="B19" s="313"/>
      <c r="C19" s="314"/>
      <c r="D19" s="315"/>
      <c r="E19" s="316"/>
      <c r="F19" s="316"/>
      <c r="G19" s="45">
        <f t="shared" si="4"/>
        <v>0</v>
      </c>
      <c r="H19" s="385" t="str">
        <f>IF(Z19="◎",COUNTIF($Z$10:Z19,"◎"),"")</f>
        <v/>
      </c>
      <c r="Y19" s="49" t="s">
        <v>69</v>
      </c>
      <c r="Z19" s="234" t="str">
        <f t="shared" si="0"/>
        <v>○</v>
      </c>
      <c r="AA19" s="52" t="str">
        <f t="shared" si="1"/>
        <v>補助対象経費がある場合は入力してください。</v>
      </c>
      <c r="AB19" s="234" t="str">
        <f t="shared" si="2"/>
        <v>○</v>
      </c>
      <c r="AC19" s="234" t="str">
        <f t="shared" si="3"/>
        <v>○</v>
      </c>
      <c r="AD19" s="52" t="str">
        <f xml:space="preserve">
IF(AND(AB19="○",AC19="○"),"",
IF(AND(AB19="○",AC19="◎"),"10行目の品目：種類、規格が未入力/",
IF(AND(AB19="○",AC19="×"),"10行目の品目：種類、規格が未入力＆単価が入力不十分/",
IF(AND(AB19="×",AC19="○"),"10行目の品目：種類、規格が入力不十分＆単価が未入力/",
IF(AND(AB19="×",AC19="◎"),"10行目の品目：種類、規格が入力不十分/",
IF(AND(AB19="×",AC19="×"),"10行目の品目：種類、規格及び単価が入力不十分/",
IF(AND(AB19="◎",AC19="○"),"10行目の品目：単価が未入力/",
IF(AND(AB19="◎",AC19="◎"),"",
IF(AND(AB19="◎",AC19="×"),"10行目の品目：単価が入力不十分/")))))))))</f>
        <v/>
      </c>
      <c r="AE19" s="41">
        <v>10</v>
      </c>
    </row>
    <row r="20" spans="1:31" ht="20.100000000000001" customHeight="1">
      <c r="A20" s="40">
        <v>11</v>
      </c>
      <c r="B20" s="313"/>
      <c r="C20" s="314"/>
      <c r="D20" s="315"/>
      <c r="E20" s="316"/>
      <c r="F20" s="316"/>
      <c r="G20" s="45">
        <f t="shared" si="4"/>
        <v>0</v>
      </c>
      <c r="H20" s="385" t="str">
        <f>IF(Z20="◎",COUNTIF($Z$10:Z20,"◎"),"")</f>
        <v/>
      </c>
      <c r="Y20" s="49" t="s">
        <v>69</v>
      </c>
      <c r="Z20" s="234" t="str">
        <f t="shared" si="0"/>
        <v>○</v>
      </c>
      <c r="AA20" s="52" t="str">
        <f t="shared" si="1"/>
        <v>補助対象経費がある場合は入力してください。</v>
      </c>
      <c r="AB20" s="234" t="str">
        <f t="shared" si="2"/>
        <v>○</v>
      </c>
      <c r="AC20" s="234" t="str">
        <f t="shared" si="3"/>
        <v>○</v>
      </c>
      <c r="AD20" s="52" t="str">
        <f xml:space="preserve">
IF(AND(AB20="○",AC20="○"),"",
IF(AND(AB20="○",AC20="◎"),"11行目の品目：種類、規格が未入力/",
IF(AND(AB20="○",AC20="×"),"11行目の品目：種類、規格が未入力＆単価が入力不十分/",
IF(AND(AB20="×",AC20="○"),"11行目の品目：種類、規格が入力不十分＆単価が未入力/",
IF(AND(AB20="×",AC20="◎"),"11行目の品目：種類、規格が入力不十分/",
IF(AND(AB20="×",AC20="×"),"11行目の品目：種類、規格及び単価が入力不十分/",
IF(AND(AB20="◎",AC20="○"),"11行目の品目：単価が未入力/",
IF(AND(AB20="◎",AC20="◎"),"",
IF(AND(AB20="◎",AC20="×"),"11行目の品目：単価が入力不十分/")))))))))</f>
        <v/>
      </c>
      <c r="AE20" s="41">
        <v>11</v>
      </c>
    </row>
    <row r="21" spans="1:31" ht="20.100000000000001" customHeight="1">
      <c r="A21" s="40">
        <v>12</v>
      </c>
      <c r="B21" s="313"/>
      <c r="C21" s="314"/>
      <c r="D21" s="315"/>
      <c r="E21" s="316"/>
      <c r="F21" s="316"/>
      <c r="G21" s="45">
        <f t="shared" si="4"/>
        <v>0</v>
      </c>
      <c r="H21" s="385" t="str">
        <f>IF(Z21="◎",COUNTIF($Z$10:Z21,"◎"),"")</f>
        <v/>
      </c>
      <c r="Y21" s="49" t="s">
        <v>69</v>
      </c>
      <c r="Z21" s="234" t="str">
        <f t="shared" si="0"/>
        <v>○</v>
      </c>
      <c r="AA21" s="52" t="str">
        <f t="shared" si="1"/>
        <v>補助対象経費がある場合は入力してください。</v>
      </c>
      <c r="AB21" s="234" t="str">
        <f t="shared" si="2"/>
        <v>○</v>
      </c>
      <c r="AC21" s="234" t="str">
        <f t="shared" si="3"/>
        <v>○</v>
      </c>
      <c r="AD21" s="52" t="str">
        <f xml:space="preserve">
IF(AND(AB21="○",AC21="○"),"",
IF(AND(AB21="○",AC21="◎"),"12行目の品目：種類、規格が未入力/",
IF(AND(AB21="○",AC21="×"),"12行目の品目：種類、規格が未入力＆単価が入力不十分/",
IF(AND(AB21="×",AC21="○"),"12行目の品目：種類、規格が入力不十分＆単価が未入力/",
IF(AND(AB21="×",AC21="◎"),"12行目の品目：種類、規格が入力不十分/",
IF(AND(AB21="×",AC21="×"),"12行目の品目：種類、規格及び単価が入力不十分/",
IF(AND(AB21="◎",AC21="○"),"12行目の品目：単価が未入力/",
IF(AND(AB21="◎",AC21="◎"),"",
IF(AND(AB21="◎",AC21="×"),"12行目の品目：単価が入力不十分/")))))))))</f>
        <v/>
      </c>
      <c r="AE21" s="41">
        <v>12</v>
      </c>
    </row>
    <row r="22" spans="1:31" ht="20.100000000000001" customHeight="1">
      <c r="A22" s="40">
        <v>13</v>
      </c>
      <c r="B22" s="313"/>
      <c r="C22" s="314"/>
      <c r="D22" s="315"/>
      <c r="E22" s="316"/>
      <c r="F22" s="316"/>
      <c r="G22" s="45">
        <f t="shared" si="4"/>
        <v>0</v>
      </c>
      <c r="H22" s="385" t="str">
        <f>IF(Z22="◎",COUNTIF($Z$10:Z22,"◎"),"")</f>
        <v/>
      </c>
      <c r="Y22" s="49" t="s">
        <v>69</v>
      </c>
      <c r="Z22" s="234" t="str">
        <f t="shared" si="0"/>
        <v>○</v>
      </c>
      <c r="AA22" s="52" t="str">
        <f t="shared" si="1"/>
        <v>補助対象経費がある場合は入力してください。</v>
      </c>
      <c r="AB22" s="234" t="str">
        <f t="shared" si="2"/>
        <v>○</v>
      </c>
      <c r="AC22" s="234" t="str">
        <f t="shared" si="3"/>
        <v>○</v>
      </c>
      <c r="AD22" s="52" t="str">
        <f xml:space="preserve">
IF(AND(AB22="○",AC22="○"),"",
IF(AND(AB22="○",AC22="◎"),"13行目の品目：種類、規格が未入力/",
IF(AND(AB22="○",AC22="×"),"13行目の品目：種類、規格が未入力＆単価が入力不十分/",
IF(AND(AB22="×",AC22="○"),"13行目の品目：種類、規格が入力不十分＆単価が未入力/",
IF(AND(AB22="×",AC22="◎"),"13行目の品目：種類、規格が入力不十分/",
IF(AND(AB22="×",AC22="×"),"13行目の品目：種類、規格及び単価が入力不十分/",
IF(AND(AB22="◎",AC22="○"),"13行目の品目：単価が未入力/",
IF(AND(AB22="◎",AC22="◎"),"",
IF(AND(AB22="◎",AC22="×"),"13行目の品目：単価が入力不十分/")))))))))</f>
        <v/>
      </c>
      <c r="AE22" s="41">
        <v>13</v>
      </c>
    </row>
    <row r="23" spans="1:31" ht="20.100000000000001" customHeight="1">
      <c r="A23" s="40">
        <v>14</v>
      </c>
      <c r="B23" s="313"/>
      <c r="C23" s="314"/>
      <c r="D23" s="315"/>
      <c r="E23" s="316"/>
      <c r="F23" s="316"/>
      <c r="G23" s="45">
        <f t="shared" si="4"/>
        <v>0</v>
      </c>
      <c r="H23" s="385" t="str">
        <f>IF(Z23="◎",COUNTIF($Z$10:Z23,"◎"),"")</f>
        <v/>
      </c>
      <c r="Y23" s="49" t="s">
        <v>69</v>
      </c>
      <c r="Z23" s="234" t="str">
        <f t="shared" si="0"/>
        <v>○</v>
      </c>
      <c r="AA23" s="52" t="str">
        <f t="shared" si="1"/>
        <v>補助対象経費がある場合は入力してください。</v>
      </c>
      <c r="AB23" s="234" t="str">
        <f t="shared" si="2"/>
        <v>○</v>
      </c>
      <c r="AC23" s="234" t="str">
        <f t="shared" si="3"/>
        <v>○</v>
      </c>
      <c r="AD23" s="52" t="str">
        <f xml:space="preserve">
IF(AND(AB23="○",AC23="○"),"",
IF(AND(AB23="○",AC23="◎"),"14行目の品目：種類、規格が未入力/",
IF(AND(AB23="○",AC23="×"),"14行目の品目：種類、規格が未入力＆単価が入力不十分/",
IF(AND(AB23="×",AC23="○"),"14行目の品目：種類、規格が入力不十分＆単価が未入力/",
IF(AND(AB23="×",AC23="◎"),"14行目の品目：種類、規格が入力不十分/",
IF(AND(AB23="×",AC23="×"),"14行目の品目：種類、規格及び単価が入力不十分/",
IF(AND(AB23="◎",AC23="○"),"14行目の品目：単価が未入力/",
IF(AND(AB23="◎",AC23="◎"),"",
IF(AND(AB23="◎",AC23="×"),"14行目の品目：単価が入力不十分/")))))))))</f>
        <v/>
      </c>
      <c r="AE23" s="41">
        <v>14</v>
      </c>
    </row>
    <row r="24" spans="1:31" ht="20.100000000000001" customHeight="1">
      <c r="A24" s="40">
        <v>15</v>
      </c>
      <c r="B24" s="313"/>
      <c r="C24" s="314"/>
      <c r="D24" s="315"/>
      <c r="E24" s="316"/>
      <c r="F24" s="316"/>
      <c r="G24" s="45">
        <f t="shared" si="4"/>
        <v>0</v>
      </c>
      <c r="H24" s="385" t="str">
        <f>IF(Z24="◎",COUNTIF($Z$10:Z24,"◎"),"")</f>
        <v/>
      </c>
      <c r="Y24" s="49" t="s">
        <v>69</v>
      </c>
      <c r="Z24" s="234" t="str">
        <f t="shared" si="0"/>
        <v>○</v>
      </c>
      <c r="AA24" s="52" t="str">
        <f t="shared" si="1"/>
        <v>補助対象経費がある場合は入力してください。</v>
      </c>
      <c r="AB24" s="234" t="str">
        <f t="shared" si="2"/>
        <v>○</v>
      </c>
      <c r="AC24" s="234" t="str">
        <f t="shared" si="3"/>
        <v>○</v>
      </c>
      <c r="AD24" s="52" t="str">
        <f xml:space="preserve">
IF(AND(AB24="○",AC24="○"),"",
IF(AND(AB24="○",AC24="◎"),"15行目の品目：種類、規格が未入力/",
IF(AND(AB24="○",AC24="×"),"15行目の品目：種類、規格が未入力＆単価が入力不十分/",
IF(AND(AB24="×",AC24="○"),"15行目の品目：種類、規格が入力不十分＆単価が未入力/",
IF(AND(AB24="×",AC24="◎"),"15行目の品目：種類、規格が入力不十分/",
IF(AND(AB24="×",AC24="×"),"15行目の品目：種類、規格及び単価が入力不十分/",
IF(AND(AB24="◎",AC24="○"),"15行目の品目：単価が未入力/",
IF(AND(AB24="◎",AC24="◎"),"",
IF(AND(AB24="◎",AC24="×"),"15行目の品目：単価が入力不十分/")))))))))</f>
        <v/>
      </c>
      <c r="AE24" s="41">
        <v>15</v>
      </c>
    </row>
    <row r="25" spans="1:31" ht="20.100000000000001" customHeight="1">
      <c r="A25" s="40">
        <v>16</v>
      </c>
      <c r="B25" s="313"/>
      <c r="C25" s="314"/>
      <c r="D25" s="315"/>
      <c r="E25" s="316"/>
      <c r="F25" s="316"/>
      <c r="G25" s="45">
        <f t="shared" si="4"/>
        <v>0</v>
      </c>
      <c r="H25" s="385" t="str">
        <f>IF(Z25="◎",COUNTIF($Z$10:Z25,"◎"),"")</f>
        <v/>
      </c>
      <c r="Y25" s="49" t="s">
        <v>69</v>
      </c>
      <c r="Z25" s="234" t="str">
        <f t="shared" si="0"/>
        <v>○</v>
      </c>
      <c r="AA25" s="52" t="str">
        <f t="shared" si="1"/>
        <v>補助対象経費がある場合は入力してください。</v>
      </c>
      <c r="AB25" s="234" t="str">
        <f t="shared" si="2"/>
        <v>○</v>
      </c>
      <c r="AC25" s="234" t="str">
        <f t="shared" si="3"/>
        <v>○</v>
      </c>
      <c r="AD25" s="52" t="str">
        <f xml:space="preserve">
IF(AND(AB25="○",AC25="○"),"",
IF(AND(AB25="○",AC25="◎"),"16行目の品目：種類、規格が未入力/",
IF(AND(AB25="○",AC25="×"),"16行目の品目：種類、規格が未入力＆単価が入力不十分/",
IF(AND(AB25="×",AC25="○"),"16行目の品目：種類、規格が入力不十分＆単価が未入力/",
IF(AND(AB25="×",AC25="◎"),"16行目の品目：種類、規格が入力不十分/",
IF(AND(AB25="×",AC25="×"),"16行目の品目：種類、規格及び単価が入力不十分/",
IF(AND(AB25="◎",AC25="○"),"16行目の品目：単価が未入力/",
IF(AND(AB25="◎",AC25="◎"),"",
IF(AND(AB25="◎",AC25="×"),"16行目の品目：単価が入力不十分/")))))))))</f>
        <v/>
      </c>
      <c r="AE25" s="41">
        <v>16</v>
      </c>
    </row>
    <row r="26" spans="1:31" ht="20.100000000000001" customHeight="1">
      <c r="A26" s="40">
        <v>17</v>
      </c>
      <c r="B26" s="313"/>
      <c r="C26" s="314"/>
      <c r="D26" s="315"/>
      <c r="E26" s="316"/>
      <c r="F26" s="316"/>
      <c r="G26" s="45">
        <f t="shared" si="4"/>
        <v>0</v>
      </c>
      <c r="H26" s="385" t="str">
        <f>IF(Z26="◎",COUNTIF($Z$10:Z26,"◎"),"")</f>
        <v/>
      </c>
      <c r="Y26" s="49" t="s">
        <v>69</v>
      </c>
      <c r="Z26" s="234" t="str">
        <f t="shared" si="0"/>
        <v>○</v>
      </c>
      <c r="AA26" s="52" t="str">
        <f t="shared" si="1"/>
        <v>補助対象経費がある場合は入力してください。</v>
      </c>
      <c r="AB26" s="234" t="str">
        <f t="shared" si="2"/>
        <v>○</v>
      </c>
      <c r="AC26" s="234" t="str">
        <f t="shared" si="3"/>
        <v>○</v>
      </c>
      <c r="AD26" s="52" t="str">
        <f xml:space="preserve">
IF(AND(AB26="○",AC26="○"),"",
IF(AND(AB26="○",AC26="◎"),"17行目の品目：種類、規格が未入力/",
IF(AND(AB26="○",AC26="×"),"17行目の品目：種類、規格が未入力＆単価が入力不十分/",
IF(AND(AB26="×",AC26="○"),"17行目の品目：種類、規格が入力不十分＆単価が未入力/",
IF(AND(AB26="×",AC26="◎"),"17行目の品目：種類、規格が入力不十分/",
IF(AND(AB26="×",AC26="×"),"17行目の品目：種類、規格及び単価が入力不十分/",
IF(AND(AB26="◎",AC26="○"),"17行目の品目：単価が未入力/",
IF(AND(AB26="◎",AC26="◎"),"",
IF(AND(AB26="◎",AC26="×"),"17行目の品目：単価が入力不十分/")))))))))</f>
        <v/>
      </c>
      <c r="AE26" s="41">
        <v>17</v>
      </c>
    </row>
    <row r="27" spans="1:31" ht="20.100000000000001" customHeight="1">
      <c r="A27" s="40">
        <v>18</v>
      </c>
      <c r="B27" s="313"/>
      <c r="C27" s="314"/>
      <c r="D27" s="315"/>
      <c r="E27" s="316"/>
      <c r="F27" s="316"/>
      <c r="G27" s="45">
        <f t="shared" si="4"/>
        <v>0</v>
      </c>
      <c r="H27" s="385" t="str">
        <f>IF(Z27="◎",COUNTIF($Z$10:Z27,"◎"),"")</f>
        <v/>
      </c>
      <c r="Y27" s="49" t="s">
        <v>69</v>
      </c>
      <c r="Z27" s="234" t="str">
        <f t="shared" si="0"/>
        <v>○</v>
      </c>
      <c r="AA27" s="52" t="str">
        <f t="shared" si="1"/>
        <v>補助対象経費がある場合は入力してください。</v>
      </c>
      <c r="AB27" s="234" t="str">
        <f t="shared" si="2"/>
        <v>○</v>
      </c>
      <c r="AC27" s="234" t="str">
        <f t="shared" si="3"/>
        <v>○</v>
      </c>
      <c r="AD27" s="52" t="str">
        <f xml:space="preserve">
IF(AND(AB27="○",AC27="○"),"",
IF(AND(AB27="○",AC27="◎"),"18行目の品目：種類、規格が未入力/",
IF(AND(AB27="○",AC27="×"),"18行目の品目：種類、規格が未入力＆単価が入力不十分/",
IF(AND(AB27="×",AC27="○"),"18行目の品目：種類、規格が入力不十分＆単価が未入力/",
IF(AND(AB27="×",AC27="◎"),"18行目の品目：種類、規格が入力不十分/",
IF(AND(AB27="×",AC27="×"),"18行目の品目：種類、規格及び単価が入力不十分/",
IF(AND(AB27="◎",AC27="○"),"18行目の品目：単価が未入力/",
IF(AND(AB27="◎",AC27="◎"),"",
IF(AND(AB27="◎",AC27="×"),"18行目の品目：単価が入力不十分/")))))))))</f>
        <v/>
      </c>
      <c r="AE27" s="41">
        <v>18</v>
      </c>
    </row>
    <row r="28" spans="1:31" ht="20.100000000000001" customHeight="1">
      <c r="A28" s="40">
        <v>19</v>
      </c>
      <c r="B28" s="313"/>
      <c r="C28" s="314"/>
      <c r="D28" s="315"/>
      <c r="E28" s="316"/>
      <c r="F28" s="316"/>
      <c r="G28" s="45">
        <f t="shared" si="4"/>
        <v>0</v>
      </c>
      <c r="H28" s="385" t="str">
        <f>IF(Z28="◎",COUNTIF($Z$10:Z28,"◎"),"")</f>
        <v/>
      </c>
      <c r="Y28" s="49" t="s">
        <v>69</v>
      </c>
      <c r="Z28" s="234" t="str">
        <f t="shared" si="0"/>
        <v>○</v>
      </c>
      <c r="AA28" s="52" t="str">
        <f t="shared" si="1"/>
        <v>補助対象経費がある場合は入力してください。</v>
      </c>
      <c r="AB28" s="234" t="str">
        <f t="shared" si="2"/>
        <v>○</v>
      </c>
      <c r="AC28" s="234" t="str">
        <f t="shared" si="3"/>
        <v>○</v>
      </c>
      <c r="AD28" s="52" t="str">
        <f xml:space="preserve">
IF(AND(AB28="○",AC28="○"),"",
IF(AND(AB28="○",AC28="◎"),"19行目の品目：種類、規格が未入力/",
IF(AND(AB28="○",AC28="×"),"19行目の品目：種類、規格が未入力＆単価が入力不十分/",
IF(AND(AB28="×",AC28="○"),"19行目の品目：種類、規格が入力不十分＆単価が未入力/",
IF(AND(AB28="×",AC28="◎"),"19行目の品目：種類、規格が入力不十分/",
IF(AND(AB28="×",AC28="×"),"19行目の品目：種類、規格及び単価が入力不十分/",
IF(AND(AB28="◎",AC28="○"),"19行目の品目：単価が未入力/",
IF(AND(AB28="◎",AC28="◎"),"",
IF(AND(AB28="◎",AC28="×"),"19行目の品目：単価が入力不十分/")))))))))</f>
        <v/>
      </c>
      <c r="AE28" s="41">
        <v>19</v>
      </c>
    </row>
    <row r="29" spans="1:31" ht="20.100000000000001" customHeight="1">
      <c r="A29" s="40">
        <v>20</v>
      </c>
      <c r="B29" s="313"/>
      <c r="C29" s="314"/>
      <c r="D29" s="315"/>
      <c r="E29" s="316"/>
      <c r="F29" s="316"/>
      <c r="G29" s="45">
        <f t="shared" si="4"/>
        <v>0</v>
      </c>
      <c r="H29" s="385" t="str">
        <f>IF(Z29="◎",COUNTIF($Z$10:Z29,"◎"),"")</f>
        <v/>
      </c>
      <c r="Y29" s="49" t="s">
        <v>69</v>
      </c>
      <c r="Z29" s="234" t="str">
        <f t="shared" si="0"/>
        <v>○</v>
      </c>
      <c r="AA29" s="52" t="str">
        <f t="shared" si="1"/>
        <v>補助対象経費がある場合は入力してください。</v>
      </c>
      <c r="AB29" s="234" t="str">
        <f t="shared" si="2"/>
        <v>○</v>
      </c>
      <c r="AC29" s="234" t="str">
        <f t="shared" si="3"/>
        <v>○</v>
      </c>
      <c r="AD29" s="52" t="str">
        <f xml:space="preserve">
IF(AND(AB29="○",AC29="○"),"",
IF(AND(AB29="○",AC29="◎"),"20行目の品目：種類、規格が未入力/",
IF(AND(AB29="○",AC29="×"),"20行目の品目：種類、規格が未入力＆単価が入力不十分/",
IF(AND(AB29="×",AC29="○"),"20行目の品目：種類、規格が入力不十分＆単価が未入力/",
IF(AND(AB29="×",AC29="◎"),"20行目の品目：種類、規格が入力不十分/",
IF(AND(AB29="×",AC29="×"),"20行目の品目：種類、規格及び単価が入力不十分/",
IF(AND(AB29="◎",AC29="○"),"20行目の品目：単価が未入力/",
IF(AND(AB29="◎",AC29="◎"),"",
IF(AND(AB29="◎",AC29="×"),"20行目の品目：単価が入力不十分/")))))))))</f>
        <v/>
      </c>
      <c r="AE29" s="41">
        <v>20</v>
      </c>
    </row>
    <row r="30" spans="1:31" ht="20.100000000000001" customHeight="1">
      <c r="A30" s="40">
        <v>21</v>
      </c>
      <c r="B30" s="313"/>
      <c r="C30" s="314"/>
      <c r="D30" s="315"/>
      <c r="E30" s="316"/>
      <c r="F30" s="316"/>
      <c r="G30" s="45">
        <f t="shared" si="4"/>
        <v>0</v>
      </c>
      <c r="H30" s="385" t="str">
        <f>IF(Z30="◎",COUNTIF($Z$10:Z30,"◎"),"")</f>
        <v/>
      </c>
      <c r="Y30" s="49" t="s">
        <v>69</v>
      </c>
      <c r="Z30" s="234" t="str">
        <f t="shared" si="0"/>
        <v>○</v>
      </c>
      <c r="AA30" s="52" t="str">
        <f t="shared" si="1"/>
        <v>補助対象経費がある場合は入力してください。</v>
      </c>
      <c r="AB30" s="234" t="str">
        <f t="shared" si="2"/>
        <v>○</v>
      </c>
      <c r="AC30" s="234" t="str">
        <f t="shared" si="3"/>
        <v>○</v>
      </c>
      <c r="AD30" s="52" t="str">
        <f xml:space="preserve">
IF(AND(AB30="○",AC30="○"),"",
IF(AND(AB30="○",AC30="◎"),"21行目の品目：種類、規格が未入力/",
IF(AND(AB30="○",AC30="×"),"21行目の品目：種類、規格が未入力＆単価が入力不十分/",
IF(AND(AB30="×",AC30="○"),"21行目の品目：種類、規格が入力不十分＆単価が未入力/",
IF(AND(AB30="×",AC30="◎"),"21行目の品目：種類、規格が入力不十分/",
IF(AND(AB30="×",AC30="×"),"21行目の品目：種類、規格及び単価が入力不十分/",
IF(AND(AB30="◎",AC30="○"),"21行目の品目：単価が未入力/",
IF(AND(AB30="◎",AC30="◎"),"",
IF(AND(AB30="◎",AC30="×"),"21行目の品目：単価が入力不十分/")))))))))</f>
        <v/>
      </c>
      <c r="AE30" s="41">
        <v>21</v>
      </c>
    </row>
    <row r="31" spans="1:31" ht="20.100000000000001" customHeight="1">
      <c r="A31" s="40">
        <v>22</v>
      </c>
      <c r="B31" s="313"/>
      <c r="C31" s="314"/>
      <c r="D31" s="315"/>
      <c r="E31" s="316"/>
      <c r="F31" s="316"/>
      <c r="G31" s="45">
        <f t="shared" si="4"/>
        <v>0</v>
      </c>
      <c r="H31" s="385" t="str">
        <f>IF(Z31="◎",COUNTIF($Z$10:Z31,"◎"),"")</f>
        <v/>
      </c>
      <c r="Y31" s="49" t="s">
        <v>69</v>
      </c>
      <c r="Z31" s="234" t="str">
        <f t="shared" si="0"/>
        <v>○</v>
      </c>
      <c r="AA31" s="52" t="str">
        <f t="shared" si="1"/>
        <v>補助対象経費がある場合は入力してください。</v>
      </c>
      <c r="AB31" s="234" t="str">
        <f t="shared" si="2"/>
        <v>○</v>
      </c>
      <c r="AC31" s="234" t="str">
        <f t="shared" si="3"/>
        <v>○</v>
      </c>
      <c r="AD31" s="52" t="str">
        <f xml:space="preserve">
IF(AND(AB31="○",AC31="○"),"",
IF(AND(AB31="○",AC31="◎"),"22行目の品目：種類、規格が未入力/",
IF(AND(AB31="○",AC31="×"),"22行目の品目：種類、規格が未入力＆単価が入力不十分/",
IF(AND(AB31="×",AC31="○"),"22行目の品目：種類、規格が入力不十分＆単価が未入力/",
IF(AND(AB31="×",AC31="◎"),"22行目の品目：種類、規格が入力不十分/",
IF(AND(AB31="×",AC31="×"),"22行目の品目：種類、規格及び単価が入力不十分/",
IF(AND(AB31="◎",AC31="○"),"22行目の品目：単価が未入力/",
IF(AND(AB31="◎",AC31="◎"),"",
IF(AND(AB31="◎",AC31="×"),"22行目の品目：単価が入力不十分/")))))))))</f>
        <v/>
      </c>
      <c r="AE31" s="41">
        <v>22</v>
      </c>
    </row>
    <row r="32" spans="1:31" ht="20.100000000000001" customHeight="1">
      <c r="A32" s="40">
        <v>23</v>
      </c>
      <c r="B32" s="313"/>
      <c r="C32" s="314"/>
      <c r="D32" s="315"/>
      <c r="E32" s="316"/>
      <c r="F32" s="316"/>
      <c r="G32" s="45">
        <f t="shared" si="4"/>
        <v>0</v>
      </c>
      <c r="H32" s="385" t="str">
        <f>IF(Z32="◎",COUNTIF($Z$10:Z32,"◎"),"")</f>
        <v/>
      </c>
      <c r="Y32" s="49" t="s">
        <v>69</v>
      </c>
      <c r="Z32" s="234" t="str">
        <f t="shared" si="0"/>
        <v>○</v>
      </c>
      <c r="AA32" s="52" t="str">
        <f t="shared" si="1"/>
        <v>補助対象経費がある場合は入力してください。</v>
      </c>
      <c r="AB32" s="234" t="str">
        <f t="shared" si="2"/>
        <v>○</v>
      </c>
      <c r="AC32" s="234" t="str">
        <f t="shared" si="3"/>
        <v>○</v>
      </c>
      <c r="AD32" s="52" t="str">
        <f xml:space="preserve">
IF(AND(AB32="○",AC32="○"),"",
IF(AND(AB32="○",AC32="◎"),"23行目の品目：種類、規格が未入力/",
IF(AND(AB32="○",AC32="×"),"23行目の品目：種類、規格が未入力＆単価が入力不十分/",
IF(AND(AB32="×",AC32="○"),"23行目の品目：種類、規格が入力不十分＆単価が未入力/",
IF(AND(AB32="×",AC32="◎"),"23行目の品目：種類、規格が入力不十分/",
IF(AND(AB32="×",AC32="×"),"23行目の品目：種類、規格及び単価が入力不十分/",
IF(AND(AB32="◎",AC32="○"),"23行目の品目：単価が未入力/",
IF(AND(AB32="◎",AC32="◎"),"",
IF(AND(AB32="◎",AC32="×"),"23行目の品目：単価が入力不十分/")))))))))</f>
        <v/>
      </c>
      <c r="AE32" s="41">
        <v>23</v>
      </c>
    </row>
    <row r="33" spans="1:31" ht="20.100000000000001" customHeight="1">
      <c r="A33" s="40">
        <v>24</v>
      </c>
      <c r="B33" s="313"/>
      <c r="C33" s="314"/>
      <c r="D33" s="315"/>
      <c r="E33" s="316"/>
      <c r="F33" s="316"/>
      <c r="G33" s="45">
        <f t="shared" si="4"/>
        <v>0</v>
      </c>
      <c r="H33" s="385" t="str">
        <f>IF(Z33="◎",COUNTIF($Z$10:Z33,"◎"),"")</f>
        <v/>
      </c>
      <c r="Y33" s="49" t="s">
        <v>69</v>
      </c>
      <c r="Z33" s="234" t="str">
        <f t="shared" si="0"/>
        <v>○</v>
      </c>
      <c r="AA33" s="52" t="str">
        <f t="shared" si="1"/>
        <v>補助対象経費がある場合は入力してください。</v>
      </c>
      <c r="AB33" s="234" t="str">
        <f t="shared" si="2"/>
        <v>○</v>
      </c>
      <c r="AC33" s="234" t="str">
        <f t="shared" si="3"/>
        <v>○</v>
      </c>
      <c r="AD33" s="52" t="str">
        <f xml:space="preserve">
IF(AND(AB33="○",AC33="○"),"",
IF(AND(AB33="○",AC33="◎"),"24行目の品目：種類、規格が未入力/",
IF(AND(AB33="○",AC33="×"),"24行目の品目：種類、規格が未入力＆単価が入力不十分/",
IF(AND(AB33="×",AC33="○"),"24行目の品目：種類、規格が入力不十分＆単価が未入力/",
IF(AND(AB33="×",AC33="◎"),"24行目の品目：種類、規格が入力不十分/",
IF(AND(AB33="×",AC33="×"),"24行目の品目：種類、規格及び単価が入力不十分/",
IF(AND(AB33="◎",AC33="○"),"24行目の品目：単価が未入力/",
IF(AND(AB33="◎",AC33="◎"),"",
IF(AND(AB33="◎",AC33="×"),"24行目の品目：単価が入力不十分/")))))))))</f>
        <v/>
      </c>
      <c r="AE33" s="41">
        <v>24</v>
      </c>
    </row>
    <row r="34" spans="1:31" ht="20.100000000000001" customHeight="1">
      <c r="A34" s="40">
        <v>25</v>
      </c>
      <c r="B34" s="313"/>
      <c r="C34" s="314"/>
      <c r="D34" s="315"/>
      <c r="E34" s="316"/>
      <c r="F34" s="316"/>
      <c r="G34" s="45">
        <f t="shared" si="4"/>
        <v>0</v>
      </c>
      <c r="H34" s="385" t="str">
        <f>IF(Z34="◎",COUNTIF($Z$10:Z34,"◎"),"")</f>
        <v/>
      </c>
      <c r="Y34" s="49" t="s">
        <v>69</v>
      </c>
      <c r="Z34" s="234" t="str">
        <f t="shared" si="0"/>
        <v>○</v>
      </c>
      <c r="AA34" s="52" t="str">
        <f t="shared" si="1"/>
        <v>補助対象経費がある場合は入力してください。</v>
      </c>
      <c r="AB34" s="234" t="str">
        <f t="shared" si="2"/>
        <v>○</v>
      </c>
      <c r="AC34" s="234" t="str">
        <f t="shared" si="3"/>
        <v>○</v>
      </c>
      <c r="AD34" s="52" t="str">
        <f xml:space="preserve">
IF(AND(AB34="○",AC34="○"),"",
IF(AND(AB34="○",AC34="◎"),"25行目の品目：種類、規格が未入力/",
IF(AND(AB34="○",AC34="×"),"25行目の品目：種類、規格が未入力＆単価が入力不十分/",
IF(AND(AB34="×",AC34="○"),"25行目の品目：種類、規格が入力不十分＆単価が未入力/",
IF(AND(AB34="×",AC34="◎"),"25行目の品目：種類、規格が入力不十分/",
IF(AND(AB34="×",AC34="×"),"25行目の品目：種類、規格及び単価が入力不十分/",
IF(AND(AB34="◎",AC34="○"),"25行目の品目：単価が未入力/",
IF(AND(AB34="◎",AC34="◎"),"",
IF(AND(AB34="◎",AC34="×"),"25行目の品目：単価が入力不十分/")))))))))</f>
        <v/>
      </c>
      <c r="AE34" s="41">
        <v>25</v>
      </c>
    </row>
    <row r="35" spans="1:31" ht="20.100000000000001" customHeight="1">
      <c r="A35" s="40">
        <v>26</v>
      </c>
      <c r="B35" s="313"/>
      <c r="C35" s="314"/>
      <c r="D35" s="315"/>
      <c r="E35" s="316"/>
      <c r="F35" s="316"/>
      <c r="G35" s="45">
        <f t="shared" si="4"/>
        <v>0</v>
      </c>
      <c r="H35" s="385" t="str">
        <f>IF(Z35="◎",COUNTIF($Z$10:Z35,"◎"),"")</f>
        <v/>
      </c>
      <c r="Y35" s="49" t="s">
        <v>69</v>
      </c>
      <c r="Z35" s="234" t="str">
        <f t="shared" si="0"/>
        <v>○</v>
      </c>
      <c r="AA35" s="52" t="str">
        <f t="shared" si="1"/>
        <v>補助対象経費がある場合は入力してください。</v>
      </c>
      <c r="AB35" s="234" t="str">
        <f t="shared" si="2"/>
        <v>○</v>
      </c>
      <c r="AC35" s="234" t="str">
        <f t="shared" si="3"/>
        <v>○</v>
      </c>
      <c r="AD35" s="52" t="str">
        <f xml:space="preserve">
IF(AND(AB35="○",AC35="○"),"",
IF(AND(AB35="○",AC35="◎"),"26行目の品目：種類、規格が未入力/",
IF(AND(AB35="○",AC35="×"),"26行目の品目：種類、規格が未入力＆単価が入力不十分/",
IF(AND(AB35="×",AC35="○"),"26行目の品目：種類、規格が入力不十分＆単価が未入力/",
IF(AND(AB35="×",AC35="◎"),"26行目の品目：種類、規格が入力不十分/",
IF(AND(AB35="×",AC35="×"),"26行目の品目：種類、規格及び単価が入力不十分/",
IF(AND(AB35="◎",AC35="○"),"26行目の品目：単価が未入力/",
IF(AND(AB35="◎",AC35="◎"),"",
IF(AND(AB35="◎",AC35="×"),"26行目の品目：単価が入力不十分/")))))))))</f>
        <v/>
      </c>
      <c r="AE35" s="41">
        <v>26</v>
      </c>
    </row>
    <row r="36" spans="1:31" ht="20.100000000000001" customHeight="1">
      <c r="A36" s="40">
        <v>27</v>
      </c>
      <c r="B36" s="313"/>
      <c r="C36" s="314"/>
      <c r="D36" s="315"/>
      <c r="E36" s="316"/>
      <c r="F36" s="316"/>
      <c r="G36" s="45">
        <f t="shared" si="4"/>
        <v>0</v>
      </c>
      <c r="H36" s="385" t="str">
        <f>IF(Z36="◎",COUNTIF($Z$10:Z36,"◎"),"")</f>
        <v/>
      </c>
      <c r="Y36" s="49" t="s">
        <v>69</v>
      </c>
      <c r="Z36" s="234" t="str">
        <f t="shared" si="0"/>
        <v>○</v>
      </c>
      <c r="AA36" s="52" t="str">
        <f t="shared" si="1"/>
        <v>補助対象経費がある場合は入力してください。</v>
      </c>
      <c r="AB36" s="234" t="str">
        <f t="shared" si="2"/>
        <v>○</v>
      </c>
      <c r="AC36" s="234" t="str">
        <f t="shared" si="3"/>
        <v>○</v>
      </c>
      <c r="AD36" s="52" t="str">
        <f xml:space="preserve">
IF(AND(AB36="○",AC36="○"),"",
IF(AND(AB36="○",AC36="◎"),"27行目の品目：種類、規格が未入力/",
IF(AND(AB36="○",AC36="×"),"27行目の品目：種類、規格が未入力＆単価が入力不十分/",
IF(AND(AB36="×",AC36="○"),"27行目の品目：種類、規格が入力不十分＆単価が未入力/",
IF(AND(AB36="×",AC36="◎"),"27行目の品目：種類、規格が入力不十分/",
IF(AND(AB36="×",AC36="×"),"27行目の品目：種類、規格及び単価が入力不十分/",
IF(AND(AB36="◎",AC36="○"),"27行目の品目：単価が未入力/",
IF(AND(AB36="◎",AC36="◎"),"",
IF(AND(AB36="◎",AC36="×"),"27行目の品目：単価が入力不十分/")))))))))</f>
        <v/>
      </c>
      <c r="AE36" s="41">
        <v>27</v>
      </c>
    </row>
    <row r="37" spans="1:31" ht="20.100000000000001" customHeight="1">
      <c r="A37" s="40">
        <v>28</v>
      </c>
      <c r="B37" s="313"/>
      <c r="C37" s="314"/>
      <c r="D37" s="315"/>
      <c r="E37" s="316"/>
      <c r="F37" s="316"/>
      <c r="G37" s="45">
        <f t="shared" si="4"/>
        <v>0</v>
      </c>
      <c r="H37" s="385" t="str">
        <f>IF(Z37="◎",COUNTIF($Z$10:Z37,"◎"),"")</f>
        <v/>
      </c>
      <c r="Y37" s="49" t="s">
        <v>69</v>
      </c>
      <c r="Z37" s="234" t="str">
        <f t="shared" si="0"/>
        <v>○</v>
      </c>
      <c r="AA37" s="52" t="str">
        <f t="shared" si="1"/>
        <v>補助対象経費がある場合は入力してください。</v>
      </c>
      <c r="AB37" s="234" t="str">
        <f t="shared" si="2"/>
        <v>○</v>
      </c>
      <c r="AC37" s="234" t="str">
        <f t="shared" si="3"/>
        <v>○</v>
      </c>
      <c r="AD37" s="52" t="str">
        <f xml:space="preserve">
IF(AND(AB37="○",AC37="○"),"",
IF(AND(AB37="○",AC37="◎"),"28行目の品目：種類、規格が未入力/",
IF(AND(AB37="○",AC37="×"),"28行目の品目：種類、規格が未入力＆単価が入力不十分/",
IF(AND(AB37="×",AC37="○"),"28行目の品目：種類、規格が入力不十分＆単価が未入力/",
IF(AND(AB37="×",AC37="◎"),"28行目の品目：種類、規格が入力不十分/",
IF(AND(AB37="×",AC37="×"),"28行目の品目：種類、規格及び単価が入力不十分/",
IF(AND(AB37="◎",AC37="○"),"28行目の品目：単価が未入力/",
IF(AND(AB37="◎",AC37="◎"),"",
IF(AND(AB37="◎",AC37="×"),"28行目の品目：単価が入力不十分/")))))))))</f>
        <v/>
      </c>
      <c r="AE37" s="41">
        <v>28</v>
      </c>
    </row>
    <row r="38" spans="1:31" ht="20.100000000000001" customHeight="1">
      <c r="A38" s="40">
        <v>29</v>
      </c>
      <c r="B38" s="313"/>
      <c r="C38" s="314"/>
      <c r="D38" s="315"/>
      <c r="E38" s="316"/>
      <c r="F38" s="316"/>
      <c r="G38" s="45">
        <f t="shared" si="4"/>
        <v>0</v>
      </c>
      <c r="H38" s="385" t="str">
        <f>IF(Z38="◎",COUNTIF($Z$10:Z38,"◎"),"")</f>
        <v/>
      </c>
      <c r="Y38" s="49" t="s">
        <v>69</v>
      </c>
      <c r="Z38" s="234" t="str">
        <f t="shared" si="0"/>
        <v>○</v>
      </c>
      <c r="AA38" s="52" t="str">
        <f t="shared" si="1"/>
        <v>補助対象経費がある場合は入力してください。</v>
      </c>
      <c r="AB38" s="234" t="str">
        <f t="shared" si="2"/>
        <v>○</v>
      </c>
      <c r="AC38" s="234" t="str">
        <f t="shared" si="3"/>
        <v>○</v>
      </c>
      <c r="AD38" s="52" t="str">
        <f xml:space="preserve">
IF(AND(AB38="○",AC38="○"),"",
IF(AND(AB38="○",AC38="◎"),"29行目の品目：種類、規格が未入力/",
IF(AND(AB38="○",AC38="×"),"29行目の品目：種類、規格が未入力＆単価が入力不十分/",
IF(AND(AB38="×",AC38="○"),"29行目の品目：種類、規格が入力不十分＆単価が未入力/",
IF(AND(AB38="×",AC38="◎"),"29行目の品目：種類、規格が入力不十分/",
IF(AND(AB38="×",AC38="×"),"29行目の品目：種類、規格及び単価が入力不十分/",
IF(AND(AB38="◎",AC38="○"),"29行目の品目：単価が未入力/",
IF(AND(AB38="◎",AC38="◎"),"",
IF(AND(AB38="◎",AC38="×"),"29行目の品目：単価が入力不十分/")))))))))</f>
        <v/>
      </c>
      <c r="AE38" s="41">
        <v>29</v>
      </c>
    </row>
    <row r="39" spans="1:31" ht="20.100000000000001" customHeight="1">
      <c r="A39" s="40">
        <v>30</v>
      </c>
      <c r="B39" s="313"/>
      <c r="C39" s="314"/>
      <c r="D39" s="315"/>
      <c r="E39" s="316"/>
      <c r="F39" s="316"/>
      <c r="G39" s="45">
        <f t="shared" si="4"/>
        <v>0</v>
      </c>
      <c r="H39" s="385" t="str">
        <f>IF(Z39="◎",COUNTIF($Z$10:Z39,"◎"),"")</f>
        <v/>
      </c>
      <c r="Y39" s="49" t="s">
        <v>69</v>
      </c>
      <c r="Z39" s="234" t="str">
        <f t="shared" si="0"/>
        <v>○</v>
      </c>
      <c r="AA39" s="52" t="str">
        <f t="shared" si="1"/>
        <v>補助対象経費がある場合は入力してください。</v>
      </c>
      <c r="AB39" s="234" t="str">
        <f t="shared" si="2"/>
        <v>○</v>
      </c>
      <c r="AC39" s="234" t="str">
        <f t="shared" si="3"/>
        <v>○</v>
      </c>
      <c r="AD39" s="52" t="str">
        <f xml:space="preserve">
IF(AND(AB39="○",AC39="○"),"",
IF(AND(AB39="○",AC39="◎"),"30行目の品目：種類、規格が未入力/",
IF(AND(AB39="○",AC39="×"),"30行目の品目：種類、規格が未入力＆単価が入力不十分/",
IF(AND(AB39="×",AC39="○"),"30行目の品目：種類、規格が入力不十分＆単価が未入力/",
IF(AND(AB39="×",AC39="◎"),"30行目の品目：種類、規格が入力不十分/",
IF(AND(AB39="×",AC39="×"),"30行目の品目：種類、規格及び単価が入力不十分/",
IF(AND(AB39="◎",AC39="○"),"30行目の品目：単価が未入力/",
IF(AND(AB39="◎",AC39="◎"),"",
IF(AND(AB39="◎",AC39="×"),"30行目の品目：単価が入力不十分/")))))))))</f>
        <v/>
      </c>
      <c r="AE39" s="41">
        <v>30</v>
      </c>
    </row>
    <row r="40" spans="1:31" ht="20.100000000000001" customHeight="1">
      <c r="A40" s="40">
        <v>31</v>
      </c>
      <c r="B40" s="313"/>
      <c r="C40" s="314"/>
      <c r="D40" s="315"/>
      <c r="E40" s="316"/>
      <c r="F40" s="316"/>
      <c r="G40" s="45">
        <f t="shared" si="4"/>
        <v>0</v>
      </c>
      <c r="H40" s="385" t="str">
        <f>IF(Z40="◎",COUNTIF($Z$10:Z40,"◎"),"")</f>
        <v/>
      </c>
      <c r="Y40" s="49" t="s">
        <v>69</v>
      </c>
      <c r="Z40" s="234" t="str">
        <f t="shared" si="0"/>
        <v>○</v>
      </c>
      <c r="AA40" s="52" t="str">
        <f t="shared" si="1"/>
        <v>補助対象経費がある場合は入力してください。</v>
      </c>
      <c r="AB40" s="234" t="str">
        <f t="shared" si="2"/>
        <v>○</v>
      </c>
      <c r="AC40" s="234" t="str">
        <f t="shared" si="3"/>
        <v>○</v>
      </c>
      <c r="AD40" s="52" t="str">
        <f xml:space="preserve">
IF(AND(AB40="○",AC40="○"),"",
IF(AND(AB40="○",AC40="◎"),"31行目の品目：種類、規格が未入力/",
IF(AND(AB40="○",AC40="×"),"31行目の品目：種類、規格が未入力＆単価が入力不十分/",
IF(AND(AB40="×",AC40="○"),"31行目の品目：種類、規格が入力不十分＆単価が未入力/",
IF(AND(AB40="×",AC40="◎"),"31行目の品目：種類、規格が入力不十分/",
IF(AND(AB40="×",AC40="×"),"31行目の品目：種類、規格及び単価が入力不十分/",
IF(AND(AB40="◎",AC40="○"),"31行目の品目：単価が未入力/",
IF(AND(AB40="◎",AC40="◎"),"",
IF(AND(AB40="◎",AC40="×"),"31行目の品目：単価が入力不十分/")))))))))</f>
        <v/>
      </c>
      <c r="AE40" s="41">
        <v>31</v>
      </c>
    </row>
    <row r="41" spans="1:31" ht="20.100000000000001" customHeight="1">
      <c r="A41" s="40">
        <v>32</v>
      </c>
      <c r="B41" s="313"/>
      <c r="C41" s="314"/>
      <c r="D41" s="315"/>
      <c r="E41" s="316"/>
      <c r="F41" s="316"/>
      <c r="G41" s="45">
        <f t="shared" si="4"/>
        <v>0</v>
      </c>
      <c r="H41" s="385" t="str">
        <f>IF(Z41="◎",COUNTIF($Z$10:Z41,"◎"),"")</f>
        <v/>
      </c>
      <c r="Y41" s="49" t="s">
        <v>69</v>
      </c>
      <c r="Z41" s="234" t="str">
        <f t="shared" si="0"/>
        <v>○</v>
      </c>
      <c r="AA41" s="52" t="str">
        <f t="shared" si="1"/>
        <v>補助対象経費がある場合は入力してください。</v>
      </c>
      <c r="AB41" s="234" t="str">
        <f t="shared" si="2"/>
        <v>○</v>
      </c>
      <c r="AC41" s="234" t="str">
        <f t="shared" si="3"/>
        <v>○</v>
      </c>
      <c r="AD41" s="52" t="str">
        <f xml:space="preserve">
IF(AND(AB41="○",AC41="○"),"",
IF(AND(AB41="○",AC41="◎"),"32行目の品目：種類、規格が未入力/",
IF(AND(AB41="○",AC41="×"),"32行目の品目：種類、規格が未入力＆単価が入力不十分/",
IF(AND(AB41="×",AC41="○"),"32行目の品目：種類、規格が入力不十分＆単価が未入力/",
IF(AND(AB41="×",AC41="◎"),"32行目の品目：種類、規格が入力不十分/",
IF(AND(AB41="×",AC41="×"),"32行目の品目：種類、規格及び単価が入力不十分/",
IF(AND(AB41="◎",AC41="○"),"32行目の品目：単価が未入力/",
IF(AND(AB41="◎",AC41="◎"),"",
IF(AND(AB41="◎",AC41="×"),"32行目の品目：単価が入力不十分/")))))))))</f>
        <v/>
      </c>
      <c r="AE41" s="41">
        <v>32</v>
      </c>
    </row>
    <row r="42" spans="1:31" ht="20.100000000000001" customHeight="1">
      <c r="D42" s="65"/>
      <c r="E42" s="65"/>
      <c r="F42" s="65"/>
      <c r="G42" s="65"/>
      <c r="Y42" s="49" t="str">
        <f>IF(D6=0,"×","○")</f>
        <v>×</v>
      </c>
    </row>
    <row r="43" spans="1:31" ht="20.100000000000001" customHeight="1">
      <c r="D43" s="65"/>
      <c r="E43" s="65"/>
      <c r="F43" s="65"/>
      <c r="G43" s="65"/>
    </row>
    <row r="44" spans="1:31" ht="20.100000000000001" customHeight="1">
      <c r="D44" s="65"/>
      <c r="E44" s="65"/>
      <c r="F44" s="65"/>
      <c r="G44" s="65"/>
    </row>
    <row r="45" spans="1:31" ht="20.100000000000001" customHeight="1">
      <c r="D45" s="65"/>
      <c r="E45" s="65"/>
      <c r="F45" s="65"/>
      <c r="G45" s="65"/>
    </row>
    <row r="46" spans="1:31" ht="20.100000000000001" customHeight="1">
      <c r="D46" s="65"/>
      <c r="E46" s="65"/>
      <c r="F46" s="65"/>
      <c r="G46" s="65"/>
    </row>
    <row r="47" spans="1:31" ht="20.100000000000001" customHeight="1">
      <c r="D47" s="65"/>
      <c r="E47" s="65"/>
      <c r="F47" s="65"/>
      <c r="G47" s="65"/>
    </row>
    <row r="48" spans="1:31" ht="20.100000000000001" customHeight="1">
      <c r="D48" s="65"/>
      <c r="E48" s="65"/>
      <c r="F48" s="65"/>
      <c r="G48" s="65"/>
    </row>
  </sheetData>
  <sheetProtection algorithmName="SHA-512" hashValue="8eP6Xc+2ALG2zh9WBnumjAumJpTd3pVaqfkh5YykKTmo90q3ByLOdCOsQcnRU/C32oXBiQ0DgK4CtR5VyIV0VQ==" saltValue="1D3c16PqsLupJufRCwTjfg==" spinCount="100000" sheet="1" insertRows="0"/>
  <mergeCells count="9">
    <mergeCell ref="AY4:BC6"/>
    <mergeCell ref="AL5:AP9"/>
    <mergeCell ref="AL4:AP4"/>
    <mergeCell ref="AG4:AK4"/>
    <mergeCell ref="E2:H2"/>
    <mergeCell ref="AG5:AK9"/>
    <mergeCell ref="B3:H3"/>
    <mergeCell ref="AW5:AW6"/>
    <mergeCell ref="AX5:AX6"/>
  </mergeCells>
  <phoneticPr fontId="1"/>
  <conditionalFormatting sqref="AG5">
    <cfRule type="containsText" dxfId="92" priority="8" operator="containsText" text="（補助対象員数）">
      <formula>NOT(ISERROR(SEARCH("（補助対象員数）",AG5)))</formula>
    </cfRule>
  </conditionalFormatting>
  <conditionalFormatting sqref="AA10:AA41">
    <cfRule type="containsText" dxfId="91" priority="7" operator="containsText" text="【不備の点】">
      <formula>NOT(ISERROR(SEARCH("【不備の点】",AA10)))</formula>
    </cfRule>
  </conditionalFormatting>
  <conditionalFormatting sqref="Z10:Z41">
    <cfRule type="containsText" dxfId="90" priority="6" operator="containsText" text="×">
      <formula>NOT(ISERROR(SEARCH("×",Z10)))</formula>
    </cfRule>
  </conditionalFormatting>
  <conditionalFormatting sqref="AL5:AO9">
    <cfRule type="containsText" dxfId="89" priority="5" operator="containsText" text="要修正">
      <formula>NOT(ISERROR(SEARCH("要修正",AL5)))</formula>
    </cfRule>
  </conditionalFormatting>
  <conditionalFormatting sqref="AG5:AK9">
    <cfRule type="containsText" dxfId="88" priority="4" operator="containsText" text="【未入力有】">
      <formula>NOT(ISERROR(SEARCH("【未入力有】",AG5)))</formula>
    </cfRule>
  </conditionalFormatting>
  <conditionalFormatting sqref="AV5:AW6">
    <cfRule type="containsText" dxfId="87" priority="3" operator="containsText" text="×">
      <formula>NOT(ISERROR(SEARCH("×",AV5)))</formula>
    </cfRule>
  </conditionalFormatting>
  <conditionalFormatting sqref="AX5:AX6">
    <cfRule type="containsText" dxfId="86" priority="2" operator="containsText" text="要修正">
      <formula>NOT(ISERROR(SEARCH("要修正",AX5)))</formula>
    </cfRule>
  </conditionalFormatting>
  <conditionalFormatting sqref="E2:H2">
    <cfRule type="containsText" dxfId="85" priority="1" operator="containsText" text="要修正">
      <formula>NOT(ISERROR(SEARCH("要修正",E2)))</formula>
    </cfRule>
  </conditionalFormatting>
  <dataValidations count="5">
    <dataValidation type="list" allowBlank="1" showInputMessage="1" showErrorMessage="1" promptTitle="①「種類」欄はプルダウンリストから選択してください。" prompt="申請できる個人防護具の種類は、_x000a_マスク、ゴーグル、ガウン、グローブ、キャップ、フェイスシールド_x000a_です。" sqref="B10:B41">
      <formula1>"マスク,ゴーグル,ガウン,グローブ,キャップ,フェイスシールド"</formula1>
    </dataValidation>
    <dataValidation allowBlank="1" showInputMessage="1" showErrorMessage="1" promptTitle="金額の表示" prompt="数式が入力されているため、自動計算されます。" sqref="G10:G41"/>
    <dataValidation allowBlank="1" showInputMessage="1" showErrorMessage="1" promptTitle="添付書類番号" prompt="種類、規格、数量、単価が全て適切に入力され、右の「判定」が「◎」と表示されると自動で番号が表示されます。" sqref="H10:H41"/>
    <dataValidation allowBlank="1" showInputMessage="1" showErrorMessage="1" promptTitle="単価の入力" prompt="税抜額または税込額のいずれかを入力してください。_x000a_入力しない方は「0」は入力せず、空欄としてください。" sqref="E10:F41"/>
    <dataValidation allowBlank="1" showInputMessage="1" showErrorMessage="1" promptTitle="規格及び数量の入力" prompt="補助対象経費を計上する際、いずれも入力してください。" sqref="C10:D41"/>
  </dataValidations>
  <printOptions horizontalCentered="1"/>
  <pageMargins left="0.59055118110236227" right="0.39370078740157483" top="0.39370078740157483" bottom="0.39370078740157483" header="0.31496062992125984" footer="0.31496062992125984"/>
  <pageSetup paperSize="9" scale="87" fitToWidth="0"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BW65"/>
  <sheetViews>
    <sheetView showGridLines="0" view="pageBreakPreview" zoomScale="30" zoomScaleNormal="100" zoomScaleSheetLayoutView="30" workbookViewId="0">
      <pane xSplit="1" ySplit="15" topLeftCell="B16" activePane="bottomRight" state="frozen"/>
      <selection activeCell="N3" sqref="N3:Q3"/>
      <selection pane="topRight" activeCell="N3" sqref="N3:Q3"/>
      <selection pane="bottomLeft" activeCell="N3" sqref="N3:Q3"/>
      <selection pane="bottomRight" activeCell="AA24" sqref="AA24"/>
    </sheetView>
  </sheetViews>
  <sheetFormatPr defaultColWidth="9" defaultRowHeight="20.100000000000001" customHeight="1"/>
  <cols>
    <col min="1" max="1" width="5.625" style="38" customWidth="1"/>
    <col min="2" max="4" width="11.625" style="38" customWidth="1"/>
    <col min="5" max="5" width="26.5" style="39" customWidth="1"/>
    <col min="6" max="7" width="11.625" style="40" customWidth="1"/>
    <col min="8" max="9" width="12.625" style="40" customWidth="1"/>
    <col min="10" max="10" width="12.625" style="25" customWidth="1"/>
    <col min="11" max="12" width="12.625" style="40" customWidth="1"/>
    <col min="13" max="13" width="2.625" style="40" customWidth="1"/>
    <col min="14" max="15" width="30.625" style="41" customWidth="1"/>
    <col min="16" max="16" width="40.625" style="41" customWidth="1"/>
    <col min="17" max="18" width="30.625" style="41" hidden="1" customWidth="1"/>
    <col min="19" max="22" width="12.625" style="41" hidden="1" customWidth="1"/>
    <col min="23" max="23" width="0" style="200" hidden="1" customWidth="1"/>
    <col min="24" max="24" width="10.375" style="41" hidden="1" customWidth="1"/>
    <col min="25" max="28" width="9" style="41"/>
    <col min="29" max="29" width="3.625" style="49" customWidth="1"/>
    <col min="30" max="30" width="9.75" style="41" bestFit="1" customWidth="1"/>
    <col min="31" max="31" width="85.625" style="201" customWidth="1"/>
    <col min="32" max="35" width="10.625" style="41" customWidth="1"/>
    <col min="36" max="36" width="60.625" style="41" customWidth="1"/>
    <col min="37" max="52" width="9" style="41"/>
    <col min="53" max="53" width="20.625" style="41" customWidth="1"/>
    <col min="54" max="55" width="9" style="41"/>
    <col min="56" max="56" width="35.625" style="41" customWidth="1"/>
    <col min="57" max="16384" width="9" style="41"/>
  </cols>
  <sheetData>
    <row r="1" spans="1:37" ht="9.9499999999999993" customHeight="1"/>
    <row r="2" spans="1:37" ht="30" customHeight="1">
      <c r="B2" s="199" t="s">
        <v>224</v>
      </c>
      <c r="C2" s="36"/>
      <c r="D2" s="36"/>
      <c r="F2" s="772" t="s">
        <v>208</v>
      </c>
      <c r="G2" s="773"/>
      <c r="H2" s="772" t="str">
        <f>表紙!L9&amp;IF(はじめに入力してください!L20="","","※"&amp;はじめに入力してください!AE20)</f>
        <v/>
      </c>
      <c r="I2" s="774"/>
      <c r="J2" s="774"/>
      <c r="K2" s="774"/>
      <c r="L2" s="773"/>
    </row>
    <row r="3" spans="1:37" ht="20.100000000000001" customHeight="1">
      <c r="B3" s="775" t="str">
        <f>人工呼吸器明細!B3</f>
        <v>　まとめて「一式」と記載はせず、見積書、納品書等に記載の設備・付属備品ごとに分けて記載するようにしてください。
　整備する設備の配備先（既設又は新設病床、病床に番号付与した場合いずれの病床に充てるのか左部分「配備先・内容」欄で選択してください。
　配備先の病床の別及び、当該品目が「装置」か「付属備品」の別をプルダウンから選択してください。</v>
      </c>
      <c r="C3" s="755"/>
      <c r="D3" s="755"/>
      <c r="E3" s="755"/>
      <c r="F3" s="755"/>
      <c r="G3" s="755"/>
      <c r="H3" s="755"/>
      <c r="I3" s="755"/>
      <c r="J3" s="755"/>
      <c r="K3" s="755"/>
      <c r="L3" s="755"/>
      <c r="S3" s="222"/>
      <c r="T3" s="222"/>
      <c r="U3" s="222"/>
      <c r="V3" s="222"/>
    </row>
    <row r="4" spans="1:37" ht="20.100000000000001" customHeight="1">
      <c r="B4" s="755"/>
      <c r="C4" s="755"/>
      <c r="D4" s="755"/>
      <c r="E4" s="755"/>
      <c r="F4" s="755"/>
      <c r="G4" s="755"/>
      <c r="H4" s="755"/>
      <c r="I4" s="755"/>
      <c r="J4" s="755"/>
      <c r="K4" s="755"/>
      <c r="L4" s="755"/>
      <c r="S4" s="222"/>
      <c r="T4" s="222"/>
      <c r="U4" s="222"/>
      <c r="V4" s="222"/>
    </row>
    <row r="5" spans="1:37" ht="20.100000000000001" customHeight="1">
      <c r="B5" s="755"/>
      <c r="C5" s="755"/>
      <c r="D5" s="755"/>
      <c r="E5" s="755"/>
      <c r="F5" s="755"/>
      <c r="G5" s="755"/>
      <c r="H5" s="755"/>
      <c r="I5" s="755"/>
      <c r="J5" s="755"/>
      <c r="K5" s="755"/>
      <c r="L5" s="755"/>
      <c r="S5" s="222"/>
      <c r="T5" s="222"/>
      <c r="U5" s="222"/>
      <c r="V5" s="222"/>
      <c r="AD5" s="776" t="s">
        <v>122</v>
      </c>
      <c r="AE5" s="735" t="s">
        <v>121</v>
      </c>
      <c r="AF5" s="736"/>
      <c r="AG5" s="737"/>
    </row>
    <row r="6" spans="1:37" ht="20.100000000000001" customHeight="1">
      <c r="B6" s="755"/>
      <c r="C6" s="755"/>
      <c r="D6" s="755"/>
      <c r="E6" s="755"/>
      <c r="F6" s="755"/>
      <c r="G6" s="755"/>
      <c r="H6" s="755"/>
      <c r="I6" s="755"/>
      <c r="J6" s="755"/>
      <c r="K6" s="755"/>
      <c r="L6" s="755"/>
      <c r="S6" s="222"/>
      <c r="T6" s="222"/>
      <c r="U6" s="222"/>
      <c r="V6" s="222"/>
      <c r="AD6" s="777"/>
      <c r="AE6" s="738"/>
      <c r="AF6" s="739"/>
      <c r="AG6" s="740"/>
    </row>
    <row r="7" spans="1:37" ht="9.9499999999999993" customHeight="1">
      <c r="B7" s="56"/>
      <c r="C7" s="56"/>
      <c r="D7" s="56"/>
      <c r="E7" s="57"/>
      <c r="F7" s="58"/>
      <c r="G7" s="41"/>
      <c r="H7" s="41"/>
      <c r="I7" s="41"/>
      <c r="J7" s="200"/>
      <c r="K7" s="41"/>
      <c r="L7" s="41"/>
      <c r="S7" s="222"/>
      <c r="T7" s="222"/>
      <c r="U7" s="222"/>
      <c r="V7" s="222"/>
      <c r="AD7" s="768" t="str">
        <f xml:space="preserve">
IF(AND(COUNTA(D9)=0,COUNTIF(AD16:AD65,"○")=50),"○",
IF(AND(COUNTA(D9)=0,COUNTIF(AD16:AD65,"×")&gt;=1),"×",
IF(AND(COUNTA(D9)=0,COUNTIF(AD16:AD65,"×")=0,COUNTIF(AD16:AD65,"◎")&gt;=1),"×",
IF(AND(COUNTA(D9)=1,COUNTIF(AD16:AD65,"○")=50),"×",
IF(AND(COUNTA(D9)=1,COUNTIF(AD16:AD65,"×")&gt;=1),"×",
IF(AND(COUNTA(D9)=1,COUNTIF(AD16:AD65,"×")=0,COUNTIF(AD16:AD65,"◎")&gt;=1),"◎"))))))</f>
        <v>○</v>
      </c>
      <c r="AE7" s="741" t="str">
        <f xml:space="preserve">
IF(COUNTA(D9)=0,"【１．配備計画】既存配備の簡易陰圧装置台数が未入力です。"&amp;CHAR(10)&amp;CHAR(10),
IF(COUNTA(D9)=1,"【１．配備計画】適切に入力がされました。 "&amp;CHAR(10)&amp;CHAR(10)))
&amp;
IF(AD7="◎","【装置情報】適切に入力がされました。",
IF(AD7="○","",
IF(AD7="×","【２．装置情報】【要修正】以下の点につき御確認ください。"&amp;CHAR(10)&amp;AJ16&amp;AJ17&amp;AJ18&amp;AJ19&amp;AJ20&amp;AJ21&amp;AJ22&amp;AJ23&amp;AJ24&amp;AJ25&amp;AJ26&amp;AJ27&amp;AJ28&amp;AJ29&amp;AJ30&amp;AJ31&amp;AJ32&amp;AJ33&amp;AJ34&amp;AJ35&amp;AJ36&amp;AJ37&amp;AJ38&amp;AJ39&amp;AJ40&amp;AJ41&amp;AJ42&amp;AJ43&amp;AJ44&amp;AJ45&amp;AJ46&amp;AJ47&amp;AJ48&amp;AJ49&amp;AJ50&amp;AJ51&amp;AJ52&amp;AJ53&amp;AJ54&amp;AJ55&amp;AJ56&amp;AJ57&amp;AJ58&amp;AJ59&amp;AJ60&amp;AJ61&amp;AJ62&amp;AJ63&amp;AJ64&amp;AJ65
)))</f>
        <v xml:space="preserve">【１．配備計画】既存配備の簡易陰圧装置台数が未入力です。
</v>
      </c>
      <c r="AF7" s="736"/>
      <c r="AG7" s="737"/>
    </row>
    <row r="8" spans="1:37" ht="20.100000000000001" customHeight="1">
      <c r="B8" s="754" t="s">
        <v>221</v>
      </c>
      <c r="C8" s="755"/>
      <c r="D8" s="755"/>
      <c r="E8" s="755"/>
      <c r="F8" s="755"/>
      <c r="G8" s="755"/>
      <c r="H8" s="755"/>
      <c r="I8" s="755"/>
      <c r="J8" s="755"/>
      <c r="K8" s="755"/>
      <c r="L8" s="755"/>
      <c r="S8" s="222"/>
      <c r="T8" s="222"/>
      <c r="U8" s="222"/>
      <c r="V8" s="222"/>
      <c r="AD8" s="778"/>
      <c r="AE8" s="742"/>
      <c r="AF8" s="743"/>
      <c r="AG8" s="744"/>
    </row>
    <row r="9" spans="1:37" ht="20.100000000000001" customHeight="1">
      <c r="B9" s="748" t="s">
        <v>226</v>
      </c>
      <c r="C9" s="749"/>
      <c r="D9" s="318"/>
      <c r="E9" s="232" t="s">
        <v>209</v>
      </c>
      <c r="F9" s="202">
        <f>はじめに入力してください!K12</f>
        <v>0</v>
      </c>
      <c r="H9" s="709" t="s">
        <v>613</v>
      </c>
      <c r="I9" s="710"/>
      <c r="J9" s="50" t="s">
        <v>614</v>
      </c>
      <c r="K9" s="781" t="s">
        <v>212</v>
      </c>
      <c r="L9" s="782"/>
      <c r="S9" s="222"/>
      <c r="T9" s="222"/>
      <c r="U9" s="222"/>
      <c r="V9" s="222"/>
      <c r="AD9" s="779"/>
      <c r="AE9" s="745"/>
      <c r="AF9" s="743"/>
      <c r="AG9" s="744"/>
      <c r="AJ9" s="203" t="s">
        <v>584</v>
      </c>
    </row>
    <row r="10" spans="1:37" ht="20.100000000000001" customHeight="1" thickBot="1">
      <c r="B10" s="750" t="s">
        <v>227</v>
      </c>
      <c r="C10" s="751"/>
      <c r="D10" s="204">
        <f>COUNTIF(D16:D65,"装置")</f>
        <v>0</v>
      </c>
      <c r="E10" s="235" t="s">
        <v>210</v>
      </c>
      <c r="F10" s="207">
        <f>はじめに入力してください!K13</f>
        <v>0</v>
      </c>
      <c r="H10" s="756">
        <f>SUM(I16:I65)</f>
        <v>0</v>
      </c>
      <c r="I10" s="757"/>
      <c r="J10" s="716">
        <v>0</v>
      </c>
      <c r="K10" s="711">
        <f>IFERROR(ROUNDUP(SUM(K16:K65)*(H10-J10)/H10,0),0)</f>
        <v>0</v>
      </c>
      <c r="L10" s="712"/>
      <c r="S10" s="222"/>
      <c r="T10" s="222"/>
      <c r="U10" s="222"/>
      <c r="V10" s="222"/>
      <c r="AD10" s="779"/>
      <c r="AE10" s="745"/>
      <c r="AF10" s="743"/>
      <c r="AG10" s="744"/>
    </row>
    <row r="11" spans="1:37" ht="20.100000000000001" customHeight="1" thickTop="1">
      <c r="B11" s="752" t="s">
        <v>218</v>
      </c>
      <c r="C11" s="753"/>
      <c r="D11" s="205">
        <f>SUM(D9:D10)</f>
        <v>0</v>
      </c>
      <c r="E11" s="236" t="s">
        <v>211</v>
      </c>
      <c r="F11" s="208">
        <f>はじめに入力してください!M13</f>
        <v>0</v>
      </c>
      <c r="H11" s="757"/>
      <c r="I11" s="757"/>
      <c r="J11" s="717"/>
      <c r="K11" s="712"/>
      <c r="L11" s="712"/>
      <c r="S11" s="222"/>
      <c r="T11" s="222"/>
      <c r="U11" s="222"/>
      <c r="V11" s="222"/>
      <c r="AD11" s="779"/>
      <c r="AE11" s="745"/>
      <c r="AF11" s="743"/>
      <c r="AG11" s="744"/>
    </row>
    <row r="12" spans="1:37" ht="9.9499999999999993" customHeight="1">
      <c r="B12" s="56"/>
      <c r="C12" s="56"/>
      <c r="D12" s="56"/>
      <c r="E12" s="57"/>
      <c r="F12" s="58"/>
      <c r="G12" s="41"/>
      <c r="H12" s="41"/>
      <c r="I12" s="41"/>
      <c r="J12" s="200"/>
      <c r="K12" s="41"/>
      <c r="L12" s="41"/>
      <c r="S12" s="222"/>
      <c r="T12" s="222"/>
      <c r="U12" s="222"/>
      <c r="V12" s="222"/>
      <c r="AD12" s="779"/>
      <c r="AE12" s="746"/>
      <c r="AF12" s="743"/>
      <c r="AG12" s="744"/>
    </row>
    <row r="13" spans="1:37" ht="80.099999999999994" customHeight="1">
      <c r="B13" s="758" t="str">
        <f>人工呼吸器明細!B13</f>
        <v>２．装置情報（右端に表示の番号を、見積書あるいは納品書の内訳中、該当の部分に記入し記載の箇所を明示してください。）
　見積書等に記載の内訳は補助対象、対象外にかかわらず全て入力し、右上（実支出予定額）と見積金額とが一致するようにしてください。
　補助対象はコロナ病床施設の整備に限られるため医療用消耗品等は補助対象外です。
　記載いただいた補助対象外経費は「補助対象区分」欄で「対象外」を選択してください。（補助対象金額の算定から自動計算で除外されます。）</v>
      </c>
      <c r="C13" s="759"/>
      <c r="D13" s="759"/>
      <c r="E13" s="759"/>
      <c r="F13" s="759"/>
      <c r="G13" s="759"/>
      <c r="H13" s="759"/>
      <c r="I13" s="759"/>
      <c r="J13" s="759"/>
      <c r="K13" s="759"/>
      <c r="L13" s="759"/>
      <c r="S13" s="222"/>
      <c r="T13" s="222"/>
      <c r="U13" s="222"/>
      <c r="V13" s="222"/>
      <c r="AD13" s="780"/>
      <c r="AE13" s="747"/>
      <c r="AF13" s="739"/>
      <c r="AG13" s="740"/>
    </row>
    <row r="14" spans="1:37" ht="24.95" customHeight="1">
      <c r="B14" s="720" t="s">
        <v>206</v>
      </c>
      <c r="C14" s="721"/>
      <c r="D14" s="722"/>
      <c r="E14" s="720" t="s">
        <v>204</v>
      </c>
      <c r="F14" s="722"/>
      <c r="G14" s="723" t="s">
        <v>207</v>
      </c>
      <c r="H14" s="721"/>
      <c r="I14" s="721"/>
      <c r="J14" s="722"/>
      <c r="K14" s="724" t="s">
        <v>202</v>
      </c>
      <c r="L14" s="724" t="s">
        <v>213</v>
      </c>
      <c r="S14" s="222"/>
      <c r="T14" s="222"/>
      <c r="U14" s="222"/>
      <c r="V14" s="222"/>
    </row>
    <row r="15" spans="1:37" ht="24.95" customHeight="1">
      <c r="B15" s="42" t="s">
        <v>191</v>
      </c>
      <c r="C15" s="42" t="s">
        <v>199</v>
      </c>
      <c r="D15" s="42" t="s">
        <v>200</v>
      </c>
      <c r="E15" s="42" t="s">
        <v>55</v>
      </c>
      <c r="F15" s="42" t="s">
        <v>22</v>
      </c>
      <c r="G15" s="42" t="s">
        <v>71</v>
      </c>
      <c r="H15" s="42" t="s">
        <v>72</v>
      </c>
      <c r="I15" s="42" t="s">
        <v>73</v>
      </c>
      <c r="J15" s="42" t="s">
        <v>201</v>
      </c>
      <c r="K15" s="725"/>
      <c r="L15" s="725"/>
      <c r="AD15" s="62" t="s">
        <v>64</v>
      </c>
      <c r="AE15" s="206" t="s">
        <v>74</v>
      </c>
      <c r="AF15" s="63" t="s">
        <v>203</v>
      </c>
      <c r="AG15" s="234" t="s">
        <v>205</v>
      </c>
      <c r="AH15" s="234" t="s">
        <v>91</v>
      </c>
      <c r="AI15" s="231" t="s">
        <v>635</v>
      </c>
      <c r="AJ15" s="52" t="s">
        <v>121</v>
      </c>
      <c r="AK15" s="52" t="str">
        <f>AJ16&amp;AJ17&amp;AJ18&amp;AJ19&amp;AJ20&amp;AJ21&amp;AJ22&amp;AJ23&amp;AJ24&amp;AJ25&amp;AJ26&amp;AJ27&amp;AJ28&amp;AJ29&amp;AJ30&amp;AJ31&amp;AJ32&amp;AJ33&amp;AJ34&amp;AJ35&amp;AJ36&amp;AJ37&amp;AJ38&amp;AJ39&amp;AJ40&amp;AJ41&amp;AJ42&amp;AJ43&amp;AJ44&amp;AJ45&amp;AJ46&amp;AJ47&amp;AJ48&amp;AJ49&amp;AJ50&amp;AJ51&amp;AJ52&amp;AJ53&amp;AJ54&amp;AJ55&amp;AJ56&amp;AJ57&amp;AJ58&amp;AJ59&amp;AJ60&amp;AJ61&amp;AJ62&amp;AJ63&amp;AJ64&amp;AJ65</f>
        <v/>
      </c>
    </row>
    <row r="16" spans="1:37" ht="24.95" customHeight="1">
      <c r="A16" s="38">
        <v>1</v>
      </c>
      <c r="B16" s="313"/>
      <c r="C16" s="313"/>
      <c r="D16" s="313"/>
      <c r="E16" s="314"/>
      <c r="F16" s="315"/>
      <c r="G16" s="316"/>
      <c r="H16" s="316"/>
      <c r="I16" s="45">
        <f>IF(G16="",H16*F16,ROUNDDOWN(F16*G16*1.1,0))</f>
        <v>0</v>
      </c>
      <c r="J16" s="317"/>
      <c r="K16" s="45">
        <f>IF(J16="補助対象",I16,IF(J16="補助対象外",0,0))</f>
        <v>0</v>
      </c>
      <c r="L16" s="232" t="str">
        <f>IF(AD16="◎",COUNTIF($AD$16:AD16,"◎"),"")</f>
        <v/>
      </c>
      <c r="W16" s="234" t="str">
        <f>IF(B16="既設病床",はじめに入力してください!$K$12,IF(B16="新設病床",はじめに入力してください!$K$13,IF(B16="共通使用",1,"")))</f>
        <v/>
      </c>
      <c r="AC16" s="49" t="s">
        <v>69</v>
      </c>
      <c r="AD16" s="231" t="str">
        <f xml:space="preserve">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f>
        <v>○</v>
      </c>
      <c r="AE16" s="35" t="str">
        <f xml:space="preserve">
IF(AND(AF16="○",AG16="○",AH16="○",AI16="○"),"申請しない場合は入力不要です。",
IF(AND(AF16="○",AG16="○",AH16="○",AI16="◎"),"【要修正】【整備先・内容】未入力、【規格・数量】未入力、【単価】未入力"&amp;CHAR(10),
IF(AND(AF16="○",AG16="○",AH16="×",AI16="○"),"【要修正】【整備先・内容】未入力、【規格・数量】未入力、【単価】入力不十分、【補助対象区分】未入力"&amp;CHAR(10),
IF(AND(AF16="○",AG16="○",AH16="×",AI16="◎"),"【要修正】【整備先・内容】未入力、【規格・数量】未入力、【単価】入力不十分"&amp;CHAR(10),
IF(AND(AF16="○",AG16="○",AH16="◎",AI16="○"),"【要修正】【整備先・内容】未入力、【規格・数量】未入力、【補助対象区分】未入力"&amp;CHAR(10),
IF(AND(AF16="○",AG16="○",AH16="◎",AI16="◎"),"【要修正】【整備先・内容】未入力、【規格・数量】未入力"&amp;CHAR(10),
IF(AND(AF16="○",AG16="×",AH16="○",AI16="○"),"【要修正】【整備先・内容】未入力、【規格・数量】入力不十分、【単価】未入力、【補助対象区分】未入力"&amp;CHAR(10),
IF(AND(AF16="○",AG16="×",AH16="○",AI16="◎"),"【要修正】【整備先・内容】未入力、【規格・数量】入力不十分、【単価】未入力"&amp;CHAR(10),
IF(AND(AF16="○",AG16="×",AH16="×",AI16="○"),"【要修正】【整備先・内容】未入力、【規格・数量】入力不十分、【単価】入力不十分、【補助対象区分】未入力"&amp;CHAR(10),
IF(AND(AF16="○",AG16="×",AH16="×",AI16="◎"),"【要修正】【整備先・内容】未入力、【規格・数量】入力不十分、【単価】入力不十分"&amp;CHAR(10),
IF(AND(AF16="○",AG16="×",AH16="◎",AI16="○"),"【要修正】【整備先・内容】未入力、【規格・数量】入力不十分、【補助対象区分】未入力"&amp;CHAR(10),
IF(AND(AF16="○",AG16="×",AH16="◎",AI16="◎"),"【要修正】【整備先・内容】未入力、【規格・数量】入力不十分"&amp;CHAR(10),
IF(AND(AF16="○",AG16="◎",AH16="○",AI16="○"),"【要修正】【整備先・内容】未入力、【単価】未入力、【補助対象区分】未入力"&amp;CHAR(10),
IF(AND(AF16="○",AG16="◎",AH16="○",AI16="◎"),"【要修正】【整備先・内容】未入力、【単価】未入力"&amp;CHAR(10),
IF(AND(AF16="○",AG16="◎",AH16="×",AI16="○"),"【要修正】【整備先・内容】未入力、【単価】入力不十分、【補助対象区分】未入力"&amp;CHAR(10),
IF(AND(AF16="○",AG16="◎",AH16="×",AI16="◎"),"【要修正】【整備先・内容】未入力、【単価】入力不十分"&amp;CHAR(10),
IF(AND(AF16="○",AG16="◎",AH16="◎",AI16="○"),"【要修正】【整備先・内容】未入力、【補助対象区分】未入力"&amp;CHAR(10),
IF(AND(AF16="○",AG16="◎",AH16="◎",AI16="◎"),"【要修正】【整備先・内容】未入力"&amp;CHAR(10),
IF(AND(AF16="×",AG16="○",AH16="○",AI16="○"),"【要修正】【整備先・内容】入力不十分、【規格・数量】未入力、【単価】未入力、【補助対象区分】未入力"&amp;CHAR(10),
IF(AND(AF16="×",AG16="○",AH16="○",AI16="◎"),"【要修正】【整備先・内容】入力不十分、【規格・数量】未入力、【単価】未入力"&amp;CHAR(10),
IF(AND(AF16="×",AG16="○",AH16="×",AI16="○"),"【要修正】【整備先・内容】入力不十分、【規格・数量】未入力、【単価】入力不十分、【補助対象区分】未入力"&amp;CHAR(10),
IF(AND(AF16="×",AG16="○",AH16="×",AI16="◎"),"【要修正】【整備先・内容】入力不十分、【規格・数量】未入力、【単価】入力不十分"&amp;CHAR(10),
IF(AND(AF16="×",AG16="○",AH16="◎",AI16="○"),"【要修正】【整備先・内容】入力不十分、【規格・数量】未入力、【補助対象区分】未入力"&amp;CHAR(10),
IF(AND(AF16="×",AG16="○",AH16="◎",AI16="◎"),"【要修正】【整備先・内容】入力不十分、【規格・数量】未入力"&amp;CHAR(10),
IF(AND(AF16="×",AG16="×",AH16="○",AI16="○"),"【要修正】【整備先・内容】入力不十分、【規格・数量】入力不十分、【単価】未入力、【補助対象区分】未入力"&amp;CHAR(10),
IF(AND(AF16="×",AG16="×",AH16="○",AI16="◎"),"【要修正】【整備先・内容】入力不十分、【規格・数量】入力不十分、【単価】未入力"&amp;CHAR(10),
IF(AND(AF16="×",AG16="×",AH16="×",AI16="○"),"【要修正】【整備先・内容】入力不十分、【規格・数量】入力不十分、【単価】入力不十分、【補助対象区分】未入力"&amp;CHAR(10),
IF(AND(AF16="×",AG16="×",AH16="×",AI16="◎"),"【要修正】【整備先・内容】入力不十分、【規格・数量】入力不十分、【単価】入力不十分"&amp;CHAR(10),
IF(AND(AF16="×",AG16="×",AH16="◎",AI16="○"),"【要修正】【整備先・内容】入力不十分、【規格・数量】入力不十分、【補助対象区分】未入力"&amp;CHAR(10),
IF(AND(AF16="×",AG16="×",AH16="◎",AI16="◎"),"【要修正】【整備先・内容】入力不十分、【規格・数量】入力不十分"&amp;CHAR(10),
IF(AND(AF16="×",AG16="◎",AH16="○",AI16="○"),"【要修正】【整備先・内容】入力不十分、【単価】未入力、【補助対象区分】未入力"&amp;CHAR(10),
IF(AND(AF16="×",AG16="◎",AH16="○",AI16="◎"),"【要修正】【整備先・内容】入力不十分、【単価】未入力"&amp;CHAR(10),
IF(AND(AF16="×",AG16="◎",AH16="×",AI16="○"),"【要修正】【整備先・内容】入力不十分、【単価】入力不十分、【補助対象区分】未入力"&amp;CHAR(10),
IF(AND(AF16="×",AG16="◎",AH16="×",AI16="◎"),"【要修正】【整備先・内容】入力不十分、【単価】入力不十分"&amp;CHAR(10),
IF(AND(AF16="×",AG16="◎",AH16="◎",AI16="○"),"【要修正】【整備先・内容】入力不十分、【補助対象区分】未入力"&amp;CHAR(10),
IF(AND(AF16="×",AG16="◎",AH16="◎",AI16="◎"),"【要修正】【整備先・内容】入力不十分"&amp;CHAR(10),
IF(AND(AF16="◎",AG16="○",AH16="○",AI16="○"),"【要修正】【規格・数量】未入力、【単価】未入力、【補助対象区分】未入力"&amp;CHAR(10),
IF(AND(AF16="◎",AG16="○",AH16="○",AI16="◎"),"【要修正】【規格・数量】未入力、【単価】未入力"&amp;CHAR(10),
IF(AND(AF16="◎",AG16="○",AH16="×",AI16="○"),"【要修正】【規格・数量】未入力、【単価】入力不十分、【補助対象区分】未入力"&amp;CHAR(10),
IF(AND(AF16="◎",AG16="○",AH16="×",AI16="◎"),"【要修正】【規格・数量】未入力、【単価】入力不十分"&amp;CHAR(10),
IF(AND(AF16="◎",AG16="○",AH16="◎",AI16="○"),"【要修正】【規格・数量】未入力、【補助対象区分】未入力"&amp;CHAR(10),
IF(AND(AF16="◎",AG16="○",AH16="◎",AI16="◎"),"【要修正】【規格・数量】未入力"&amp;CHAR(10),
IF(AND(AF16="◎",AG16="×",AH16="○",AI16="○"),"【要修正】【規格・数量】入力不十分、【単価】未入力、【補助対象区分】未入力"&amp;CHAR(10),
IF(AND(AF16="◎",AG16="×",AH16="○",AI16="◎"),"【要修正】【規格・数量】入力不十分、【単価】未入力"&amp;CHAR(10),
IF(AND(AF16="◎",AG16="×",AH16="×",AI16="○"),"【要修正】【規格・数量】入力不十分、【単価】入力不十分、【補助対象区分】未入力"&amp;CHAR(10),
IF(AND(AF16="◎",AG16="×",AH16="×",AI16="◎"),"【要修正】【規格・数量】入力不十分、【単価】入力不十分"&amp;CHAR(10),
IF(AND(AF16="◎",AG16="×",AH16="◎",AI16="○"),"【要修正】【規格・数量】入力不十分、【補助対象区分】未入力"&amp;CHAR(10),
IF(AND(AF16="◎",AG16="×",AH16="◎",AI16="◎"),"【要修正】【規格・数量】入力不十分"&amp;CHAR(10),
IF(AND(AF16="◎",AG16="◎",AH16="○",AI16="○"),"【要修正】【単価】未入力、【補助対象区分】未入力"&amp;CHAR(10),
IF(AND(AF16="◎",AG16="◎",AH16="○",AI16="◎"),"【要修正】【単価】未入力"&amp;CHAR(10),
IF(AND(AF16="◎",AG16="◎",AH16="×",AI16="○"),"【要修正】【単価】入力不十分、【補助対象区分】未入力"&amp;CHAR(10),
IF(AND(AF16="◎",AG16="◎",AH16="×",AI16="◎"),"【要修正】【単価】入力不十分"&amp;CHAR(10),
IF(AND(AF16="◎",AG16="◎",AH16="◎",AI16="○"),"【要修正】【補助対象区分】未入力"&amp;CHAR(10),
IF(AND(AF16="◎",AG16="◎",AH16="◎",AI16="◎"),"適切に入力がされました。",
))))))))))))))))))))))))))))))))))))))))))))))))))))))</f>
        <v>申請しない場合は入力不要です。</v>
      </c>
      <c r="AF16" s="234" t="str">
        <f>IF(COUNTA(B16:D16)=0,"○",IF(AND(COUNTA(B16:D16)&gt;=1,COUNTA(B16:D16)&lt;3),"×",IF(COUNTA(B16:D16)=3,"◎")))</f>
        <v>○</v>
      </c>
      <c r="AG16" s="234" t="str">
        <f>IF(COUNTA(E16,F16,J16)=0,"○",IF(AND(COUNTA(E16,F16,J16)&gt;=1,COUNTA(E16,F16,J16)&lt;3),"×",IF(COUNTA(E16,F16,J16)=3,"◎")))</f>
        <v>○</v>
      </c>
      <c r="AH16" s="234" t="str">
        <f>IF(COUNTA(G16:H16)=0,"○",IF(COUNTA(G16:H16)=1,"◎",IF(COUNTA(G16:H16)=2,"×")))</f>
        <v>○</v>
      </c>
      <c r="AI16" s="231" t="str">
        <f>IF(COUNTA(J16)=0,"○",IF(COUNTA(J16)=1,"◎"))</f>
        <v>○</v>
      </c>
      <c r="AJ16" s="14" t="str">
        <f xml:space="preserve">
IF(AND(AF16="○",AG16="○",AH16="○",AI16="○"),"",
IF(AND(AF16="○",AG16="○",AH16="○",AI16="◎"),"【"&amp;AK16&amp;"行目】【整備先・内容】未入力、【規格・数量】未入力、【単価】未入力"&amp;CHAR(10),
IF(AND(AF16="○",AG16="○",AH16="×",AI16="○"),"【"&amp;AK16&amp;"行目】【整備先・内容】未入力、【規格・数量】未入力、【単価】入力不十分、【補助対象区分】未入力"&amp;CHAR(10),
IF(AND(AF16="○",AG16="○",AH16="×",AI16="◎"),"【"&amp;AK16&amp;"行目】【整備先・内容】未入力、【規格・数量】未入力、【単価】入力不十分"&amp;CHAR(10),
IF(AND(AF16="○",AG16="○",AH16="◎",AI16="○"),"【"&amp;AK16&amp;"行目】【整備先・内容】未入力、【規格・数量】未入力、【補助対象区分】未入力"&amp;CHAR(10),
IF(AND(AF16="○",AG16="○",AH16="◎",AI16="◎"),"【"&amp;AK16&amp;"行目】【整備先・内容】未入力、【規格・数量】未入力"&amp;CHAR(10),
IF(AND(AF16="○",AG16="×",AH16="○",AI16="○"),"【"&amp;AK16&amp;"行目】【整備先・内容】未入力、【規格・数量】入力不十分、【単価】未入力、【補助対象区分】未入力"&amp;CHAR(10),
IF(AND(AF16="○",AG16="×",AH16="○",AI16="◎"),"【"&amp;AK16&amp;"行目】【整備先・内容】未入力、【規格・数量】入力不十分、【単価】未入力"&amp;CHAR(10),
IF(AND(AF16="○",AG16="×",AH16="×",AI16="○"),"【"&amp;AK16&amp;"行目】【整備先・内容】未入力、【規格・数量】入力不十分、【単価】入力不十分、【補助対象区分】未入力"&amp;CHAR(10),
IF(AND(AF16="○",AG16="×",AH16="×",AI16="◎"),"【"&amp;AK16&amp;"行目】【整備先・内容】未入力、【規格・数量】入力不十分、【単価】入力不十分"&amp;CHAR(10),
IF(AND(AF16="○",AG16="×",AH16="◎",AI16="○"),"【"&amp;AK16&amp;"行目】【整備先・内容】未入力、【規格・数量】入力不十分、【補助対象区分】未入力"&amp;CHAR(10),
IF(AND(AF16="○",AG16="×",AH16="◎",AI16="◎"),"【"&amp;AK16&amp;"行目】【整備先・内容】未入力、【規格・数量】入力不十分"&amp;CHAR(10),
IF(AND(AF16="○",AG16="◎",AH16="○",AI16="○"),"【"&amp;AK16&amp;"行目】【整備先・内容】未入力、【単価】未入力、【補助対象区分】未入力"&amp;CHAR(10),
IF(AND(AF16="○",AG16="◎",AH16="○",AI16="◎"),"【"&amp;AK16&amp;"行目】【整備先・内容】未入力、【単価】未入力"&amp;CHAR(10),
IF(AND(AF16="○",AG16="◎",AH16="×",AI16="○"),"【"&amp;AK16&amp;"行目】【整備先・内容】未入力、【単価】入力不十分、【補助対象区分】未入力"&amp;CHAR(10),
IF(AND(AF16="○",AG16="◎",AH16="×",AI16="◎"),"【"&amp;AK16&amp;"行目】【整備先・内容】未入力、【単価】入力不十分"&amp;CHAR(10),
IF(AND(AF16="○",AG16="◎",AH16="◎",AI16="○"),"【"&amp;AK16&amp;"行目】【整備先・内容】未入力、【補助対象区分】未入力"&amp;CHAR(10),
IF(AND(AF16="○",AG16="◎",AH16="◎",AI16="◎"),"【"&amp;AK16&amp;"行目】【整備先・内容】未入力"&amp;CHAR(10),
IF(AND(AF16="×",AG16="○",AH16="○",AI16="○"),"【"&amp;AK16&amp;"行目】【整備先・内容】入力不十分、【規格・数量】未入力、【単価】未入力、【補助対象区分】未入力"&amp;CHAR(10),
IF(AND(AF16="×",AG16="○",AH16="○",AI16="◎"),"【"&amp;AK16&amp;"行目】【整備先・内容】入力不十分、【規格・数量】未入力、【単価】未入力"&amp;CHAR(10),
IF(AND(AF16="×",AG16="○",AH16="×",AI16="○"),"【"&amp;AK16&amp;"行目】【整備先・内容】入力不十分、【規格・数量】未入力、【単価】入力不十分、【補助対象区分】未入力"&amp;CHAR(10),
IF(AND(AF16="×",AG16="○",AH16="×",AI16="◎"),"【"&amp;AK16&amp;"行目】【整備先・内容】入力不十分、【規格・数量】未入力、【単価】入力不十分"&amp;CHAR(10),
IF(AND(AF16="×",AG16="○",AH16="◎",AI16="○"),"【"&amp;AK16&amp;"行目】【整備先・内容】入力不十分、【規格・数量】未入力、【補助対象区分】未入力"&amp;CHAR(10),
IF(AND(AF16="×",AG16="○",AH16="◎",AI16="◎"),"【"&amp;AK16&amp;"行目】【整備先・内容】入力不十分、【規格・数量】未入力"&amp;CHAR(10),
IF(AND(AF16="×",AG16="×",AH16="○",AI16="○"),"【"&amp;AK16&amp;"行目】【整備先・内容】入力不十分、【規格・数量】入力不十分、【単価】未入力、【補助対象区分】未入力"&amp;CHAR(10),
IF(AND(AF16="×",AG16="×",AH16="○",AI16="◎"),"【"&amp;AK16&amp;"行目】【整備先・内容】入力不十分、【規格・数量】入力不十分、【単価】未入力"&amp;CHAR(10),
IF(AND(AF16="×",AG16="×",AH16="×",AI16="○"),"【"&amp;AK16&amp;"行目】【整備先・内容】入力不十分、【規格・数量】入力不十分、【単価】入力不十分、【補助対象区分】未入力"&amp;CHAR(10),
IF(AND(AF16="×",AG16="×",AH16="×",AI16="◎"),"【"&amp;AK16&amp;"行目】【整備先・内容】入力不十分、【規格・数量】入力不十分、【単価】入力不十分"&amp;CHAR(10),
IF(AND(AF16="×",AG16="×",AH16="◎",AI16="○"),"【"&amp;AK16&amp;"行目】【整備先・内容】入力不十分、【規格・数量】入力不十分、【補助対象区分】未入力"&amp;CHAR(10),
IF(AND(AF16="×",AG16="×",AH16="◎",AI16="◎"),"【"&amp;AK16&amp;"行目】【整備先・内容】入力不十分、【規格・数量】入力不十分"&amp;CHAR(10),
IF(AND(AF16="×",AG16="◎",AH16="○",AI16="○"),"【"&amp;AK16&amp;"行目】【整備先・内容】入力不十分、【単価】未入力、【補助対象区分】未入力"&amp;CHAR(10),
IF(AND(AF16="×",AG16="◎",AH16="○",AI16="◎"),"【"&amp;AK16&amp;"行目】【整備先・内容】入力不十分、【単価】未入力"&amp;CHAR(10),
IF(AND(AF16="×",AG16="◎",AH16="×",AI16="○"),"【"&amp;AK16&amp;"行目】【整備先・内容】入力不十分、【単価】入力不十分、【補助対象区分】未入力"&amp;CHAR(10),
IF(AND(AF16="×",AG16="◎",AH16="×",AI16="◎"),"【"&amp;AK16&amp;"行目】【整備先・内容】入力不十分、【単価】入力不十分"&amp;CHAR(10),
IF(AND(AF16="×",AG16="◎",AH16="◎",AI16="○"),"【"&amp;AK16&amp;"行目】【整備先・内容】入力不十分、【補助対象区分】未入力"&amp;CHAR(10),
IF(AND(AF16="×",AG16="◎",AH16="◎",AI16="◎"),"【"&amp;AK16&amp;"行目】【整備先・内容】入力不十分"&amp;CHAR(10),
IF(AND(AF16="◎",AG16="○",AH16="○",AI16="○"),"【"&amp;AK16&amp;"行目】【規格・数量】未入力、【単価】未入力、【補助対象区分】未入力"&amp;CHAR(10),
IF(AND(AF16="◎",AG16="○",AH16="○",AI16="◎"),"【"&amp;AK16&amp;"行目】【規格・数量】未入力、【単価】未入力"&amp;CHAR(10),
IF(AND(AF16="◎",AG16="○",AH16="×",AI16="○"),"【"&amp;AK16&amp;"行目】【規格・数量】未入力、【単価】入力不十分、【補助対象区分】未入力"&amp;CHAR(10),
IF(AND(AF16="◎",AG16="○",AH16="×",AI16="◎"),"【"&amp;AK16&amp;"行目】【規格・数量】未入力、【単価】入力不十分"&amp;CHAR(10),
IF(AND(AF16="◎",AG16="○",AH16="◎",AI16="○"),"【"&amp;AK16&amp;"行目】【規格・数量】未入力、【補助対象区分】未入力"&amp;CHAR(10),
IF(AND(AF16="◎",AG16="○",AH16="◎",AI16="◎"),"【"&amp;AK16&amp;"行目】【規格・数量】未入力"&amp;CHAR(10),
IF(AND(AF16="◎",AG16="×",AH16="○",AI16="○"),"【"&amp;AK16&amp;"行目】【規格・数量】入力不十分、【単価】未入力、【補助対象区分】未入力"&amp;CHAR(10),
IF(AND(AF16="◎",AG16="×",AH16="○",AI16="◎"),"【"&amp;AK16&amp;"行目】【規格・数量】入力不十分、【単価】未入力"&amp;CHAR(10),
IF(AND(AF16="◎",AG16="×",AH16="×",AI16="○"),"【"&amp;AK16&amp;"行目】【規格・数量】入力不十分、【単価】入力不十分、【補助対象区分】未入力"&amp;CHAR(10),
IF(AND(AF16="◎",AG16="×",AH16="×",AI16="◎"),"【"&amp;AK16&amp;"行目】【規格・数量】入力不十分、【単価】入力不十分"&amp;CHAR(10),
IF(AND(AF16="◎",AG16="×",AH16="◎",AI16="○"),"【"&amp;AK16&amp;"行目】【規格・数量】入力不十分、【補助対象区分】未入力"&amp;CHAR(10),
IF(AND(AF16="◎",AG16="×",AH16="◎",AI16="◎"),"【"&amp;AK16&amp;"行目】【規格・数量】入力不十分"&amp;CHAR(10),
IF(AND(AF16="◎",AG16="◎",AH16="○",AI16="○"),"【"&amp;AK16&amp;"行目】【単価】未入力、【補助対象区分】未入力"&amp;CHAR(10),
IF(AND(AF16="◎",AG16="◎",AH16="○",AI16="◎"),"【"&amp;AK16&amp;"行目】【単価】未入力"&amp;CHAR(10),
IF(AND(AF16="◎",AG16="◎",AH16="×",AI16="○"),"【"&amp;AK16&amp;"行目】【単価】入力不十分、【補助対象区分】未入力"&amp;CHAR(10),
IF(AND(AF16="◎",AG16="◎",AH16="×",AI16="◎"),"【"&amp;AK16&amp;"行目】【単価】入力不十分"&amp;CHAR(10),
IF(AND(AF16="◎",AG16="◎",AH16="◎",AI16="○"),"【"&amp;AK16&amp;"行目】【補助対象区分】未入力"&amp;CHAR(10),
IF(AND(AF16="◎",AG16="◎",AH16="◎",AI16="◎"),"",
))))))))))))))))))))))))))))))))))))))))))))))))))))))</f>
        <v/>
      </c>
      <c r="AK16" s="52">
        <v>1</v>
      </c>
    </row>
    <row r="17" spans="1:75" ht="24.95" customHeight="1">
      <c r="A17" s="38">
        <v>2</v>
      </c>
      <c r="B17" s="313"/>
      <c r="C17" s="313"/>
      <c r="D17" s="313"/>
      <c r="E17" s="314"/>
      <c r="F17" s="315"/>
      <c r="G17" s="316"/>
      <c r="H17" s="316"/>
      <c r="I17" s="45">
        <f t="shared" ref="I17:I65" si="0">IF(G17="",H17*F17,ROUNDDOWN(F17*G17*1.1,0))</f>
        <v>0</v>
      </c>
      <c r="J17" s="317"/>
      <c r="K17" s="45">
        <f t="shared" ref="K17:K65" si="1">IF(J17="補助対象",I17,IF(J17="補助対象外",0,0))</f>
        <v>0</v>
      </c>
      <c r="L17" s="232" t="str">
        <f>IF(AD17="◎",COUNTIF($AD$16:AD17,"◎"),"")</f>
        <v/>
      </c>
      <c r="W17" s="234" t="str">
        <f>IF(B17="既設病床",はじめに入力してください!$K$12,IF(B17="新設病床",はじめに入力してください!$K$13,IF(B17="共通使用",1,"")))</f>
        <v/>
      </c>
      <c r="X17" s="41" t="e">
        <f ca="1">OFFSET(#REF!,
0,
MATCH(B17,#REF!,0),
COUNTA(OFFSET(#REF!,0,MATCH(B17,#REF!,0), 150,1)),1)</f>
        <v>#REF!</v>
      </c>
      <c r="AC17" s="49" t="s">
        <v>69</v>
      </c>
      <c r="AD17" s="231" t="str">
        <f t="shared" ref="AD17:AD65" si="2" xml:space="preserve">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f>
        <v>○</v>
      </c>
      <c r="AE17" s="35" t="str">
        <f t="shared" ref="AE17:AE65" si="3" xml:space="preserve">
IF(AND(AF17="○",AG17="○",AH17="○",AI17="○"),"申請しない場合は入力不要です。",
IF(AND(AF17="○",AG17="○",AH17="○",AI17="◎"),"【要修正】【整備先・内容】未入力、【規格・数量】未入力、【単価】未入力"&amp;CHAR(10),
IF(AND(AF17="○",AG17="○",AH17="×",AI17="○"),"【要修正】【整備先・内容】未入力、【規格・数量】未入力、【単価】入力不十分、【補助対象区分】未入力"&amp;CHAR(10),
IF(AND(AF17="○",AG17="○",AH17="×",AI17="◎"),"【要修正】【整備先・内容】未入力、【規格・数量】未入力、【単価】入力不十分"&amp;CHAR(10),
IF(AND(AF17="○",AG17="○",AH17="◎",AI17="○"),"【要修正】【整備先・内容】未入力、【規格・数量】未入力、【補助対象区分】未入力"&amp;CHAR(10),
IF(AND(AF17="○",AG17="○",AH17="◎",AI17="◎"),"【要修正】【整備先・内容】未入力、【規格・数量】未入力"&amp;CHAR(10),
IF(AND(AF17="○",AG17="×",AH17="○",AI17="○"),"【要修正】【整備先・内容】未入力、【規格・数量】入力不十分、【単価】未入力、【補助対象区分】未入力"&amp;CHAR(10),
IF(AND(AF17="○",AG17="×",AH17="○",AI17="◎"),"【要修正】【整備先・内容】未入力、【規格・数量】入力不十分、【単価】未入力"&amp;CHAR(10),
IF(AND(AF17="○",AG17="×",AH17="×",AI17="○"),"【要修正】【整備先・内容】未入力、【規格・数量】入力不十分、【単価】入力不十分、【補助対象区分】未入力"&amp;CHAR(10),
IF(AND(AF17="○",AG17="×",AH17="×",AI17="◎"),"【要修正】【整備先・内容】未入力、【規格・数量】入力不十分、【単価】入力不十分"&amp;CHAR(10),
IF(AND(AF17="○",AG17="×",AH17="◎",AI17="○"),"【要修正】【整備先・内容】未入力、【規格・数量】入力不十分、【補助対象区分】未入力"&amp;CHAR(10),
IF(AND(AF17="○",AG17="×",AH17="◎",AI17="◎"),"【要修正】【整備先・内容】未入力、【規格・数量】入力不十分"&amp;CHAR(10),
IF(AND(AF17="○",AG17="◎",AH17="○",AI17="○"),"【要修正】【整備先・内容】未入力、【単価】未入力、【補助対象区分】未入力"&amp;CHAR(10),
IF(AND(AF17="○",AG17="◎",AH17="○",AI17="◎"),"【要修正】【整備先・内容】未入力、【単価】未入力"&amp;CHAR(10),
IF(AND(AF17="○",AG17="◎",AH17="×",AI17="○"),"【要修正】【整備先・内容】未入力、【単価】入力不十分、【補助対象区分】未入力"&amp;CHAR(10),
IF(AND(AF17="○",AG17="◎",AH17="×",AI17="◎"),"【要修正】【整備先・内容】未入力、【単価】入力不十分"&amp;CHAR(10),
IF(AND(AF17="○",AG17="◎",AH17="◎",AI17="○"),"【要修正】【整備先・内容】未入力、【補助対象区分】未入力"&amp;CHAR(10),
IF(AND(AF17="○",AG17="◎",AH17="◎",AI17="◎"),"【要修正】【整備先・内容】未入力"&amp;CHAR(10),
IF(AND(AF17="×",AG17="○",AH17="○",AI17="○"),"【要修正】【整備先・内容】入力不十分、【規格・数量】未入力、【単価】未入力、【補助対象区分】未入力"&amp;CHAR(10),
IF(AND(AF17="×",AG17="○",AH17="○",AI17="◎"),"【要修正】【整備先・内容】入力不十分、【規格・数量】未入力、【単価】未入力"&amp;CHAR(10),
IF(AND(AF17="×",AG17="○",AH17="×",AI17="○"),"【要修正】【整備先・内容】入力不十分、【規格・数量】未入力、【単価】入力不十分、【補助対象区分】未入力"&amp;CHAR(10),
IF(AND(AF17="×",AG17="○",AH17="×",AI17="◎"),"【要修正】【整備先・内容】入力不十分、【規格・数量】未入力、【単価】入力不十分"&amp;CHAR(10),
IF(AND(AF17="×",AG17="○",AH17="◎",AI17="○"),"【要修正】【整備先・内容】入力不十分、【規格・数量】未入力、【補助対象区分】未入力"&amp;CHAR(10),
IF(AND(AF17="×",AG17="○",AH17="◎",AI17="◎"),"【要修正】【整備先・内容】入力不十分、【規格・数量】未入力"&amp;CHAR(10),
IF(AND(AF17="×",AG17="×",AH17="○",AI17="○"),"【要修正】【整備先・内容】入力不十分、【規格・数量】入力不十分、【単価】未入力、【補助対象区分】未入力"&amp;CHAR(10),
IF(AND(AF17="×",AG17="×",AH17="○",AI17="◎"),"【要修正】【整備先・内容】入力不十分、【規格・数量】入力不十分、【単価】未入力"&amp;CHAR(10),
IF(AND(AF17="×",AG17="×",AH17="×",AI17="○"),"【要修正】【整備先・内容】入力不十分、【規格・数量】入力不十分、【単価】入力不十分、【補助対象区分】未入力"&amp;CHAR(10),
IF(AND(AF17="×",AG17="×",AH17="×",AI17="◎"),"【要修正】【整備先・内容】入力不十分、【規格・数量】入力不十分、【単価】入力不十分"&amp;CHAR(10),
IF(AND(AF17="×",AG17="×",AH17="◎",AI17="○"),"【要修正】【整備先・内容】入力不十分、【規格・数量】入力不十分、【補助対象区分】未入力"&amp;CHAR(10),
IF(AND(AF17="×",AG17="×",AH17="◎",AI17="◎"),"【要修正】【整備先・内容】入力不十分、【規格・数量】入力不十分"&amp;CHAR(10),
IF(AND(AF17="×",AG17="◎",AH17="○",AI17="○"),"【要修正】【整備先・内容】入力不十分、【単価】未入力、【補助対象区分】未入力"&amp;CHAR(10),
IF(AND(AF17="×",AG17="◎",AH17="○",AI17="◎"),"【要修正】【整備先・内容】入力不十分、【単価】未入力"&amp;CHAR(10),
IF(AND(AF17="×",AG17="◎",AH17="×",AI17="○"),"【要修正】【整備先・内容】入力不十分、【単価】入力不十分、【補助対象区分】未入力"&amp;CHAR(10),
IF(AND(AF17="×",AG17="◎",AH17="×",AI17="◎"),"【要修正】【整備先・内容】入力不十分、【単価】入力不十分"&amp;CHAR(10),
IF(AND(AF17="×",AG17="◎",AH17="◎",AI17="○"),"【要修正】【整備先・内容】入力不十分、【補助対象区分】未入力"&amp;CHAR(10),
IF(AND(AF17="×",AG17="◎",AH17="◎",AI17="◎"),"【要修正】【整備先・内容】入力不十分"&amp;CHAR(10),
IF(AND(AF17="◎",AG17="○",AH17="○",AI17="○"),"【要修正】【規格・数量】未入力、【単価】未入力、【補助対象区分】未入力"&amp;CHAR(10),
IF(AND(AF17="◎",AG17="○",AH17="○",AI17="◎"),"【要修正】【規格・数量】未入力、【単価】未入力"&amp;CHAR(10),
IF(AND(AF17="◎",AG17="○",AH17="×",AI17="○"),"【要修正】【規格・数量】未入力、【単価】入力不十分、【補助対象区分】未入力"&amp;CHAR(10),
IF(AND(AF17="◎",AG17="○",AH17="×",AI17="◎"),"【要修正】【規格・数量】未入力、【単価】入力不十分"&amp;CHAR(10),
IF(AND(AF17="◎",AG17="○",AH17="◎",AI17="○"),"【要修正】【規格・数量】未入力、【補助対象区分】未入力"&amp;CHAR(10),
IF(AND(AF17="◎",AG17="○",AH17="◎",AI17="◎"),"【要修正】【規格・数量】未入力"&amp;CHAR(10),
IF(AND(AF17="◎",AG17="×",AH17="○",AI17="○"),"【要修正】【規格・数量】入力不十分、【単価】未入力、【補助対象区分】未入力"&amp;CHAR(10),
IF(AND(AF17="◎",AG17="×",AH17="○",AI17="◎"),"【要修正】【規格・数量】入力不十分、【単価】未入力"&amp;CHAR(10),
IF(AND(AF17="◎",AG17="×",AH17="×",AI17="○"),"【要修正】【規格・数量】入力不十分、【単価】入力不十分、【補助対象区分】未入力"&amp;CHAR(10),
IF(AND(AF17="◎",AG17="×",AH17="×",AI17="◎"),"【要修正】【規格・数量】入力不十分、【単価】入力不十分"&amp;CHAR(10),
IF(AND(AF17="◎",AG17="×",AH17="◎",AI17="○"),"【要修正】【規格・数量】入力不十分、【補助対象区分】未入力"&amp;CHAR(10),
IF(AND(AF17="◎",AG17="×",AH17="◎",AI17="◎"),"【要修正】【規格・数量】入力不十分"&amp;CHAR(10),
IF(AND(AF17="◎",AG17="◎",AH17="○",AI17="○"),"【要修正】【単価】未入力、【補助対象区分】未入力"&amp;CHAR(10),
IF(AND(AF17="◎",AG17="◎",AH17="○",AI17="◎"),"【要修正】【単価】未入力"&amp;CHAR(10),
IF(AND(AF17="◎",AG17="◎",AH17="×",AI17="○"),"【要修正】【単価】入力不十分、【補助対象区分】未入力"&amp;CHAR(10),
IF(AND(AF17="◎",AG17="◎",AH17="×",AI17="◎"),"【要修正】【単価】入力不十分"&amp;CHAR(10),
IF(AND(AF17="◎",AG17="◎",AH17="◎",AI17="○"),"【要修正】【補助対象区分】未入力"&amp;CHAR(10),
IF(AND(AF17="◎",AG17="◎",AH17="◎",AI17="◎"),"適切に入力がされました。",
))))))))))))))))))))))))))))))))))))))))))))))))))))))</f>
        <v>申請しない場合は入力不要です。</v>
      </c>
      <c r="AF17" s="234" t="str">
        <f t="shared" ref="AF17:AF65" si="4">IF(COUNTA(B17:D17)=0,"○",IF(AND(COUNTA(B17:D17)&gt;=1,COUNTA(B17:D17)&lt;3),"×",IF(COUNTA(B17:D17)=3,"◎")))</f>
        <v>○</v>
      </c>
      <c r="AG17" s="234" t="str">
        <f t="shared" ref="AG17:AG65" si="5">IF(COUNTA(E17,F17,J17)=0,"○",IF(AND(COUNTA(E17,F17,J17)&gt;=1,COUNTA(E17,F17,J17)&lt;3),"×",IF(COUNTA(E17,F17,J17)=3,"◎")))</f>
        <v>○</v>
      </c>
      <c r="AH17" s="234" t="str">
        <f t="shared" ref="AH17:AH65" si="6">IF(COUNTA(G17:H17)=0,"○",IF(COUNTA(G17:H17)=1,"◎",IF(COUNTA(G17:H17)=2,"×")))</f>
        <v>○</v>
      </c>
      <c r="AI17" s="231" t="str">
        <f t="shared" ref="AI17:AI65" si="7">IF(COUNTA(J17)=0,"○",IF(COUNTA(J17)=1,"◎"))</f>
        <v>○</v>
      </c>
      <c r="AJ17" s="14" t="str">
        <f t="shared" ref="AJ17:AJ65" si="8" xml:space="preserve">
IF(AND(AF17="○",AG17="○",AH17="○",AI17="○"),"",
IF(AND(AF17="○",AG17="○",AH17="○",AI17="◎"),"【"&amp;AK17&amp;"行目】【整備先・内容】未入力、【規格・数量】未入力、【単価】未入力"&amp;CHAR(10),
IF(AND(AF17="○",AG17="○",AH17="×",AI17="○"),"【"&amp;AK17&amp;"行目】【整備先・内容】未入力、【規格・数量】未入力、【単価】入力不十分、【補助対象区分】未入力"&amp;CHAR(10),
IF(AND(AF17="○",AG17="○",AH17="×",AI17="◎"),"【"&amp;AK17&amp;"行目】【整備先・内容】未入力、【規格・数量】未入力、【単価】入力不十分"&amp;CHAR(10),
IF(AND(AF17="○",AG17="○",AH17="◎",AI17="○"),"【"&amp;AK17&amp;"行目】【整備先・内容】未入力、【規格・数量】未入力、【補助対象区分】未入力"&amp;CHAR(10),
IF(AND(AF17="○",AG17="○",AH17="◎",AI17="◎"),"【"&amp;AK17&amp;"行目】【整備先・内容】未入力、【規格・数量】未入力"&amp;CHAR(10),
IF(AND(AF17="○",AG17="×",AH17="○",AI17="○"),"【"&amp;AK17&amp;"行目】【整備先・内容】未入力、【規格・数量】入力不十分、【単価】未入力、【補助対象区分】未入力"&amp;CHAR(10),
IF(AND(AF17="○",AG17="×",AH17="○",AI17="◎"),"【"&amp;AK17&amp;"行目】【整備先・内容】未入力、【規格・数量】入力不十分、【単価】未入力"&amp;CHAR(10),
IF(AND(AF17="○",AG17="×",AH17="×",AI17="○"),"【"&amp;AK17&amp;"行目】【整備先・内容】未入力、【規格・数量】入力不十分、【単価】入力不十分、【補助対象区分】未入力"&amp;CHAR(10),
IF(AND(AF17="○",AG17="×",AH17="×",AI17="◎"),"【"&amp;AK17&amp;"行目】【整備先・内容】未入力、【規格・数量】入力不十分、【単価】入力不十分"&amp;CHAR(10),
IF(AND(AF17="○",AG17="×",AH17="◎",AI17="○"),"【"&amp;AK17&amp;"行目】【整備先・内容】未入力、【規格・数量】入力不十分、【補助対象区分】未入力"&amp;CHAR(10),
IF(AND(AF17="○",AG17="×",AH17="◎",AI17="◎"),"【"&amp;AK17&amp;"行目】【整備先・内容】未入力、【規格・数量】入力不十分"&amp;CHAR(10),
IF(AND(AF17="○",AG17="◎",AH17="○",AI17="○"),"【"&amp;AK17&amp;"行目】【整備先・内容】未入力、【単価】未入力、【補助対象区分】未入力"&amp;CHAR(10),
IF(AND(AF17="○",AG17="◎",AH17="○",AI17="◎"),"【"&amp;AK17&amp;"行目】【整備先・内容】未入力、【単価】未入力"&amp;CHAR(10),
IF(AND(AF17="○",AG17="◎",AH17="×",AI17="○"),"【"&amp;AK17&amp;"行目】【整備先・内容】未入力、【単価】入力不十分、【補助対象区分】未入力"&amp;CHAR(10),
IF(AND(AF17="○",AG17="◎",AH17="×",AI17="◎"),"【"&amp;AK17&amp;"行目】【整備先・内容】未入力、【単価】入力不十分"&amp;CHAR(10),
IF(AND(AF17="○",AG17="◎",AH17="◎",AI17="○"),"【"&amp;AK17&amp;"行目】【整備先・内容】未入力、【補助対象区分】未入力"&amp;CHAR(10),
IF(AND(AF17="○",AG17="◎",AH17="◎",AI17="◎"),"【"&amp;AK17&amp;"行目】【整備先・内容】未入力"&amp;CHAR(10),
IF(AND(AF17="×",AG17="○",AH17="○",AI17="○"),"【"&amp;AK17&amp;"行目】【整備先・内容】入力不十分、【規格・数量】未入力、【単価】未入力、【補助対象区分】未入力"&amp;CHAR(10),
IF(AND(AF17="×",AG17="○",AH17="○",AI17="◎"),"【"&amp;AK17&amp;"行目】【整備先・内容】入力不十分、【規格・数量】未入力、【単価】未入力"&amp;CHAR(10),
IF(AND(AF17="×",AG17="○",AH17="×",AI17="○"),"【"&amp;AK17&amp;"行目】【整備先・内容】入力不十分、【規格・数量】未入力、【単価】入力不十分、【補助対象区分】未入力"&amp;CHAR(10),
IF(AND(AF17="×",AG17="○",AH17="×",AI17="◎"),"【"&amp;AK17&amp;"行目】【整備先・内容】入力不十分、【規格・数量】未入力、【単価】入力不十分"&amp;CHAR(10),
IF(AND(AF17="×",AG17="○",AH17="◎",AI17="○"),"【"&amp;AK17&amp;"行目】【整備先・内容】入力不十分、【規格・数量】未入力、【補助対象区分】未入力"&amp;CHAR(10),
IF(AND(AF17="×",AG17="○",AH17="◎",AI17="◎"),"【"&amp;AK17&amp;"行目】【整備先・内容】入力不十分、【規格・数量】未入力"&amp;CHAR(10),
IF(AND(AF17="×",AG17="×",AH17="○",AI17="○"),"【"&amp;AK17&amp;"行目】【整備先・内容】入力不十分、【規格・数量】入力不十分、【単価】未入力、【補助対象区分】未入力"&amp;CHAR(10),
IF(AND(AF17="×",AG17="×",AH17="○",AI17="◎"),"【"&amp;AK17&amp;"行目】【整備先・内容】入力不十分、【規格・数量】入力不十分、【単価】未入力"&amp;CHAR(10),
IF(AND(AF17="×",AG17="×",AH17="×",AI17="○"),"【"&amp;AK17&amp;"行目】【整備先・内容】入力不十分、【規格・数量】入力不十分、【単価】入力不十分、【補助対象区分】未入力"&amp;CHAR(10),
IF(AND(AF17="×",AG17="×",AH17="×",AI17="◎"),"【"&amp;AK17&amp;"行目】【整備先・内容】入力不十分、【規格・数量】入力不十分、【単価】入力不十分"&amp;CHAR(10),
IF(AND(AF17="×",AG17="×",AH17="◎",AI17="○"),"【"&amp;AK17&amp;"行目】【整備先・内容】入力不十分、【規格・数量】入力不十分、【補助対象区分】未入力"&amp;CHAR(10),
IF(AND(AF17="×",AG17="×",AH17="◎",AI17="◎"),"【"&amp;AK17&amp;"行目】【整備先・内容】入力不十分、【規格・数量】入力不十分"&amp;CHAR(10),
IF(AND(AF17="×",AG17="◎",AH17="○",AI17="○"),"【"&amp;AK17&amp;"行目】【整備先・内容】入力不十分、【単価】未入力、【補助対象区分】未入力"&amp;CHAR(10),
IF(AND(AF17="×",AG17="◎",AH17="○",AI17="◎"),"【"&amp;AK17&amp;"行目】【整備先・内容】入力不十分、【単価】未入力"&amp;CHAR(10),
IF(AND(AF17="×",AG17="◎",AH17="×",AI17="○"),"【"&amp;AK17&amp;"行目】【整備先・内容】入力不十分、【単価】入力不十分、【補助対象区分】未入力"&amp;CHAR(10),
IF(AND(AF17="×",AG17="◎",AH17="×",AI17="◎"),"【"&amp;AK17&amp;"行目】【整備先・内容】入力不十分、【単価】入力不十分"&amp;CHAR(10),
IF(AND(AF17="×",AG17="◎",AH17="◎",AI17="○"),"【"&amp;AK17&amp;"行目】【整備先・内容】入力不十分、【補助対象区分】未入力"&amp;CHAR(10),
IF(AND(AF17="×",AG17="◎",AH17="◎",AI17="◎"),"【"&amp;AK17&amp;"行目】【整備先・内容】入力不十分"&amp;CHAR(10),
IF(AND(AF17="◎",AG17="○",AH17="○",AI17="○"),"【"&amp;AK17&amp;"行目】【規格・数量】未入力、【単価】未入力、【補助対象区分】未入力"&amp;CHAR(10),
IF(AND(AF17="◎",AG17="○",AH17="○",AI17="◎"),"【"&amp;AK17&amp;"行目】【規格・数量】未入力、【単価】未入力"&amp;CHAR(10),
IF(AND(AF17="◎",AG17="○",AH17="×",AI17="○"),"【"&amp;AK17&amp;"行目】【規格・数量】未入力、【単価】入力不十分、【補助対象区分】未入力"&amp;CHAR(10),
IF(AND(AF17="◎",AG17="○",AH17="×",AI17="◎"),"【"&amp;AK17&amp;"行目】【規格・数量】未入力、【単価】入力不十分"&amp;CHAR(10),
IF(AND(AF17="◎",AG17="○",AH17="◎",AI17="○"),"【"&amp;AK17&amp;"行目】【規格・数量】未入力、【補助対象区分】未入力"&amp;CHAR(10),
IF(AND(AF17="◎",AG17="○",AH17="◎",AI17="◎"),"【"&amp;AK17&amp;"行目】【規格・数量】未入力"&amp;CHAR(10),
IF(AND(AF17="◎",AG17="×",AH17="○",AI17="○"),"【"&amp;AK17&amp;"行目】【規格・数量】入力不十分、【単価】未入力、【補助対象区分】未入力"&amp;CHAR(10),
IF(AND(AF17="◎",AG17="×",AH17="○",AI17="◎"),"【"&amp;AK17&amp;"行目】【規格・数量】入力不十分、【単価】未入力"&amp;CHAR(10),
IF(AND(AF17="◎",AG17="×",AH17="×",AI17="○"),"【"&amp;AK17&amp;"行目】【規格・数量】入力不十分、【単価】入力不十分、【補助対象区分】未入力"&amp;CHAR(10),
IF(AND(AF17="◎",AG17="×",AH17="×",AI17="◎"),"【"&amp;AK17&amp;"行目】【規格・数量】入力不十分、【単価】入力不十分"&amp;CHAR(10),
IF(AND(AF17="◎",AG17="×",AH17="◎",AI17="○"),"【"&amp;AK17&amp;"行目】【規格・数量】入力不十分、【補助対象区分】未入力"&amp;CHAR(10),
IF(AND(AF17="◎",AG17="×",AH17="◎",AI17="◎"),"【"&amp;AK17&amp;"行目】【規格・数量】入力不十分"&amp;CHAR(10),
IF(AND(AF17="◎",AG17="◎",AH17="○",AI17="○"),"【"&amp;AK17&amp;"行目】【単価】未入力、【補助対象区分】未入力"&amp;CHAR(10),
IF(AND(AF17="◎",AG17="◎",AH17="○",AI17="◎"),"【"&amp;AK17&amp;"行目】【単価】未入力"&amp;CHAR(10),
IF(AND(AF17="◎",AG17="◎",AH17="×",AI17="○"),"【"&amp;AK17&amp;"行目】【単価】入力不十分、【補助対象区分】未入力"&amp;CHAR(10),
IF(AND(AF17="◎",AG17="◎",AH17="×",AI17="◎"),"【"&amp;AK17&amp;"行目】【単価】入力不十分"&amp;CHAR(10),
IF(AND(AF17="◎",AG17="◎",AH17="◎",AI17="○"),"【"&amp;AK17&amp;"行目】【補助対象区分】未入力"&amp;CHAR(10),
IF(AND(AF17="◎",AG17="◎",AH17="◎",AI17="◎"),"",
))))))))))))))))))))))))))))))))))))))))))))))))))))))</f>
        <v/>
      </c>
      <c r="AK17" s="52">
        <v>2</v>
      </c>
    </row>
    <row r="18" spans="1:75" ht="24.95" customHeight="1">
      <c r="A18" s="38">
        <v>3</v>
      </c>
      <c r="B18" s="313"/>
      <c r="C18" s="313"/>
      <c r="D18" s="313"/>
      <c r="E18" s="314"/>
      <c r="F18" s="315"/>
      <c r="G18" s="316"/>
      <c r="H18" s="316"/>
      <c r="I18" s="45">
        <f t="shared" si="0"/>
        <v>0</v>
      </c>
      <c r="J18" s="317"/>
      <c r="K18" s="45">
        <f t="shared" si="1"/>
        <v>0</v>
      </c>
      <c r="L18" s="232" t="str">
        <f>IF(AD18="◎",COUNTIF($AD$16:AD18,"◎"),"")</f>
        <v/>
      </c>
      <c r="W18" s="234" t="str">
        <f>IF(B18="既設病床",はじめに入力してください!$K$12,IF(B18="新設病床",はじめに入力してください!$K$13,IF(B18="共通使用",1,"")))</f>
        <v/>
      </c>
      <c r="AC18" s="49" t="s">
        <v>69</v>
      </c>
      <c r="AD18" s="231" t="str">
        <f t="shared" si="2"/>
        <v>○</v>
      </c>
      <c r="AE18" s="35" t="str">
        <f t="shared" si="3"/>
        <v>申請しない場合は入力不要です。</v>
      </c>
      <c r="AF18" s="234" t="str">
        <f t="shared" si="4"/>
        <v>○</v>
      </c>
      <c r="AG18" s="234" t="str">
        <f t="shared" si="5"/>
        <v>○</v>
      </c>
      <c r="AH18" s="234" t="str">
        <f t="shared" si="6"/>
        <v>○</v>
      </c>
      <c r="AI18" s="231" t="str">
        <f t="shared" si="7"/>
        <v>○</v>
      </c>
      <c r="AJ18" s="14" t="str">
        <f t="shared" si="8"/>
        <v/>
      </c>
      <c r="AK18" s="52">
        <v>3</v>
      </c>
      <c r="AY18" s="760" t="s">
        <v>76</v>
      </c>
      <c r="AZ18" s="761"/>
      <c r="BA18" s="761"/>
      <c r="BB18" s="761"/>
      <c r="BC18" s="762"/>
      <c r="BD18" s="760" t="s">
        <v>75</v>
      </c>
      <c r="BE18" s="761"/>
      <c r="BF18" s="761"/>
      <c r="BG18" s="761"/>
      <c r="BH18" s="762"/>
      <c r="BO18" s="234" t="s">
        <v>123</v>
      </c>
      <c r="BP18" s="234" t="s">
        <v>64</v>
      </c>
      <c r="BQ18" s="234" t="s">
        <v>122</v>
      </c>
      <c r="BR18" s="234" t="s">
        <v>121</v>
      </c>
      <c r="BS18" s="763" t="s">
        <v>89</v>
      </c>
      <c r="BT18" s="764"/>
      <c r="BU18" s="764"/>
      <c r="BV18" s="764"/>
      <c r="BW18" s="764"/>
    </row>
    <row r="19" spans="1:75" ht="24.95" customHeight="1">
      <c r="A19" s="38">
        <v>4</v>
      </c>
      <c r="B19" s="313"/>
      <c r="C19" s="313"/>
      <c r="D19" s="313"/>
      <c r="E19" s="314"/>
      <c r="F19" s="315"/>
      <c r="G19" s="316"/>
      <c r="H19" s="316"/>
      <c r="I19" s="45">
        <f t="shared" si="0"/>
        <v>0</v>
      </c>
      <c r="J19" s="317"/>
      <c r="K19" s="45">
        <f t="shared" si="1"/>
        <v>0</v>
      </c>
      <c r="L19" s="232" t="str">
        <f>IF(AD19="◎",COUNTIF($AD$16:AD19,"◎"),"")</f>
        <v/>
      </c>
      <c r="W19" s="234" t="str">
        <f>IF(B19="既設病床",はじめに入力してください!$K$12,IF(B19="新設病床",はじめに入力してください!$K$13,IF(B19="共通使用",1,"")))</f>
        <v/>
      </c>
      <c r="Y19" s="203"/>
      <c r="AC19" s="49" t="s">
        <v>69</v>
      </c>
      <c r="AD19" s="231" t="str">
        <f t="shared" si="2"/>
        <v>○</v>
      </c>
      <c r="AE19" s="35" t="str">
        <f t="shared" si="3"/>
        <v>申請しない場合は入力不要です。</v>
      </c>
      <c r="AF19" s="234" t="str">
        <f t="shared" si="4"/>
        <v>○</v>
      </c>
      <c r="AG19" s="234" t="str">
        <f t="shared" si="5"/>
        <v>○</v>
      </c>
      <c r="AH19" s="234" t="str">
        <f t="shared" si="6"/>
        <v>○</v>
      </c>
      <c r="AI19" s="231" t="str">
        <f t="shared" si="7"/>
        <v>○</v>
      </c>
      <c r="AJ19" s="14" t="str">
        <f t="shared" si="8"/>
        <v/>
      </c>
      <c r="AK19" s="52">
        <v>4</v>
      </c>
      <c r="AY19" s="765" t="e">
        <f>IF(BP19="○","個人防護具の申請を行わない場合は可",IF(BP19="×","　【未入力有】"&amp;CHAR(10)&amp;"　補助基準額を算出するため黄色セルを"&amp;CHAR(10)&amp;"　どちらも入力してください。"&amp;CHAR(10)&amp;"（「0」は入力しないでください。）",IF(BP19="◎","適切に入力されました。"&amp;CHAR(10)&amp;"延"&amp;#REF!&amp;"人×3,600円/円・日="&amp;TEXT(#REF!*3600,"#,##0")&amp;"円")))</f>
        <v>#REF!</v>
      </c>
      <c r="AZ19" s="766"/>
      <c r="BA19" s="766"/>
      <c r="BB19" s="766"/>
      <c r="BC19" s="767"/>
      <c r="BD19" s="766" t="str">
        <f>IF(BP20="×","【要修正】"&amp;CHAR(10)&amp;"入力が適切に完了していない項目があります。"&amp;CHAR(10)&amp;"判定欄が「×」の行は、記載が不十分または不要な入力がされていてる可能性がありますのでご確認をお願いします。",IF(BP20="○","個人防護具の補助申請を行わない場合は可",IF(BP20="◎","適切に入力がされました。"&amp;CHAR(10)&amp;"添付書類（発注、納品および支払いが確認できるもの）の御用意、御提出をお願いします。")))</f>
        <v>個人防護具の補助申請を行わない場合は可</v>
      </c>
      <c r="BE19" s="767"/>
      <c r="BF19" s="767"/>
      <c r="BG19" s="767"/>
      <c r="BH19" s="767"/>
      <c r="BO19" s="52" t="s">
        <v>128</v>
      </c>
      <c r="BP19" s="220" t="e">
        <f>IF(COUNTA(#REF!)=0,"○",IF(OR(COUNTA(#REF!)=1,#REF!=0,#REF!=0),"×",IF(COUNTA(#REF!)=2,"◎")))</f>
        <v>#REF!</v>
      </c>
      <c r="BQ19" s="768" t="e">
        <f xml:space="preserve">
IF(AND(BP19="×",BP20="×"),"×",
IF(AND(BP19="×",BP20="○"),"×",
IF(AND(BP19="×",BP20="◎"),"×",
IF(AND(BP19="○",BP20="×"),"×",
IF(AND(BP19="○",BP20="○"),"○",
IF(AND(BP19="○",BP20="◎"),"×",
IF(AND(BP19="◎",BP20="×"),"×",
IF(AND(BP19="◎",BP20="○"),"×",
IF(AND(BP19="◎",BP20="◎"),"◎",
)))))))))</f>
        <v>#REF!</v>
      </c>
      <c r="BR19" s="770" t="e">
        <f xml:space="preserve">
IF(AND(BP19="×",BP20="×"),"【要修正】「はじめに」及び「防護具情報」いずれも入力が不十分です。",
IF(AND(BP19="×",BP20="○"),"【要修正】「はじめに」が入力不十分、また「防護具情報」が未入力です。",
IF(AND(BP19="×",BP20="◎"),"【要修正】「はじめに」が入力不十分です。",
IF(AND(BP19="○",BP20="×"),"【要修正】「はじめに」が未入力、「防護具情報」が入力不十分です。",
IF(AND(BP19="○",BP20="○"),"個人防護具の補助申請を行わない場合は入力不要です。",
IF(AND(BP19="○",BP20="◎"),"【要修正】「はじめに」が未入力です。",
IF(AND(BP19="◎",BP20="×"),"【要修正】「防護具情報」が入力不十分です。",
IF(AND(BP19="◎",BP20="○"),"【要修正】「防護具情報」が入力不十分です。",
IF(AND(BP19="◎",BP20="◎"),"いずれの項目も適切に入力されました。",
)))))))))</f>
        <v>#REF!</v>
      </c>
      <c r="BS19" s="763"/>
      <c r="BT19" s="764"/>
      <c r="BU19" s="764"/>
      <c r="BV19" s="764"/>
      <c r="BW19" s="764"/>
    </row>
    <row r="20" spans="1:75" ht="24.95" customHeight="1">
      <c r="A20" s="38">
        <v>5</v>
      </c>
      <c r="B20" s="313"/>
      <c r="C20" s="313"/>
      <c r="D20" s="313"/>
      <c r="E20" s="314"/>
      <c r="F20" s="315"/>
      <c r="G20" s="316"/>
      <c r="H20" s="316"/>
      <c r="I20" s="45">
        <f t="shared" si="0"/>
        <v>0</v>
      </c>
      <c r="J20" s="317"/>
      <c r="K20" s="45">
        <f t="shared" si="1"/>
        <v>0</v>
      </c>
      <c r="L20" s="232" t="str">
        <f>IF(AD20="◎",COUNTIF($AD$16:AD20,"◎"),"")</f>
        <v/>
      </c>
      <c r="W20" s="234" t="str">
        <f>IF(B20="既設病床",はじめに入力してください!$K$12,IF(B20="新設病床",はじめに入力してください!$K$13,IF(B20="共通使用",1,"")))</f>
        <v/>
      </c>
      <c r="AC20" s="49" t="s">
        <v>69</v>
      </c>
      <c r="AD20" s="231" t="str">
        <f t="shared" si="2"/>
        <v>○</v>
      </c>
      <c r="AE20" s="35" t="str">
        <f t="shared" si="3"/>
        <v>申請しない場合は入力不要です。</v>
      </c>
      <c r="AF20" s="234" t="str">
        <f t="shared" si="4"/>
        <v>○</v>
      </c>
      <c r="AG20" s="234" t="str">
        <f t="shared" si="5"/>
        <v>○</v>
      </c>
      <c r="AH20" s="234" t="str">
        <f t="shared" si="6"/>
        <v>○</v>
      </c>
      <c r="AI20" s="231" t="str">
        <f t="shared" si="7"/>
        <v>○</v>
      </c>
      <c r="AJ20" s="14" t="str">
        <f t="shared" si="8"/>
        <v/>
      </c>
      <c r="AK20" s="52">
        <v>5</v>
      </c>
      <c r="AY20" s="766"/>
      <c r="AZ20" s="766"/>
      <c r="BA20" s="766"/>
      <c r="BB20" s="766"/>
      <c r="BC20" s="767"/>
      <c r="BD20" s="767"/>
      <c r="BE20" s="767"/>
      <c r="BF20" s="767"/>
      <c r="BG20" s="767"/>
      <c r="BH20" s="767"/>
      <c r="BO20" s="52" t="s">
        <v>130</v>
      </c>
      <c r="BP20" s="220" t="str">
        <f>IF(COUNTIF(AD16:AD47,"×")&gt;1,"×",IF(COUNTIF(AD16:AD47,"○")=32,"○","◎"))</f>
        <v>○</v>
      </c>
      <c r="BQ20" s="769"/>
      <c r="BR20" s="771"/>
      <c r="BS20" s="763"/>
      <c r="BT20" s="764"/>
      <c r="BU20" s="764"/>
      <c r="BV20" s="764"/>
      <c r="BW20" s="764"/>
    </row>
    <row r="21" spans="1:75" ht="24.95" customHeight="1">
      <c r="A21" s="38">
        <v>6</v>
      </c>
      <c r="B21" s="313"/>
      <c r="C21" s="313"/>
      <c r="D21" s="313"/>
      <c r="E21" s="314"/>
      <c r="F21" s="315"/>
      <c r="G21" s="316"/>
      <c r="H21" s="316"/>
      <c r="I21" s="45">
        <f t="shared" si="0"/>
        <v>0</v>
      </c>
      <c r="J21" s="317"/>
      <c r="K21" s="45">
        <f t="shared" si="1"/>
        <v>0</v>
      </c>
      <c r="L21" s="232" t="str">
        <f>IF(AD21="◎",COUNTIF($AD$16:AD21,"◎"),"")</f>
        <v/>
      </c>
      <c r="W21" s="234" t="str">
        <f>IF(B21="既設病床",はじめに入力してください!$K$12,IF(B21="新設病床",はじめに入力してください!$K$13,IF(B21="共通使用",1,"")))</f>
        <v/>
      </c>
      <c r="AC21" s="49" t="s">
        <v>69</v>
      </c>
      <c r="AD21" s="231" t="str">
        <f t="shared" si="2"/>
        <v>○</v>
      </c>
      <c r="AE21" s="35" t="str">
        <f t="shared" si="3"/>
        <v>申請しない場合は入力不要です。</v>
      </c>
      <c r="AF21" s="234" t="str">
        <f t="shared" si="4"/>
        <v>○</v>
      </c>
      <c r="AG21" s="234" t="str">
        <f t="shared" si="5"/>
        <v>○</v>
      </c>
      <c r="AH21" s="234" t="str">
        <f t="shared" si="6"/>
        <v>○</v>
      </c>
      <c r="AI21" s="231" t="str">
        <f t="shared" si="7"/>
        <v>○</v>
      </c>
      <c r="AJ21" s="14" t="str">
        <f t="shared" si="8"/>
        <v/>
      </c>
      <c r="AK21" s="52">
        <v>6</v>
      </c>
      <c r="AY21" s="766"/>
      <c r="AZ21" s="766"/>
      <c r="BA21" s="766"/>
      <c r="BB21" s="766"/>
      <c r="BC21" s="767"/>
      <c r="BD21" s="767"/>
      <c r="BE21" s="767"/>
      <c r="BF21" s="767"/>
      <c r="BG21" s="767"/>
      <c r="BH21" s="767"/>
      <c r="BO21" s="59" t="s">
        <v>127</v>
      </c>
      <c r="BP21" s="223"/>
      <c r="BQ21" s="223"/>
      <c r="BR21" s="222"/>
      <c r="BS21" s="222"/>
      <c r="BT21" s="237"/>
      <c r="BU21" s="237"/>
      <c r="BV21" s="237"/>
      <c r="BW21" s="237"/>
    </row>
    <row r="22" spans="1:75" ht="24.95" customHeight="1">
      <c r="A22" s="38">
        <v>7</v>
      </c>
      <c r="B22" s="313"/>
      <c r="C22" s="313"/>
      <c r="D22" s="313"/>
      <c r="E22" s="314"/>
      <c r="F22" s="315"/>
      <c r="G22" s="316"/>
      <c r="H22" s="316"/>
      <c r="I22" s="45">
        <f t="shared" si="0"/>
        <v>0</v>
      </c>
      <c r="J22" s="317"/>
      <c r="K22" s="45">
        <f t="shared" si="1"/>
        <v>0</v>
      </c>
      <c r="L22" s="232" t="str">
        <f>IF(AD22="◎",COUNTIF($AD$16:AD22,"◎"),"")</f>
        <v/>
      </c>
      <c r="W22" s="234" t="str">
        <f>IF(B22="既設病床",はじめに入力してください!$K$12,IF(B22="新設病床",はじめに入力してください!$K$13,IF(B22="共通使用",1,"")))</f>
        <v/>
      </c>
      <c r="AC22" s="49" t="s">
        <v>69</v>
      </c>
      <c r="AD22" s="231" t="str">
        <f t="shared" si="2"/>
        <v>○</v>
      </c>
      <c r="AE22" s="35" t="str">
        <f t="shared" si="3"/>
        <v>申請しない場合は入力不要です。</v>
      </c>
      <c r="AF22" s="234" t="str">
        <f t="shared" si="4"/>
        <v>○</v>
      </c>
      <c r="AG22" s="234" t="str">
        <f t="shared" si="5"/>
        <v>○</v>
      </c>
      <c r="AH22" s="234" t="str">
        <f t="shared" si="6"/>
        <v>○</v>
      </c>
      <c r="AI22" s="231" t="str">
        <f t="shared" si="7"/>
        <v>○</v>
      </c>
      <c r="AJ22" s="14" t="str">
        <f t="shared" si="8"/>
        <v/>
      </c>
      <c r="AK22" s="52">
        <v>7</v>
      </c>
      <c r="AY22" s="767"/>
      <c r="AZ22" s="767"/>
      <c r="BA22" s="767"/>
      <c r="BB22" s="767"/>
      <c r="BC22" s="767"/>
      <c r="BD22" s="767"/>
      <c r="BE22" s="767"/>
      <c r="BF22" s="767"/>
      <c r="BG22" s="767"/>
      <c r="BH22" s="767"/>
      <c r="BS22" s="222"/>
      <c r="BT22" s="237"/>
      <c r="BU22" s="237"/>
      <c r="BV22" s="237"/>
      <c r="BW22" s="237"/>
    </row>
    <row r="23" spans="1:75" ht="24.95" customHeight="1">
      <c r="A23" s="38">
        <v>8</v>
      </c>
      <c r="B23" s="313"/>
      <c r="C23" s="313"/>
      <c r="D23" s="313"/>
      <c r="E23" s="314"/>
      <c r="F23" s="315"/>
      <c r="G23" s="316"/>
      <c r="H23" s="316"/>
      <c r="I23" s="45">
        <f t="shared" si="0"/>
        <v>0</v>
      </c>
      <c r="J23" s="317"/>
      <c r="K23" s="45">
        <f t="shared" si="1"/>
        <v>0</v>
      </c>
      <c r="L23" s="232" t="str">
        <f>IF(AD23="◎",COUNTIF($AD$16:AD23,"◎"),"")</f>
        <v/>
      </c>
      <c r="T23" s="237"/>
      <c r="U23" s="237"/>
      <c r="V23" s="237"/>
      <c r="W23" s="234" t="str">
        <f>IF(B23="既設病床",はじめに入力してください!$K$12,IF(B23="新設病床",はじめに入力してください!$K$13,IF(B23="共通使用",1,"")))</f>
        <v/>
      </c>
      <c r="AC23" s="49" t="s">
        <v>69</v>
      </c>
      <c r="AD23" s="231" t="str">
        <f t="shared" si="2"/>
        <v>○</v>
      </c>
      <c r="AE23" s="35" t="str">
        <f t="shared" si="3"/>
        <v>申請しない場合は入力不要です。</v>
      </c>
      <c r="AF23" s="234" t="str">
        <f t="shared" si="4"/>
        <v>○</v>
      </c>
      <c r="AG23" s="234" t="str">
        <f t="shared" si="5"/>
        <v>○</v>
      </c>
      <c r="AH23" s="234" t="str">
        <f t="shared" si="6"/>
        <v>○</v>
      </c>
      <c r="AI23" s="231" t="str">
        <f t="shared" si="7"/>
        <v>○</v>
      </c>
      <c r="AJ23" s="14" t="str">
        <f t="shared" si="8"/>
        <v/>
      </c>
      <c r="AK23" s="52">
        <v>8</v>
      </c>
      <c r="AY23" s="762"/>
      <c r="AZ23" s="767"/>
      <c r="BA23" s="767"/>
      <c r="BB23" s="767"/>
      <c r="BC23" s="767"/>
      <c r="BD23" s="767"/>
      <c r="BE23" s="767"/>
      <c r="BF23" s="767"/>
      <c r="BG23" s="767"/>
      <c r="BH23" s="767"/>
      <c r="BS23" s="222"/>
      <c r="BT23" s="237"/>
      <c r="BU23" s="237"/>
      <c r="BV23" s="237"/>
      <c r="BW23" s="237"/>
    </row>
    <row r="24" spans="1:75" ht="24.95" customHeight="1">
      <c r="A24" s="38">
        <v>9</v>
      </c>
      <c r="B24" s="313"/>
      <c r="C24" s="313"/>
      <c r="D24" s="313"/>
      <c r="E24" s="314"/>
      <c r="F24" s="315"/>
      <c r="G24" s="316"/>
      <c r="H24" s="316"/>
      <c r="I24" s="45">
        <f t="shared" si="0"/>
        <v>0</v>
      </c>
      <c r="J24" s="317"/>
      <c r="K24" s="45">
        <f t="shared" si="1"/>
        <v>0</v>
      </c>
      <c r="L24" s="232" t="str">
        <f>IF(AD24="◎",COUNTIF($AD$16:AD24,"◎"),"")</f>
        <v/>
      </c>
      <c r="W24" s="234" t="str">
        <f>IF(B24="既設病床",はじめに入力してください!$K$12,IF(B24="新設病床",はじめに入力してください!$K$13,IF(B24="共通使用",1,"")))</f>
        <v/>
      </c>
      <c r="AC24" s="49" t="s">
        <v>69</v>
      </c>
      <c r="AD24" s="231" t="str">
        <f t="shared" si="2"/>
        <v>○</v>
      </c>
      <c r="AE24" s="35" t="str">
        <f t="shared" si="3"/>
        <v>申請しない場合は入力不要です。</v>
      </c>
      <c r="AF24" s="234" t="str">
        <f t="shared" si="4"/>
        <v>○</v>
      </c>
      <c r="AG24" s="234" t="str">
        <f t="shared" si="5"/>
        <v>○</v>
      </c>
      <c r="AH24" s="234" t="str">
        <f t="shared" si="6"/>
        <v>○</v>
      </c>
      <c r="AI24" s="231" t="str">
        <f t="shared" si="7"/>
        <v>○</v>
      </c>
      <c r="AJ24" s="14" t="str">
        <f t="shared" si="8"/>
        <v/>
      </c>
      <c r="AK24" s="52">
        <v>9</v>
      </c>
    </row>
    <row r="25" spans="1:75" ht="24.95" customHeight="1">
      <c r="A25" s="38">
        <v>10</v>
      </c>
      <c r="B25" s="313"/>
      <c r="C25" s="313"/>
      <c r="D25" s="313"/>
      <c r="E25" s="314"/>
      <c r="F25" s="315"/>
      <c r="G25" s="316"/>
      <c r="H25" s="316"/>
      <c r="I25" s="45">
        <f t="shared" si="0"/>
        <v>0</v>
      </c>
      <c r="J25" s="317"/>
      <c r="K25" s="45">
        <f t="shared" si="1"/>
        <v>0</v>
      </c>
      <c r="L25" s="232" t="str">
        <f>IF(AD25="◎",COUNTIF($AD$16:AD25,"◎"),"")</f>
        <v/>
      </c>
      <c r="W25" s="234" t="str">
        <f>IF(B25="既設病床",はじめに入力してください!$K$12,IF(B25="新設病床",はじめに入力してください!$K$13,IF(B25="共通使用",1,"")))</f>
        <v/>
      </c>
      <c r="AC25" s="49" t="s">
        <v>69</v>
      </c>
      <c r="AD25" s="231" t="str">
        <f t="shared" si="2"/>
        <v>○</v>
      </c>
      <c r="AE25" s="35" t="str">
        <f t="shared" si="3"/>
        <v>申請しない場合は入力不要です。</v>
      </c>
      <c r="AF25" s="234" t="str">
        <f t="shared" si="4"/>
        <v>○</v>
      </c>
      <c r="AG25" s="234" t="str">
        <f t="shared" si="5"/>
        <v>○</v>
      </c>
      <c r="AH25" s="234" t="str">
        <f t="shared" si="6"/>
        <v>○</v>
      </c>
      <c r="AI25" s="231" t="str">
        <f t="shared" si="7"/>
        <v>○</v>
      </c>
      <c r="AJ25" s="14" t="str">
        <f t="shared" si="8"/>
        <v/>
      </c>
      <c r="AK25" s="52">
        <v>10</v>
      </c>
    </row>
    <row r="26" spans="1:75" ht="24.95" customHeight="1">
      <c r="A26" s="38">
        <v>11</v>
      </c>
      <c r="B26" s="313"/>
      <c r="C26" s="313"/>
      <c r="D26" s="313"/>
      <c r="E26" s="314"/>
      <c r="F26" s="315"/>
      <c r="G26" s="316"/>
      <c r="H26" s="316"/>
      <c r="I26" s="45">
        <f t="shared" si="0"/>
        <v>0</v>
      </c>
      <c r="J26" s="317"/>
      <c r="K26" s="45">
        <f t="shared" si="1"/>
        <v>0</v>
      </c>
      <c r="L26" s="232" t="str">
        <f>IF(AD26="◎",COUNTIF($AD$16:AD26,"◎"),"")</f>
        <v/>
      </c>
      <c r="W26" s="234" t="str">
        <f>IF(B26="既設病床",はじめに入力してください!$K$12,IF(B26="新設病床",はじめに入力してください!$K$13,IF(B26="共通使用",1,"")))</f>
        <v/>
      </c>
      <c r="AC26" s="49" t="s">
        <v>69</v>
      </c>
      <c r="AD26" s="231" t="str">
        <f t="shared" si="2"/>
        <v>○</v>
      </c>
      <c r="AE26" s="35" t="str">
        <f t="shared" si="3"/>
        <v>申請しない場合は入力不要です。</v>
      </c>
      <c r="AF26" s="234" t="str">
        <f t="shared" si="4"/>
        <v>○</v>
      </c>
      <c r="AG26" s="234" t="str">
        <f t="shared" si="5"/>
        <v>○</v>
      </c>
      <c r="AH26" s="234" t="str">
        <f t="shared" si="6"/>
        <v>○</v>
      </c>
      <c r="AI26" s="231" t="str">
        <f t="shared" si="7"/>
        <v>○</v>
      </c>
      <c r="AJ26" s="14" t="str">
        <f t="shared" si="8"/>
        <v/>
      </c>
      <c r="AK26" s="52">
        <v>11</v>
      </c>
    </row>
    <row r="27" spans="1:75" ht="24.95" customHeight="1">
      <c r="A27" s="38">
        <v>12</v>
      </c>
      <c r="B27" s="313"/>
      <c r="C27" s="313"/>
      <c r="D27" s="313"/>
      <c r="E27" s="314"/>
      <c r="F27" s="315"/>
      <c r="G27" s="316"/>
      <c r="H27" s="316"/>
      <c r="I27" s="45">
        <f t="shared" si="0"/>
        <v>0</v>
      </c>
      <c r="J27" s="317"/>
      <c r="K27" s="45">
        <f t="shared" si="1"/>
        <v>0</v>
      </c>
      <c r="L27" s="232" t="str">
        <f>IF(AD27="◎",COUNTIF($AD$16:AD27,"◎"),"")</f>
        <v/>
      </c>
      <c r="W27" s="234" t="str">
        <f>IF(B27="既設病床",はじめに入力してください!$K$12,IF(B27="新設病床",はじめに入力してください!$K$13,IF(B27="共通使用",1,"")))</f>
        <v/>
      </c>
      <c r="AC27" s="49" t="s">
        <v>69</v>
      </c>
      <c r="AD27" s="231" t="str">
        <f t="shared" si="2"/>
        <v>○</v>
      </c>
      <c r="AE27" s="35" t="str">
        <f t="shared" si="3"/>
        <v>申請しない場合は入力不要です。</v>
      </c>
      <c r="AF27" s="234" t="str">
        <f t="shared" si="4"/>
        <v>○</v>
      </c>
      <c r="AG27" s="234" t="str">
        <f t="shared" si="5"/>
        <v>○</v>
      </c>
      <c r="AH27" s="234" t="str">
        <f t="shared" si="6"/>
        <v>○</v>
      </c>
      <c r="AI27" s="231" t="str">
        <f t="shared" si="7"/>
        <v>○</v>
      </c>
      <c r="AJ27" s="14" t="str">
        <f t="shared" si="8"/>
        <v/>
      </c>
      <c r="AK27" s="52">
        <v>12</v>
      </c>
    </row>
    <row r="28" spans="1:75" ht="24.95" customHeight="1">
      <c r="A28" s="38">
        <v>13</v>
      </c>
      <c r="B28" s="313"/>
      <c r="C28" s="313"/>
      <c r="D28" s="313"/>
      <c r="E28" s="314"/>
      <c r="F28" s="315"/>
      <c r="G28" s="316"/>
      <c r="H28" s="316"/>
      <c r="I28" s="45">
        <f t="shared" si="0"/>
        <v>0</v>
      </c>
      <c r="J28" s="317"/>
      <c r="K28" s="45">
        <f t="shared" si="1"/>
        <v>0</v>
      </c>
      <c r="L28" s="232" t="str">
        <f>IF(AD28="◎",COUNTIF($AD$16:AD28,"◎"),"")</f>
        <v/>
      </c>
      <c r="W28" s="234" t="str">
        <f>IF(B28="既設病床",はじめに入力してください!$K$12,IF(B28="新設病床",はじめに入力してください!$K$13,IF(B28="共通使用",1,"")))</f>
        <v/>
      </c>
      <c r="AC28" s="49" t="s">
        <v>69</v>
      </c>
      <c r="AD28" s="231" t="str">
        <f t="shared" si="2"/>
        <v>○</v>
      </c>
      <c r="AE28" s="35" t="str">
        <f t="shared" si="3"/>
        <v>申請しない場合は入力不要です。</v>
      </c>
      <c r="AF28" s="234" t="str">
        <f t="shared" si="4"/>
        <v>○</v>
      </c>
      <c r="AG28" s="234" t="str">
        <f t="shared" si="5"/>
        <v>○</v>
      </c>
      <c r="AH28" s="234" t="str">
        <f t="shared" si="6"/>
        <v>○</v>
      </c>
      <c r="AI28" s="231" t="str">
        <f t="shared" si="7"/>
        <v>○</v>
      </c>
      <c r="AJ28" s="14" t="str">
        <f t="shared" si="8"/>
        <v/>
      </c>
      <c r="AK28" s="52">
        <v>13</v>
      </c>
    </row>
    <row r="29" spans="1:75" ht="24.95" customHeight="1">
      <c r="A29" s="38">
        <v>14</v>
      </c>
      <c r="B29" s="313"/>
      <c r="C29" s="313"/>
      <c r="D29" s="313"/>
      <c r="E29" s="314"/>
      <c r="F29" s="315"/>
      <c r="G29" s="316"/>
      <c r="H29" s="316"/>
      <c r="I29" s="45">
        <f t="shared" si="0"/>
        <v>0</v>
      </c>
      <c r="J29" s="317"/>
      <c r="K29" s="45">
        <f t="shared" si="1"/>
        <v>0</v>
      </c>
      <c r="L29" s="232" t="str">
        <f>IF(AD29="◎",COUNTIF($AD$16:AD29,"◎"),"")</f>
        <v/>
      </c>
      <c r="W29" s="234" t="str">
        <f>IF(B29="既設病床",はじめに入力してください!$K$12,IF(B29="新設病床",はじめに入力してください!$K$13,IF(B29="共通使用",1,"")))</f>
        <v/>
      </c>
      <c r="AC29" s="49" t="s">
        <v>69</v>
      </c>
      <c r="AD29" s="231" t="str">
        <f t="shared" si="2"/>
        <v>○</v>
      </c>
      <c r="AE29" s="35" t="str">
        <f t="shared" si="3"/>
        <v>申請しない場合は入力不要です。</v>
      </c>
      <c r="AF29" s="234" t="str">
        <f t="shared" si="4"/>
        <v>○</v>
      </c>
      <c r="AG29" s="234" t="str">
        <f t="shared" si="5"/>
        <v>○</v>
      </c>
      <c r="AH29" s="234" t="str">
        <f t="shared" si="6"/>
        <v>○</v>
      </c>
      <c r="AI29" s="231" t="str">
        <f t="shared" si="7"/>
        <v>○</v>
      </c>
      <c r="AJ29" s="14" t="str">
        <f t="shared" si="8"/>
        <v/>
      </c>
      <c r="AK29" s="52">
        <v>14</v>
      </c>
    </row>
    <row r="30" spans="1:75" ht="24.95" customHeight="1">
      <c r="A30" s="38">
        <v>15</v>
      </c>
      <c r="B30" s="313"/>
      <c r="C30" s="313"/>
      <c r="D30" s="313"/>
      <c r="E30" s="314"/>
      <c r="F30" s="315"/>
      <c r="G30" s="316"/>
      <c r="H30" s="316"/>
      <c r="I30" s="45">
        <f t="shared" si="0"/>
        <v>0</v>
      </c>
      <c r="J30" s="317"/>
      <c r="K30" s="45">
        <f t="shared" si="1"/>
        <v>0</v>
      </c>
      <c r="L30" s="232" t="str">
        <f>IF(AD30="◎",COUNTIF($AD$16:AD30,"◎"),"")</f>
        <v/>
      </c>
      <c r="W30" s="234" t="str">
        <f>IF(B30="既設病床",はじめに入力してください!$K$12,IF(B30="新設病床",はじめに入力してください!$K$13,IF(B30="共通使用",1,"")))</f>
        <v/>
      </c>
      <c r="AC30" s="49" t="s">
        <v>69</v>
      </c>
      <c r="AD30" s="231" t="str">
        <f t="shared" si="2"/>
        <v>○</v>
      </c>
      <c r="AE30" s="35" t="str">
        <f t="shared" si="3"/>
        <v>申請しない場合は入力不要です。</v>
      </c>
      <c r="AF30" s="234" t="str">
        <f t="shared" si="4"/>
        <v>○</v>
      </c>
      <c r="AG30" s="234" t="str">
        <f t="shared" si="5"/>
        <v>○</v>
      </c>
      <c r="AH30" s="234" t="str">
        <f t="shared" si="6"/>
        <v>○</v>
      </c>
      <c r="AI30" s="231" t="str">
        <f t="shared" si="7"/>
        <v>○</v>
      </c>
      <c r="AJ30" s="14" t="str">
        <f t="shared" si="8"/>
        <v/>
      </c>
      <c r="AK30" s="52">
        <v>15</v>
      </c>
    </row>
    <row r="31" spans="1:75" ht="24.95" customHeight="1">
      <c r="A31" s="38">
        <v>16</v>
      </c>
      <c r="B31" s="313"/>
      <c r="C31" s="313"/>
      <c r="D31" s="313"/>
      <c r="E31" s="314"/>
      <c r="F31" s="315"/>
      <c r="G31" s="316"/>
      <c r="H31" s="316"/>
      <c r="I31" s="45">
        <f t="shared" si="0"/>
        <v>0</v>
      </c>
      <c r="J31" s="317"/>
      <c r="K31" s="45">
        <f t="shared" si="1"/>
        <v>0</v>
      </c>
      <c r="L31" s="232" t="str">
        <f>IF(AD31="◎",COUNTIF($AD$16:AD31,"◎"),"")</f>
        <v/>
      </c>
      <c r="W31" s="234" t="str">
        <f>IF(B31="既設病床",はじめに入力してください!$K$12,IF(B31="新設病床",はじめに入力してください!$K$13,IF(B31="共通使用",1,"")))</f>
        <v/>
      </c>
      <c r="AC31" s="49" t="s">
        <v>69</v>
      </c>
      <c r="AD31" s="231" t="str">
        <f t="shared" si="2"/>
        <v>○</v>
      </c>
      <c r="AE31" s="35" t="str">
        <f t="shared" si="3"/>
        <v>申請しない場合は入力不要です。</v>
      </c>
      <c r="AF31" s="234" t="str">
        <f t="shared" si="4"/>
        <v>○</v>
      </c>
      <c r="AG31" s="234" t="str">
        <f t="shared" si="5"/>
        <v>○</v>
      </c>
      <c r="AH31" s="234" t="str">
        <f t="shared" si="6"/>
        <v>○</v>
      </c>
      <c r="AI31" s="231" t="str">
        <f t="shared" si="7"/>
        <v>○</v>
      </c>
      <c r="AJ31" s="14" t="str">
        <f t="shared" si="8"/>
        <v/>
      </c>
      <c r="AK31" s="52">
        <v>16</v>
      </c>
    </row>
    <row r="32" spans="1:75" ht="24.95" customHeight="1">
      <c r="A32" s="38">
        <v>17</v>
      </c>
      <c r="B32" s="313"/>
      <c r="C32" s="313"/>
      <c r="D32" s="313"/>
      <c r="E32" s="314"/>
      <c r="F32" s="315"/>
      <c r="G32" s="316"/>
      <c r="H32" s="316"/>
      <c r="I32" s="45">
        <f t="shared" si="0"/>
        <v>0</v>
      </c>
      <c r="J32" s="317"/>
      <c r="K32" s="45">
        <f t="shared" si="1"/>
        <v>0</v>
      </c>
      <c r="L32" s="232" t="str">
        <f>IF(AD32="◎",COUNTIF($AD$16:AD32,"◎"),"")</f>
        <v/>
      </c>
      <c r="W32" s="234" t="str">
        <f>IF(B32="既設病床",はじめに入力してください!$K$12,IF(B32="新設病床",はじめに入力してください!$K$13,IF(B32="共通使用",1,"")))</f>
        <v/>
      </c>
      <c r="AC32" s="49" t="s">
        <v>69</v>
      </c>
      <c r="AD32" s="231" t="str">
        <f t="shared" si="2"/>
        <v>○</v>
      </c>
      <c r="AE32" s="35" t="str">
        <f t="shared" si="3"/>
        <v>申請しない場合は入力不要です。</v>
      </c>
      <c r="AF32" s="234" t="str">
        <f t="shared" si="4"/>
        <v>○</v>
      </c>
      <c r="AG32" s="234" t="str">
        <f t="shared" si="5"/>
        <v>○</v>
      </c>
      <c r="AH32" s="234" t="str">
        <f t="shared" si="6"/>
        <v>○</v>
      </c>
      <c r="AI32" s="231" t="str">
        <f t="shared" si="7"/>
        <v>○</v>
      </c>
      <c r="AJ32" s="14" t="str">
        <f t="shared" si="8"/>
        <v/>
      </c>
      <c r="AK32" s="52">
        <v>17</v>
      </c>
    </row>
    <row r="33" spans="1:37" ht="24.95" customHeight="1">
      <c r="A33" s="38">
        <v>18</v>
      </c>
      <c r="B33" s="313"/>
      <c r="C33" s="313"/>
      <c r="D33" s="313"/>
      <c r="E33" s="314"/>
      <c r="F33" s="315"/>
      <c r="G33" s="316"/>
      <c r="H33" s="316"/>
      <c r="I33" s="45">
        <f t="shared" si="0"/>
        <v>0</v>
      </c>
      <c r="J33" s="317"/>
      <c r="K33" s="45">
        <f t="shared" si="1"/>
        <v>0</v>
      </c>
      <c r="L33" s="232" t="str">
        <f>IF(AD33="◎",COUNTIF($AD$16:AD33,"◎"),"")</f>
        <v/>
      </c>
      <c r="W33" s="234" t="str">
        <f>IF(B33="既設病床",はじめに入力してください!$K$12,IF(B33="新設病床",はじめに入力してください!$K$13,IF(B33="共通使用",1,"")))</f>
        <v/>
      </c>
      <c r="AC33" s="49" t="s">
        <v>69</v>
      </c>
      <c r="AD33" s="231" t="str">
        <f t="shared" si="2"/>
        <v>○</v>
      </c>
      <c r="AE33" s="35" t="str">
        <f t="shared" si="3"/>
        <v>申請しない場合は入力不要です。</v>
      </c>
      <c r="AF33" s="234" t="str">
        <f t="shared" si="4"/>
        <v>○</v>
      </c>
      <c r="AG33" s="234" t="str">
        <f t="shared" si="5"/>
        <v>○</v>
      </c>
      <c r="AH33" s="234" t="str">
        <f t="shared" si="6"/>
        <v>○</v>
      </c>
      <c r="AI33" s="231" t="str">
        <f t="shared" si="7"/>
        <v>○</v>
      </c>
      <c r="AJ33" s="14" t="str">
        <f t="shared" si="8"/>
        <v/>
      </c>
      <c r="AK33" s="52">
        <v>18</v>
      </c>
    </row>
    <row r="34" spans="1:37" ht="24.95" customHeight="1">
      <c r="A34" s="38">
        <v>19</v>
      </c>
      <c r="B34" s="313"/>
      <c r="C34" s="313"/>
      <c r="D34" s="313"/>
      <c r="E34" s="314"/>
      <c r="F34" s="315"/>
      <c r="G34" s="316"/>
      <c r="H34" s="316"/>
      <c r="I34" s="45">
        <f t="shared" si="0"/>
        <v>0</v>
      </c>
      <c r="J34" s="317"/>
      <c r="K34" s="45">
        <f t="shared" si="1"/>
        <v>0</v>
      </c>
      <c r="L34" s="232" t="str">
        <f>IF(AD34="◎",COUNTIF($AD$16:AD34,"◎"),"")</f>
        <v/>
      </c>
      <c r="W34" s="234" t="str">
        <f>IF(B34="既設病床",はじめに入力してください!$K$12,IF(B34="新設病床",はじめに入力してください!$K$13,IF(B34="共通使用",1,"")))</f>
        <v/>
      </c>
      <c r="AC34" s="49" t="s">
        <v>69</v>
      </c>
      <c r="AD34" s="231" t="str">
        <f t="shared" si="2"/>
        <v>○</v>
      </c>
      <c r="AE34" s="35" t="str">
        <f t="shared" si="3"/>
        <v>申請しない場合は入力不要です。</v>
      </c>
      <c r="AF34" s="234" t="str">
        <f t="shared" si="4"/>
        <v>○</v>
      </c>
      <c r="AG34" s="234" t="str">
        <f t="shared" si="5"/>
        <v>○</v>
      </c>
      <c r="AH34" s="234" t="str">
        <f t="shared" si="6"/>
        <v>○</v>
      </c>
      <c r="AI34" s="231" t="str">
        <f t="shared" si="7"/>
        <v>○</v>
      </c>
      <c r="AJ34" s="14" t="str">
        <f t="shared" si="8"/>
        <v/>
      </c>
      <c r="AK34" s="52">
        <v>19</v>
      </c>
    </row>
    <row r="35" spans="1:37" ht="24.95" customHeight="1">
      <c r="A35" s="38">
        <v>20</v>
      </c>
      <c r="B35" s="313"/>
      <c r="C35" s="313"/>
      <c r="D35" s="313"/>
      <c r="E35" s="314"/>
      <c r="F35" s="315"/>
      <c r="G35" s="316"/>
      <c r="H35" s="316"/>
      <c r="I35" s="45">
        <f t="shared" si="0"/>
        <v>0</v>
      </c>
      <c r="J35" s="317"/>
      <c r="K35" s="45">
        <f t="shared" si="1"/>
        <v>0</v>
      </c>
      <c r="L35" s="232" t="str">
        <f>IF(AD35="◎",COUNTIF($AD$16:AD35,"◎"),"")</f>
        <v/>
      </c>
      <c r="W35" s="234" t="str">
        <f>IF(B35="既設病床",はじめに入力してください!$K$12,IF(B35="新設病床",はじめに入力してください!$K$13,IF(B35="共通使用",1,"")))</f>
        <v/>
      </c>
      <c r="AC35" s="49" t="s">
        <v>69</v>
      </c>
      <c r="AD35" s="231" t="str">
        <f t="shared" si="2"/>
        <v>○</v>
      </c>
      <c r="AE35" s="35" t="str">
        <f t="shared" si="3"/>
        <v>申請しない場合は入力不要です。</v>
      </c>
      <c r="AF35" s="234" t="str">
        <f t="shared" si="4"/>
        <v>○</v>
      </c>
      <c r="AG35" s="234" t="str">
        <f t="shared" si="5"/>
        <v>○</v>
      </c>
      <c r="AH35" s="234" t="str">
        <f t="shared" si="6"/>
        <v>○</v>
      </c>
      <c r="AI35" s="231" t="str">
        <f t="shared" si="7"/>
        <v>○</v>
      </c>
      <c r="AJ35" s="14" t="str">
        <f t="shared" si="8"/>
        <v/>
      </c>
      <c r="AK35" s="52">
        <v>20</v>
      </c>
    </row>
    <row r="36" spans="1:37" ht="24.95" customHeight="1">
      <c r="A36" s="38">
        <v>21</v>
      </c>
      <c r="B36" s="313"/>
      <c r="C36" s="313"/>
      <c r="D36" s="313"/>
      <c r="E36" s="314"/>
      <c r="F36" s="315"/>
      <c r="G36" s="316"/>
      <c r="H36" s="316"/>
      <c r="I36" s="45">
        <f t="shared" si="0"/>
        <v>0</v>
      </c>
      <c r="J36" s="317"/>
      <c r="K36" s="45">
        <f t="shared" si="1"/>
        <v>0</v>
      </c>
      <c r="L36" s="232" t="str">
        <f>IF(AD36="◎",COUNTIF($AD$16:AD36,"◎"),"")</f>
        <v/>
      </c>
      <c r="W36" s="234" t="str">
        <f>IF(B36="既設病床",はじめに入力してください!$K$12,IF(B36="新設病床",はじめに入力してください!$K$13,IF(B36="共通使用",1,"")))</f>
        <v/>
      </c>
      <c r="AC36" s="49" t="s">
        <v>69</v>
      </c>
      <c r="AD36" s="231" t="str">
        <f t="shared" si="2"/>
        <v>○</v>
      </c>
      <c r="AE36" s="35" t="str">
        <f t="shared" si="3"/>
        <v>申請しない場合は入力不要です。</v>
      </c>
      <c r="AF36" s="234" t="str">
        <f t="shared" si="4"/>
        <v>○</v>
      </c>
      <c r="AG36" s="234" t="str">
        <f t="shared" si="5"/>
        <v>○</v>
      </c>
      <c r="AH36" s="234" t="str">
        <f t="shared" si="6"/>
        <v>○</v>
      </c>
      <c r="AI36" s="231" t="str">
        <f t="shared" si="7"/>
        <v>○</v>
      </c>
      <c r="AJ36" s="14" t="str">
        <f t="shared" si="8"/>
        <v/>
      </c>
      <c r="AK36" s="52">
        <v>21</v>
      </c>
    </row>
    <row r="37" spans="1:37" ht="24.95" customHeight="1">
      <c r="A37" s="38">
        <v>22</v>
      </c>
      <c r="B37" s="313"/>
      <c r="C37" s="313"/>
      <c r="D37" s="313"/>
      <c r="E37" s="314"/>
      <c r="F37" s="315"/>
      <c r="G37" s="316"/>
      <c r="H37" s="316"/>
      <c r="I37" s="45">
        <f t="shared" si="0"/>
        <v>0</v>
      </c>
      <c r="J37" s="317"/>
      <c r="K37" s="45">
        <f t="shared" si="1"/>
        <v>0</v>
      </c>
      <c r="L37" s="232" t="str">
        <f>IF(AD37="◎",COUNTIF($AD$16:AD37,"◎"),"")</f>
        <v/>
      </c>
      <c r="W37" s="234" t="str">
        <f>IF(B37="既設病床",はじめに入力してください!$K$12,IF(B37="新設病床",はじめに入力してください!$K$13,IF(B37="共通使用",1,"")))</f>
        <v/>
      </c>
      <c r="AC37" s="49" t="s">
        <v>69</v>
      </c>
      <c r="AD37" s="231" t="str">
        <f t="shared" si="2"/>
        <v>○</v>
      </c>
      <c r="AE37" s="35" t="str">
        <f t="shared" si="3"/>
        <v>申請しない場合は入力不要です。</v>
      </c>
      <c r="AF37" s="234" t="str">
        <f t="shared" si="4"/>
        <v>○</v>
      </c>
      <c r="AG37" s="234" t="str">
        <f t="shared" si="5"/>
        <v>○</v>
      </c>
      <c r="AH37" s="234" t="str">
        <f t="shared" si="6"/>
        <v>○</v>
      </c>
      <c r="AI37" s="231" t="str">
        <f t="shared" si="7"/>
        <v>○</v>
      </c>
      <c r="AJ37" s="14" t="str">
        <f t="shared" si="8"/>
        <v/>
      </c>
      <c r="AK37" s="52">
        <v>22</v>
      </c>
    </row>
    <row r="38" spans="1:37" ht="24.95" customHeight="1">
      <c r="A38" s="38">
        <v>23</v>
      </c>
      <c r="B38" s="313"/>
      <c r="C38" s="313"/>
      <c r="D38" s="313"/>
      <c r="E38" s="314"/>
      <c r="F38" s="315"/>
      <c r="G38" s="316"/>
      <c r="H38" s="316"/>
      <c r="I38" s="45">
        <f t="shared" si="0"/>
        <v>0</v>
      </c>
      <c r="J38" s="317"/>
      <c r="K38" s="45">
        <f t="shared" si="1"/>
        <v>0</v>
      </c>
      <c r="L38" s="232" t="str">
        <f>IF(AD38="◎",COUNTIF($AD$16:AD38,"◎"),"")</f>
        <v/>
      </c>
      <c r="W38" s="234" t="str">
        <f>IF(B38="既設病床",はじめに入力してください!$K$12,IF(B38="新設病床",はじめに入力してください!$K$13,IF(B38="共通使用",1,"")))</f>
        <v/>
      </c>
      <c r="AC38" s="49" t="s">
        <v>69</v>
      </c>
      <c r="AD38" s="231" t="str">
        <f t="shared" si="2"/>
        <v>○</v>
      </c>
      <c r="AE38" s="35" t="str">
        <f t="shared" si="3"/>
        <v>申請しない場合は入力不要です。</v>
      </c>
      <c r="AF38" s="234" t="str">
        <f t="shared" si="4"/>
        <v>○</v>
      </c>
      <c r="AG38" s="234" t="str">
        <f t="shared" si="5"/>
        <v>○</v>
      </c>
      <c r="AH38" s="234" t="str">
        <f t="shared" si="6"/>
        <v>○</v>
      </c>
      <c r="AI38" s="231" t="str">
        <f t="shared" si="7"/>
        <v>○</v>
      </c>
      <c r="AJ38" s="14" t="str">
        <f t="shared" si="8"/>
        <v/>
      </c>
      <c r="AK38" s="52">
        <v>23</v>
      </c>
    </row>
    <row r="39" spans="1:37" ht="24.95" customHeight="1">
      <c r="A39" s="38">
        <v>24</v>
      </c>
      <c r="B39" s="313"/>
      <c r="C39" s="313"/>
      <c r="D39" s="313"/>
      <c r="E39" s="314"/>
      <c r="F39" s="315"/>
      <c r="G39" s="316"/>
      <c r="H39" s="316"/>
      <c r="I39" s="45">
        <f t="shared" si="0"/>
        <v>0</v>
      </c>
      <c r="J39" s="317"/>
      <c r="K39" s="45">
        <f t="shared" si="1"/>
        <v>0</v>
      </c>
      <c r="L39" s="232" t="str">
        <f>IF(AD39="◎",COUNTIF($AD$16:AD39,"◎"),"")</f>
        <v/>
      </c>
      <c r="W39" s="234" t="str">
        <f>IF(B39="既設病床",はじめに入力してください!$K$12,IF(B39="新設病床",はじめに入力してください!$K$13,IF(B39="共通使用",1,"")))</f>
        <v/>
      </c>
      <c r="AC39" s="49" t="s">
        <v>69</v>
      </c>
      <c r="AD39" s="231" t="str">
        <f t="shared" si="2"/>
        <v>○</v>
      </c>
      <c r="AE39" s="35" t="str">
        <f t="shared" si="3"/>
        <v>申請しない場合は入力不要です。</v>
      </c>
      <c r="AF39" s="234" t="str">
        <f t="shared" si="4"/>
        <v>○</v>
      </c>
      <c r="AG39" s="234" t="str">
        <f t="shared" si="5"/>
        <v>○</v>
      </c>
      <c r="AH39" s="234" t="str">
        <f t="shared" si="6"/>
        <v>○</v>
      </c>
      <c r="AI39" s="231" t="str">
        <f t="shared" si="7"/>
        <v>○</v>
      </c>
      <c r="AJ39" s="14" t="str">
        <f t="shared" si="8"/>
        <v/>
      </c>
      <c r="AK39" s="52">
        <v>24</v>
      </c>
    </row>
    <row r="40" spans="1:37" ht="24.95" customHeight="1">
      <c r="A40" s="38">
        <v>25</v>
      </c>
      <c r="B40" s="313"/>
      <c r="C40" s="313"/>
      <c r="D40" s="313"/>
      <c r="E40" s="314"/>
      <c r="F40" s="315"/>
      <c r="G40" s="316"/>
      <c r="H40" s="316"/>
      <c r="I40" s="45">
        <f t="shared" si="0"/>
        <v>0</v>
      </c>
      <c r="J40" s="317"/>
      <c r="K40" s="45">
        <f t="shared" si="1"/>
        <v>0</v>
      </c>
      <c r="L40" s="232" t="str">
        <f>IF(AD40="◎",COUNTIF($AD$16:AD40,"◎"),"")</f>
        <v/>
      </c>
      <c r="W40" s="234" t="str">
        <f>IF(B40="既設病床",はじめに入力してください!$K$12,IF(B40="新設病床",はじめに入力してください!$K$13,IF(B40="共通使用",1,"")))</f>
        <v/>
      </c>
      <c r="AC40" s="49" t="s">
        <v>69</v>
      </c>
      <c r="AD40" s="231" t="str">
        <f t="shared" si="2"/>
        <v>○</v>
      </c>
      <c r="AE40" s="35" t="str">
        <f t="shared" si="3"/>
        <v>申請しない場合は入力不要です。</v>
      </c>
      <c r="AF40" s="234" t="str">
        <f t="shared" si="4"/>
        <v>○</v>
      </c>
      <c r="AG40" s="234" t="str">
        <f t="shared" si="5"/>
        <v>○</v>
      </c>
      <c r="AH40" s="234" t="str">
        <f t="shared" si="6"/>
        <v>○</v>
      </c>
      <c r="AI40" s="231" t="str">
        <f t="shared" si="7"/>
        <v>○</v>
      </c>
      <c r="AJ40" s="14" t="str">
        <f t="shared" si="8"/>
        <v/>
      </c>
      <c r="AK40" s="52">
        <v>25</v>
      </c>
    </row>
    <row r="41" spans="1:37" ht="24.95" customHeight="1">
      <c r="A41" s="38">
        <v>26</v>
      </c>
      <c r="B41" s="313"/>
      <c r="C41" s="313"/>
      <c r="D41" s="313"/>
      <c r="E41" s="314"/>
      <c r="F41" s="315"/>
      <c r="G41" s="316"/>
      <c r="H41" s="316"/>
      <c r="I41" s="45">
        <f t="shared" si="0"/>
        <v>0</v>
      </c>
      <c r="J41" s="317"/>
      <c r="K41" s="45">
        <f t="shared" si="1"/>
        <v>0</v>
      </c>
      <c r="L41" s="232" t="str">
        <f>IF(AD41="◎",COUNTIF($AD$16:AD41,"◎"),"")</f>
        <v/>
      </c>
      <c r="W41" s="234" t="str">
        <f>IF(B41="既設病床",はじめに入力してください!$K$12,IF(B41="新設病床",はじめに入力してください!$K$13,IF(B41="共通使用",1,"")))</f>
        <v/>
      </c>
      <c r="AC41" s="49" t="s">
        <v>69</v>
      </c>
      <c r="AD41" s="231" t="str">
        <f t="shared" si="2"/>
        <v>○</v>
      </c>
      <c r="AE41" s="35" t="str">
        <f t="shared" si="3"/>
        <v>申請しない場合は入力不要です。</v>
      </c>
      <c r="AF41" s="234" t="str">
        <f t="shared" si="4"/>
        <v>○</v>
      </c>
      <c r="AG41" s="234" t="str">
        <f t="shared" si="5"/>
        <v>○</v>
      </c>
      <c r="AH41" s="234" t="str">
        <f t="shared" si="6"/>
        <v>○</v>
      </c>
      <c r="AI41" s="231" t="str">
        <f t="shared" si="7"/>
        <v>○</v>
      </c>
      <c r="AJ41" s="14" t="str">
        <f t="shared" si="8"/>
        <v/>
      </c>
      <c r="AK41" s="52">
        <v>26</v>
      </c>
    </row>
    <row r="42" spans="1:37" ht="24.95" customHeight="1">
      <c r="A42" s="38">
        <v>27</v>
      </c>
      <c r="B42" s="313"/>
      <c r="C42" s="313"/>
      <c r="D42" s="313"/>
      <c r="E42" s="314"/>
      <c r="F42" s="315"/>
      <c r="G42" s="316"/>
      <c r="H42" s="316"/>
      <c r="I42" s="45">
        <f t="shared" si="0"/>
        <v>0</v>
      </c>
      <c r="J42" s="317"/>
      <c r="K42" s="45">
        <f t="shared" si="1"/>
        <v>0</v>
      </c>
      <c r="L42" s="232" t="str">
        <f>IF(AD42="◎",COUNTIF($AD$16:AD42,"◎"),"")</f>
        <v/>
      </c>
      <c r="W42" s="234" t="str">
        <f>IF(B42="既設病床",はじめに入力してください!$K$12,IF(B42="新設病床",はじめに入力してください!$K$13,IF(B42="共通使用",1,"")))</f>
        <v/>
      </c>
      <c r="AC42" s="49" t="s">
        <v>69</v>
      </c>
      <c r="AD42" s="231" t="str">
        <f t="shared" si="2"/>
        <v>○</v>
      </c>
      <c r="AE42" s="35" t="str">
        <f t="shared" si="3"/>
        <v>申請しない場合は入力不要です。</v>
      </c>
      <c r="AF42" s="234" t="str">
        <f t="shared" si="4"/>
        <v>○</v>
      </c>
      <c r="AG42" s="234" t="str">
        <f t="shared" si="5"/>
        <v>○</v>
      </c>
      <c r="AH42" s="234" t="str">
        <f t="shared" si="6"/>
        <v>○</v>
      </c>
      <c r="AI42" s="231" t="str">
        <f t="shared" si="7"/>
        <v>○</v>
      </c>
      <c r="AJ42" s="14" t="str">
        <f t="shared" si="8"/>
        <v/>
      </c>
      <c r="AK42" s="52">
        <v>27</v>
      </c>
    </row>
    <row r="43" spans="1:37" ht="24.95" customHeight="1">
      <c r="A43" s="38">
        <v>28</v>
      </c>
      <c r="B43" s="313"/>
      <c r="C43" s="313"/>
      <c r="D43" s="313"/>
      <c r="E43" s="314"/>
      <c r="F43" s="315"/>
      <c r="G43" s="316"/>
      <c r="H43" s="316"/>
      <c r="I43" s="45">
        <f t="shared" si="0"/>
        <v>0</v>
      </c>
      <c r="J43" s="317"/>
      <c r="K43" s="45">
        <f t="shared" si="1"/>
        <v>0</v>
      </c>
      <c r="L43" s="232" t="str">
        <f>IF(AD43="◎",COUNTIF($AD$16:AD43,"◎"),"")</f>
        <v/>
      </c>
      <c r="W43" s="234" t="str">
        <f>IF(B43="既設病床",はじめに入力してください!$K$12,IF(B43="新設病床",はじめに入力してください!$K$13,IF(B43="共通使用",1,"")))</f>
        <v/>
      </c>
      <c r="AC43" s="49" t="s">
        <v>69</v>
      </c>
      <c r="AD43" s="231" t="str">
        <f t="shared" si="2"/>
        <v>○</v>
      </c>
      <c r="AE43" s="35" t="str">
        <f t="shared" si="3"/>
        <v>申請しない場合は入力不要です。</v>
      </c>
      <c r="AF43" s="234" t="str">
        <f t="shared" si="4"/>
        <v>○</v>
      </c>
      <c r="AG43" s="234" t="str">
        <f t="shared" si="5"/>
        <v>○</v>
      </c>
      <c r="AH43" s="234" t="str">
        <f t="shared" si="6"/>
        <v>○</v>
      </c>
      <c r="AI43" s="231" t="str">
        <f t="shared" si="7"/>
        <v>○</v>
      </c>
      <c r="AJ43" s="14" t="str">
        <f t="shared" si="8"/>
        <v/>
      </c>
      <c r="AK43" s="52">
        <v>28</v>
      </c>
    </row>
    <row r="44" spans="1:37" ht="24.95" customHeight="1">
      <c r="A44" s="38">
        <v>29</v>
      </c>
      <c r="B44" s="313"/>
      <c r="C44" s="313"/>
      <c r="D44" s="313"/>
      <c r="E44" s="314"/>
      <c r="F44" s="315"/>
      <c r="G44" s="316"/>
      <c r="H44" s="316"/>
      <c r="I44" s="45">
        <f t="shared" si="0"/>
        <v>0</v>
      </c>
      <c r="J44" s="317"/>
      <c r="K44" s="45">
        <f t="shared" si="1"/>
        <v>0</v>
      </c>
      <c r="L44" s="232" t="str">
        <f>IF(AD44="◎",COUNTIF($AD$16:AD44,"◎"),"")</f>
        <v/>
      </c>
      <c r="W44" s="234" t="str">
        <f>IF(B44="既設病床",はじめに入力してください!$K$12,IF(B44="新設病床",はじめに入力してください!$K$13,IF(B44="共通使用",1,"")))</f>
        <v/>
      </c>
      <c r="AC44" s="49" t="s">
        <v>69</v>
      </c>
      <c r="AD44" s="231" t="str">
        <f t="shared" si="2"/>
        <v>○</v>
      </c>
      <c r="AE44" s="35" t="str">
        <f t="shared" si="3"/>
        <v>申請しない場合は入力不要です。</v>
      </c>
      <c r="AF44" s="234" t="str">
        <f t="shared" si="4"/>
        <v>○</v>
      </c>
      <c r="AG44" s="234" t="str">
        <f t="shared" si="5"/>
        <v>○</v>
      </c>
      <c r="AH44" s="234" t="str">
        <f t="shared" si="6"/>
        <v>○</v>
      </c>
      <c r="AI44" s="231" t="str">
        <f t="shared" si="7"/>
        <v>○</v>
      </c>
      <c r="AJ44" s="14" t="str">
        <f t="shared" si="8"/>
        <v/>
      </c>
      <c r="AK44" s="52">
        <v>29</v>
      </c>
    </row>
    <row r="45" spans="1:37" ht="24.95" customHeight="1">
      <c r="A45" s="38">
        <v>30</v>
      </c>
      <c r="B45" s="313"/>
      <c r="C45" s="313"/>
      <c r="D45" s="313"/>
      <c r="E45" s="314"/>
      <c r="F45" s="315"/>
      <c r="G45" s="316"/>
      <c r="H45" s="316"/>
      <c r="I45" s="45">
        <f t="shared" si="0"/>
        <v>0</v>
      </c>
      <c r="J45" s="317"/>
      <c r="K45" s="45">
        <f t="shared" si="1"/>
        <v>0</v>
      </c>
      <c r="L45" s="232" t="str">
        <f>IF(AD45="◎",COUNTIF($AD$16:AD45,"◎"),"")</f>
        <v/>
      </c>
      <c r="W45" s="234" t="str">
        <f>IF(B45="既設病床",はじめに入力してください!$K$12,IF(B45="新設病床",はじめに入力してください!$K$13,IF(B45="共通使用",1,"")))</f>
        <v/>
      </c>
      <c r="AC45" s="49" t="s">
        <v>69</v>
      </c>
      <c r="AD45" s="231" t="str">
        <f t="shared" si="2"/>
        <v>○</v>
      </c>
      <c r="AE45" s="35" t="str">
        <f t="shared" si="3"/>
        <v>申請しない場合は入力不要です。</v>
      </c>
      <c r="AF45" s="234" t="str">
        <f t="shared" si="4"/>
        <v>○</v>
      </c>
      <c r="AG45" s="234" t="str">
        <f t="shared" si="5"/>
        <v>○</v>
      </c>
      <c r="AH45" s="234" t="str">
        <f t="shared" si="6"/>
        <v>○</v>
      </c>
      <c r="AI45" s="231" t="str">
        <f t="shared" si="7"/>
        <v>○</v>
      </c>
      <c r="AJ45" s="14" t="str">
        <f t="shared" si="8"/>
        <v/>
      </c>
      <c r="AK45" s="52">
        <v>30</v>
      </c>
    </row>
    <row r="46" spans="1:37" ht="24.95" customHeight="1">
      <c r="A46" s="38">
        <v>31</v>
      </c>
      <c r="B46" s="313"/>
      <c r="C46" s="313"/>
      <c r="D46" s="313"/>
      <c r="E46" s="314"/>
      <c r="F46" s="315"/>
      <c r="G46" s="316"/>
      <c r="H46" s="316"/>
      <c r="I46" s="45">
        <f t="shared" si="0"/>
        <v>0</v>
      </c>
      <c r="J46" s="317"/>
      <c r="K46" s="45">
        <f t="shared" si="1"/>
        <v>0</v>
      </c>
      <c r="L46" s="232" t="str">
        <f>IF(AD46="◎",COUNTIF($AD$16:AD46,"◎"),"")</f>
        <v/>
      </c>
      <c r="W46" s="234" t="str">
        <f>IF(B46="既設病床",はじめに入力してください!$K$12,IF(B46="新設病床",はじめに入力してください!$K$13,IF(B46="共通使用",1,"")))</f>
        <v/>
      </c>
      <c r="AC46" s="49" t="s">
        <v>69</v>
      </c>
      <c r="AD46" s="231" t="str">
        <f t="shared" si="2"/>
        <v>○</v>
      </c>
      <c r="AE46" s="35" t="str">
        <f t="shared" si="3"/>
        <v>申請しない場合は入力不要です。</v>
      </c>
      <c r="AF46" s="234" t="str">
        <f t="shared" si="4"/>
        <v>○</v>
      </c>
      <c r="AG46" s="234" t="str">
        <f t="shared" si="5"/>
        <v>○</v>
      </c>
      <c r="AH46" s="234" t="str">
        <f t="shared" si="6"/>
        <v>○</v>
      </c>
      <c r="AI46" s="231" t="str">
        <f t="shared" si="7"/>
        <v>○</v>
      </c>
      <c r="AJ46" s="14" t="str">
        <f t="shared" si="8"/>
        <v/>
      </c>
      <c r="AK46" s="52">
        <v>31</v>
      </c>
    </row>
    <row r="47" spans="1:37" ht="24.95" customHeight="1">
      <c r="A47" s="38">
        <v>32</v>
      </c>
      <c r="B47" s="313"/>
      <c r="C47" s="313"/>
      <c r="D47" s="313"/>
      <c r="E47" s="314"/>
      <c r="F47" s="315"/>
      <c r="G47" s="316"/>
      <c r="H47" s="316"/>
      <c r="I47" s="45">
        <f t="shared" si="0"/>
        <v>0</v>
      </c>
      <c r="J47" s="317"/>
      <c r="K47" s="45">
        <f t="shared" si="1"/>
        <v>0</v>
      </c>
      <c r="L47" s="232" t="str">
        <f>IF(AD47="◎",COUNTIF($AD$16:AD47,"◎"),"")</f>
        <v/>
      </c>
      <c r="W47" s="234" t="str">
        <f>IF(B47="既設病床",はじめに入力してください!$K$12,IF(B47="新設病床",はじめに入力してください!$K$13,IF(B47="共通使用",1,"")))</f>
        <v/>
      </c>
      <c r="AC47" s="49" t="s">
        <v>69</v>
      </c>
      <c r="AD47" s="231" t="str">
        <f t="shared" si="2"/>
        <v>○</v>
      </c>
      <c r="AE47" s="35" t="str">
        <f t="shared" si="3"/>
        <v>申請しない場合は入力不要です。</v>
      </c>
      <c r="AF47" s="234" t="str">
        <f t="shared" si="4"/>
        <v>○</v>
      </c>
      <c r="AG47" s="234" t="str">
        <f t="shared" si="5"/>
        <v>○</v>
      </c>
      <c r="AH47" s="234" t="str">
        <f t="shared" si="6"/>
        <v>○</v>
      </c>
      <c r="AI47" s="231" t="str">
        <f t="shared" si="7"/>
        <v>○</v>
      </c>
      <c r="AJ47" s="14" t="str">
        <f t="shared" si="8"/>
        <v/>
      </c>
      <c r="AK47" s="52">
        <v>32</v>
      </c>
    </row>
    <row r="48" spans="1:37" ht="24.95" customHeight="1">
      <c r="A48" s="38">
        <v>33</v>
      </c>
      <c r="B48" s="313"/>
      <c r="C48" s="313"/>
      <c r="D48" s="313"/>
      <c r="E48" s="314"/>
      <c r="F48" s="315"/>
      <c r="G48" s="316"/>
      <c r="H48" s="316"/>
      <c r="I48" s="45">
        <f t="shared" si="0"/>
        <v>0</v>
      </c>
      <c r="J48" s="317"/>
      <c r="K48" s="45">
        <f t="shared" si="1"/>
        <v>0</v>
      </c>
      <c r="L48" s="232" t="str">
        <f>IF(AD48="◎",COUNTIF($AD$16:AD48,"◎"),"")</f>
        <v/>
      </c>
      <c r="W48" s="234" t="str">
        <f>IF(B48="既設病床",はじめに入力してください!$K$12,IF(B48="新設病床",はじめに入力してください!$K$13,IF(B48="共通使用",1,"")))</f>
        <v/>
      </c>
      <c r="AC48" s="49" t="s">
        <v>69</v>
      </c>
      <c r="AD48" s="231" t="str">
        <f t="shared" si="2"/>
        <v>○</v>
      </c>
      <c r="AE48" s="35" t="str">
        <f t="shared" si="3"/>
        <v>申請しない場合は入力不要です。</v>
      </c>
      <c r="AF48" s="234" t="str">
        <f t="shared" si="4"/>
        <v>○</v>
      </c>
      <c r="AG48" s="234" t="str">
        <f t="shared" si="5"/>
        <v>○</v>
      </c>
      <c r="AH48" s="234" t="str">
        <f t="shared" si="6"/>
        <v>○</v>
      </c>
      <c r="AI48" s="231" t="str">
        <f t="shared" si="7"/>
        <v>○</v>
      </c>
      <c r="AJ48" s="14" t="str">
        <f t="shared" si="8"/>
        <v/>
      </c>
      <c r="AK48" s="52">
        <v>33</v>
      </c>
    </row>
    <row r="49" spans="1:37" ht="24.95" customHeight="1">
      <c r="A49" s="38">
        <v>34</v>
      </c>
      <c r="B49" s="313"/>
      <c r="C49" s="313"/>
      <c r="D49" s="313"/>
      <c r="E49" s="314"/>
      <c r="F49" s="315"/>
      <c r="G49" s="316"/>
      <c r="H49" s="316"/>
      <c r="I49" s="45">
        <f t="shared" si="0"/>
        <v>0</v>
      </c>
      <c r="J49" s="317"/>
      <c r="K49" s="45">
        <f t="shared" si="1"/>
        <v>0</v>
      </c>
      <c r="L49" s="232" t="str">
        <f>IF(AD49="◎",COUNTIF($AD$16:AD49,"◎"),"")</f>
        <v/>
      </c>
      <c r="W49" s="234" t="str">
        <f>IF(B49="既設病床",はじめに入力してください!$K$12,IF(B49="新設病床",はじめに入力してください!$K$13,IF(B49="共通使用",1,"")))</f>
        <v/>
      </c>
      <c r="AC49" s="49" t="s">
        <v>69</v>
      </c>
      <c r="AD49" s="231" t="str">
        <f t="shared" si="2"/>
        <v>○</v>
      </c>
      <c r="AE49" s="35" t="str">
        <f t="shared" si="3"/>
        <v>申請しない場合は入力不要です。</v>
      </c>
      <c r="AF49" s="234" t="str">
        <f t="shared" si="4"/>
        <v>○</v>
      </c>
      <c r="AG49" s="234" t="str">
        <f t="shared" si="5"/>
        <v>○</v>
      </c>
      <c r="AH49" s="234" t="str">
        <f t="shared" si="6"/>
        <v>○</v>
      </c>
      <c r="AI49" s="231" t="str">
        <f t="shared" si="7"/>
        <v>○</v>
      </c>
      <c r="AJ49" s="14" t="str">
        <f t="shared" si="8"/>
        <v/>
      </c>
      <c r="AK49" s="52">
        <v>34</v>
      </c>
    </row>
    <row r="50" spans="1:37" ht="24.95" customHeight="1">
      <c r="A50" s="38">
        <v>35</v>
      </c>
      <c r="B50" s="313"/>
      <c r="C50" s="313"/>
      <c r="D50" s="313"/>
      <c r="E50" s="314"/>
      <c r="F50" s="315"/>
      <c r="G50" s="316"/>
      <c r="H50" s="316"/>
      <c r="I50" s="45">
        <f t="shared" si="0"/>
        <v>0</v>
      </c>
      <c r="J50" s="317"/>
      <c r="K50" s="45">
        <f t="shared" si="1"/>
        <v>0</v>
      </c>
      <c r="L50" s="232" t="str">
        <f>IF(AD50="◎",COUNTIF($AD$16:AD50,"◎"),"")</f>
        <v/>
      </c>
      <c r="W50" s="234" t="str">
        <f>IF(B50="既設病床",はじめに入力してください!$K$12,IF(B50="新設病床",はじめに入力してください!$K$13,IF(B50="共通使用",1,"")))</f>
        <v/>
      </c>
      <c r="AC50" s="49" t="s">
        <v>69</v>
      </c>
      <c r="AD50" s="231" t="str">
        <f t="shared" si="2"/>
        <v>○</v>
      </c>
      <c r="AE50" s="35" t="str">
        <f t="shared" si="3"/>
        <v>申請しない場合は入力不要です。</v>
      </c>
      <c r="AF50" s="234" t="str">
        <f t="shared" si="4"/>
        <v>○</v>
      </c>
      <c r="AG50" s="234" t="str">
        <f t="shared" si="5"/>
        <v>○</v>
      </c>
      <c r="AH50" s="234" t="str">
        <f t="shared" si="6"/>
        <v>○</v>
      </c>
      <c r="AI50" s="231" t="str">
        <f t="shared" si="7"/>
        <v>○</v>
      </c>
      <c r="AJ50" s="14" t="str">
        <f t="shared" si="8"/>
        <v/>
      </c>
      <c r="AK50" s="52">
        <v>35</v>
      </c>
    </row>
    <row r="51" spans="1:37" ht="24.95" customHeight="1">
      <c r="A51" s="38">
        <v>36</v>
      </c>
      <c r="B51" s="313"/>
      <c r="C51" s="313"/>
      <c r="D51" s="313"/>
      <c r="E51" s="314"/>
      <c r="F51" s="315"/>
      <c r="G51" s="316"/>
      <c r="H51" s="316"/>
      <c r="I51" s="45">
        <f t="shared" si="0"/>
        <v>0</v>
      </c>
      <c r="J51" s="317"/>
      <c r="K51" s="45">
        <f t="shared" si="1"/>
        <v>0</v>
      </c>
      <c r="L51" s="232" t="str">
        <f>IF(AD51="◎",COUNTIF($AD$16:AD51,"◎"),"")</f>
        <v/>
      </c>
      <c r="W51" s="234" t="str">
        <f>IF(B51="既設病床",はじめに入力してください!$K$12,IF(B51="新設病床",はじめに入力してください!$K$13,IF(B51="共通使用",1,"")))</f>
        <v/>
      </c>
      <c r="AC51" s="49" t="s">
        <v>69</v>
      </c>
      <c r="AD51" s="231" t="str">
        <f t="shared" si="2"/>
        <v>○</v>
      </c>
      <c r="AE51" s="35" t="str">
        <f t="shared" si="3"/>
        <v>申請しない場合は入力不要です。</v>
      </c>
      <c r="AF51" s="234" t="str">
        <f t="shared" si="4"/>
        <v>○</v>
      </c>
      <c r="AG51" s="234" t="str">
        <f t="shared" si="5"/>
        <v>○</v>
      </c>
      <c r="AH51" s="234" t="str">
        <f t="shared" si="6"/>
        <v>○</v>
      </c>
      <c r="AI51" s="231" t="str">
        <f t="shared" si="7"/>
        <v>○</v>
      </c>
      <c r="AJ51" s="14" t="str">
        <f t="shared" si="8"/>
        <v/>
      </c>
      <c r="AK51" s="52">
        <v>36</v>
      </c>
    </row>
    <row r="52" spans="1:37" ht="24.95" customHeight="1">
      <c r="A52" s="38">
        <v>37</v>
      </c>
      <c r="B52" s="313"/>
      <c r="C52" s="313"/>
      <c r="D52" s="313"/>
      <c r="E52" s="314"/>
      <c r="F52" s="315"/>
      <c r="G52" s="316"/>
      <c r="H52" s="316"/>
      <c r="I52" s="45">
        <f t="shared" si="0"/>
        <v>0</v>
      </c>
      <c r="J52" s="317"/>
      <c r="K52" s="45">
        <f t="shared" si="1"/>
        <v>0</v>
      </c>
      <c r="L52" s="232" t="str">
        <f>IF(AD52="◎",COUNTIF($AD$16:AD52,"◎"),"")</f>
        <v/>
      </c>
      <c r="W52" s="234" t="str">
        <f>IF(B52="既設病床",はじめに入力してください!$K$12,IF(B52="新設病床",はじめに入力してください!$K$13,IF(B52="共通使用",1,"")))</f>
        <v/>
      </c>
      <c r="AC52" s="49" t="s">
        <v>69</v>
      </c>
      <c r="AD52" s="231" t="str">
        <f t="shared" si="2"/>
        <v>○</v>
      </c>
      <c r="AE52" s="35" t="str">
        <f t="shared" si="3"/>
        <v>申請しない場合は入力不要です。</v>
      </c>
      <c r="AF52" s="234" t="str">
        <f t="shared" si="4"/>
        <v>○</v>
      </c>
      <c r="AG52" s="234" t="str">
        <f t="shared" si="5"/>
        <v>○</v>
      </c>
      <c r="AH52" s="234" t="str">
        <f t="shared" si="6"/>
        <v>○</v>
      </c>
      <c r="AI52" s="231" t="str">
        <f t="shared" si="7"/>
        <v>○</v>
      </c>
      <c r="AJ52" s="14" t="str">
        <f t="shared" si="8"/>
        <v/>
      </c>
      <c r="AK52" s="52">
        <v>37</v>
      </c>
    </row>
    <row r="53" spans="1:37" ht="24.95" customHeight="1">
      <c r="A53" s="38">
        <v>38</v>
      </c>
      <c r="B53" s="313"/>
      <c r="C53" s="313"/>
      <c r="D53" s="313"/>
      <c r="E53" s="314"/>
      <c r="F53" s="315"/>
      <c r="G53" s="316"/>
      <c r="H53" s="316"/>
      <c r="I53" s="45">
        <f t="shared" si="0"/>
        <v>0</v>
      </c>
      <c r="J53" s="317"/>
      <c r="K53" s="45">
        <f t="shared" si="1"/>
        <v>0</v>
      </c>
      <c r="L53" s="232" t="str">
        <f>IF(AD53="◎",COUNTIF($AD$16:AD53,"◎"),"")</f>
        <v/>
      </c>
      <c r="W53" s="234" t="str">
        <f>IF(B53="既設病床",はじめに入力してください!$K$12,IF(B53="新設病床",はじめに入力してください!$K$13,IF(B53="共通使用",1,"")))</f>
        <v/>
      </c>
      <c r="AC53" s="49" t="s">
        <v>69</v>
      </c>
      <c r="AD53" s="231" t="str">
        <f t="shared" si="2"/>
        <v>○</v>
      </c>
      <c r="AE53" s="35" t="str">
        <f t="shared" si="3"/>
        <v>申請しない場合は入力不要です。</v>
      </c>
      <c r="AF53" s="234" t="str">
        <f t="shared" si="4"/>
        <v>○</v>
      </c>
      <c r="AG53" s="234" t="str">
        <f t="shared" si="5"/>
        <v>○</v>
      </c>
      <c r="AH53" s="234" t="str">
        <f t="shared" si="6"/>
        <v>○</v>
      </c>
      <c r="AI53" s="231" t="str">
        <f t="shared" si="7"/>
        <v>○</v>
      </c>
      <c r="AJ53" s="14" t="str">
        <f t="shared" si="8"/>
        <v/>
      </c>
      <c r="AK53" s="52">
        <v>38</v>
      </c>
    </row>
    <row r="54" spans="1:37" ht="24.95" customHeight="1">
      <c r="A54" s="38">
        <v>39</v>
      </c>
      <c r="B54" s="313"/>
      <c r="C54" s="313"/>
      <c r="D54" s="313"/>
      <c r="E54" s="314"/>
      <c r="F54" s="315"/>
      <c r="G54" s="316"/>
      <c r="H54" s="316"/>
      <c r="I54" s="45">
        <f t="shared" si="0"/>
        <v>0</v>
      </c>
      <c r="J54" s="317"/>
      <c r="K54" s="45">
        <f t="shared" si="1"/>
        <v>0</v>
      </c>
      <c r="L54" s="232" t="str">
        <f>IF(AD54="◎",COUNTIF($AD$16:AD54,"◎"),"")</f>
        <v/>
      </c>
      <c r="W54" s="234" t="str">
        <f>IF(B54="既設病床",はじめに入力してください!$K$12,IF(B54="新設病床",はじめに入力してください!$K$13,IF(B54="共通使用",1,"")))</f>
        <v/>
      </c>
      <c r="AC54" s="49" t="s">
        <v>69</v>
      </c>
      <c r="AD54" s="231" t="str">
        <f t="shared" si="2"/>
        <v>○</v>
      </c>
      <c r="AE54" s="35" t="str">
        <f t="shared" si="3"/>
        <v>申請しない場合は入力不要です。</v>
      </c>
      <c r="AF54" s="234" t="str">
        <f t="shared" si="4"/>
        <v>○</v>
      </c>
      <c r="AG54" s="234" t="str">
        <f t="shared" si="5"/>
        <v>○</v>
      </c>
      <c r="AH54" s="234" t="str">
        <f t="shared" si="6"/>
        <v>○</v>
      </c>
      <c r="AI54" s="231" t="str">
        <f t="shared" si="7"/>
        <v>○</v>
      </c>
      <c r="AJ54" s="14" t="str">
        <f t="shared" si="8"/>
        <v/>
      </c>
      <c r="AK54" s="52">
        <v>39</v>
      </c>
    </row>
    <row r="55" spans="1:37" ht="24.95" customHeight="1">
      <c r="A55" s="38">
        <v>40</v>
      </c>
      <c r="B55" s="313"/>
      <c r="C55" s="313"/>
      <c r="D55" s="313"/>
      <c r="E55" s="314"/>
      <c r="F55" s="315"/>
      <c r="G55" s="316"/>
      <c r="H55" s="316"/>
      <c r="I55" s="45">
        <f t="shared" si="0"/>
        <v>0</v>
      </c>
      <c r="J55" s="317"/>
      <c r="K55" s="45">
        <f t="shared" si="1"/>
        <v>0</v>
      </c>
      <c r="L55" s="232" t="str">
        <f>IF(AD55="◎",COUNTIF($AD$16:AD55,"◎"),"")</f>
        <v/>
      </c>
      <c r="W55" s="234" t="str">
        <f>IF(B55="既設病床",はじめに入力してください!$K$12,IF(B55="新設病床",はじめに入力してください!$K$13,IF(B55="共通使用",1,"")))</f>
        <v/>
      </c>
      <c r="AC55" s="49" t="s">
        <v>69</v>
      </c>
      <c r="AD55" s="231" t="str">
        <f t="shared" si="2"/>
        <v>○</v>
      </c>
      <c r="AE55" s="35" t="str">
        <f t="shared" si="3"/>
        <v>申請しない場合は入力不要です。</v>
      </c>
      <c r="AF55" s="234" t="str">
        <f t="shared" si="4"/>
        <v>○</v>
      </c>
      <c r="AG55" s="234" t="str">
        <f t="shared" si="5"/>
        <v>○</v>
      </c>
      <c r="AH55" s="234" t="str">
        <f t="shared" si="6"/>
        <v>○</v>
      </c>
      <c r="AI55" s="231" t="str">
        <f t="shared" si="7"/>
        <v>○</v>
      </c>
      <c r="AJ55" s="14" t="str">
        <f t="shared" si="8"/>
        <v/>
      </c>
      <c r="AK55" s="52">
        <v>40</v>
      </c>
    </row>
    <row r="56" spans="1:37" ht="24.95" customHeight="1">
      <c r="A56" s="38">
        <v>41</v>
      </c>
      <c r="B56" s="313"/>
      <c r="C56" s="313"/>
      <c r="D56" s="313"/>
      <c r="E56" s="314"/>
      <c r="F56" s="315"/>
      <c r="G56" s="316"/>
      <c r="H56" s="316"/>
      <c r="I56" s="45">
        <f t="shared" si="0"/>
        <v>0</v>
      </c>
      <c r="J56" s="317"/>
      <c r="K56" s="45">
        <f t="shared" si="1"/>
        <v>0</v>
      </c>
      <c r="L56" s="232" t="str">
        <f>IF(AD56="◎",COUNTIF($AD$16:AD56,"◎"),"")</f>
        <v/>
      </c>
      <c r="W56" s="234" t="str">
        <f>IF(B56="既設病床",はじめに入力してください!$K$12,IF(B56="新設病床",はじめに入力してください!$K$13,IF(B56="共通使用",1,"")))</f>
        <v/>
      </c>
      <c r="AC56" s="49" t="s">
        <v>69</v>
      </c>
      <c r="AD56" s="231" t="str">
        <f t="shared" si="2"/>
        <v>○</v>
      </c>
      <c r="AE56" s="35" t="str">
        <f t="shared" si="3"/>
        <v>申請しない場合は入力不要です。</v>
      </c>
      <c r="AF56" s="234" t="str">
        <f t="shared" si="4"/>
        <v>○</v>
      </c>
      <c r="AG56" s="234" t="str">
        <f t="shared" si="5"/>
        <v>○</v>
      </c>
      <c r="AH56" s="234" t="str">
        <f t="shared" si="6"/>
        <v>○</v>
      </c>
      <c r="AI56" s="231" t="str">
        <f t="shared" si="7"/>
        <v>○</v>
      </c>
      <c r="AJ56" s="14" t="str">
        <f t="shared" si="8"/>
        <v/>
      </c>
      <c r="AK56" s="52">
        <v>41</v>
      </c>
    </row>
    <row r="57" spans="1:37" ht="24.95" customHeight="1">
      <c r="A57" s="38">
        <v>42</v>
      </c>
      <c r="B57" s="313"/>
      <c r="C57" s="313"/>
      <c r="D57" s="313"/>
      <c r="E57" s="314"/>
      <c r="F57" s="315"/>
      <c r="G57" s="316"/>
      <c r="H57" s="316"/>
      <c r="I57" s="45">
        <f t="shared" si="0"/>
        <v>0</v>
      </c>
      <c r="J57" s="317"/>
      <c r="K57" s="45">
        <f t="shared" si="1"/>
        <v>0</v>
      </c>
      <c r="L57" s="232" t="str">
        <f>IF(AD57="◎",COUNTIF($AD$16:AD57,"◎"),"")</f>
        <v/>
      </c>
      <c r="W57" s="234" t="str">
        <f>IF(B57="既設病床",はじめに入力してください!$K$12,IF(B57="新設病床",はじめに入力してください!$K$13,IF(B57="共通使用",1,"")))</f>
        <v/>
      </c>
      <c r="AC57" s="49" t="s">
        <v>69</v>
      </c>
      <c r="AD57" s="231" t="str">
        <f t="shared" si="2"/>
        <v>○</v>
      </c>
      <c r="AE57" s="35" t="str">
        <f t="shared" si="3"/>
        <v>申請しない場合は入力不要です。</v>
      </c>
      <c r="AF57" s="234" t="str">
        <f t="shared" si="4"/>
        <v>○</v>
      </c>
      <c r="AG57" s="234" t="str">
        <f t="shared" si="5"/>
        <v>○</v>
      </c>
      <c r="AH57" s="234" t="str">
        <f t="shared" si="6"/>
        <v>○</v>
      </c>
      <c r="AI57" s="231" t="str">
        <f t="shared" si="7"/>
        <v>○</v>
      </c>
      <c r="AJ57" s="14" t="str">
        <f t="shared" si="8"/>
        <v/>
      </c>
      <c r="AK57" s="52">
        <v>42</v>
      </c>
    </row>
    <row r="58" spans="1:37" ht="24.95" customHeight="1">
      <c r="A58" s="38">
        <v>43</v>
      </c>
      <c r="B58" s="313"/>
      <c r="C58" s="313"/>
      <c r="D58" s="313"/>
      <c r="E58" s="314"/>
      <c r="F58" s="315"/>
      <c r="G58" s="316"/>
      <c r="H58" s="316"/>
      <c r="I58" s="45">
        <f t="shared" si="0"/>
        <v>0</v>
      </c>
      <c r="J58" s="317"/>
      <c r="K58" s="45">
        <f t="shared" si="1"/>
        <v>0</v>
      </c>
      <c r="L58" s="232" t="str">
        <f>IF(AD58="◎",COUNTIF($AD$16:AD58,"◎"),"")</f>
        <v/>
      </c>
      <c r="W58" s="234" t="str">
        <f>IF(B58="既設病床",はじめに入力してください!$K$12,IF(B58="新設病床",はじめに入力してください!$K$13,IF(B58="共通使用",1,"")))</f>
        <v/>
      </c>
      <c r="AC58" s="49" t="s">
        <v>69</v>
      </c>
      <c r="AD58" s="231" t="str">
        <f t="shared" si="2"/>
        <v>○</v>
      </c>
      <c r="AE58" s="35" t="str">
        <f t="shared" si="3"/>
        <v>申請しない場合は入力不要です。</v>
      </c>
      <c r="AF58" s="234" t="str">
        <f t="shared" si="4"/>
        <v>○</v>
      </c>
      <c r="AG58" s="234" t="str">
        <f t="shared" si="5"/>
        <v>○</v>
      </c>
      <c r="AH58" s="234" t="str">
        <f t="shared" si="6"/>
        <v>○</v>
      </c>
      <c r="AI58" s="231" t="str">
        <f t="shared" si="7"/>
        <v>○</v>
      </c>
      <c r="AJ58" s="14" t="str">
        <f t="shared" si="8"/>
        <v/>
      </c>
      <c r="AK58" s="52">
        <v>43</v>
      </c>
    </row>
    <row r="59" spans="1:37" ht="24.95" customHeight="1">
      <c r="A59" s="38">
        <v>44</v>
      </c>
      <c r="B59" s="313"/>
      <c r="C59" s="313"/>
      <c r="D59" s="313"/>
      <c r="E59" s="314"/>
      <c r="F59" s="315"/>
      <c r="G59" s="316"/>
      <c r="H59" s="316"/>
      <c r="I59" s="45">
        <f t="shared" si="0"/>
        <v>0</v>
      </c>
      <c r="J59" s="317"/>
      <c r="K59" s="45">
        <f t="shared" si="1"/>
        <v>0</v>
      </c>
      <c r="L59" s="232" t="str">
        <f>IF(AD59="◎",COUNTIF($AD$16:AD59,"◎"),"")</f>
        <v/>
      </c>
      <c r="W59" s="234" t="str">
        <f>IF(B59="既設病床",はじめに入力してください!$K$12,IF(B59="新設病床",はじめに入力してください!$K$13,IF(B59="共通使用",1,"")))</f>
        <v/>
      </c>
      <c r="AC59" s="49" t="s">
        <v>69</v>
      </c>
      <c r="AD59" s="231" t="str">
        <f t="shared" si="2"/>
        <v>○</v>
      </c>
      <c r="AE59" s="35" t="str">
        <f t="shared" si="3"/>
        <v>申請しない場合は入力不要です。</v>
      </c>
      <c r="AF59" s="234" t="str">
        <f t="shared" si="4"/>
        <v>○</v>
      </c>
      <c r="AG59" s="234" t="str">
        <f t="shared" si="5"/>
        <v>○</v>
      </c>
      <c r="AH59" s="234" t="str">
        <f t="shared" si="6"/>
        <v>○</v>
      </c>
      <c r="AI59" s="231" t="str">
        <f t="shared" si="7"/>
        <v>○</v>
      </c>
      <c r="AJ59" s="14" t="str">
        <f t="shared" si="8"/>
        <v/>
      </c>
      <c r="AK59" s="52">
        <v>44</v>
      </c>
    </row>
    <row r="60" spans="1:37" ht="24.95" customHeight="1">
      <c r="A60" s="38">
        <v>45</v>
      </c>
      <c r="B60" s="313"/>
      <c r="C60" s="313"/>
      <c r="D60" s="313"/>
      <c r="E60" s="314"/>
      <c r="F60" s="315"/>
      <c r="G60" s="316"/>
      <c r="H60" s="316"/>
      <c r="I60" s="45">
        <f t="shared" si="0"/>
        <v>0</v>
      </c>
      <c r="J60" s="317"/>
      <c r="K60" s="45">
        <f t="shared" si="1"/>
        <v>0</v>
      </c>
      <c r="L60" s="232" t="str">
        <f>IF(AD60="◎",COUNTIF($AD$16:AD60,"◎"),"")</f>
        <v/>
      </c>
      <c r="W60" s="234" t="str">
        <f>IF(B60="既設病床",はじめに入力してください!$K$12,IF(B60="新設病床",はじめに入力してください!$K$13,IF(B60="共通使用",1,"")))</f>
        <v/>
      </c>
      <c r="AC60" s="49" t="s">
        <v>69</v>
      </c>
      <c r="AD60" s="231" t="str">
        <f t="shared" si="2"/>
        <v>○</v>
      </c>
      <c r="AE60" s="35" t="str">
        <f t="shared" si="3"/>
        <v>申請しない場合は入力不要です。</v>
      </c>
      <c r="AF60" s="234" t="str">
        <f t="shared" si="4"/>
        <v>○</v>
      </c>
      <c r="AG60" s="234" t="str">
        <f t="shared" si="5"/>
        <v>○</v>
      </c>
      <c r="AH60" s="234" t="str">
        <f t="shared" si="6"/>
        <v>○</v>
      </c>
      <c r="AI60" s="231" t="str">
        <f t="shared" si="7"/>
        <v>○</v>
      </c>
      <c r="AJ60" s="14" t="str">
        <f t="shared" si="8"/>
        <v/>
      </c>
      <c r="AK60" s="52">
        <v>45</v>
      </c>
    </row>
    <row r="61" spans="1:37" ht="24.95" customHeight="1">
      <c r="A61" s="38">
        <v>46</v>
      </c>
      <c r="B61" s="313"/>
      <c r="C61" s="313"/>
      <c r="D61" s="313"/>
      <c r="E61" s="314"/>
      <c r="F61" s="315"/>
      <c r="G61" s="316"/>
      <c r="H61" s="316"/>
      <c r="I61" s="45">
        <f t="shared" si="0"/>
        <v>0</v>
      </c>
      <c r="J61" s="317"/>
      <c r="K61" s="45">
        <f t="shared" si="1"/>
        <v>0</v>
      </c>
      <c r="L61" s="232" t="str">
        <f>IF(AD61="◎",COUNTIF($AD$16:AD61,"◎"),"")</f>
        <v/>
      </c>
      <c r="W61" s="234" t="str">
        <f>IF(B61="既設病床",はじめに入力してください!$K$12,IF(B61="新設病床",はじめに入力してください!$K$13,IF(B61="共通使用",1,"")))</f>
        <v/>
      </c>
      <c r="AC61" s="49" t="s">
        <v>69</v>
      </c>
      <c r="AD61" s="231" t="str">
        <f t="shared" si="2"/>
        <v>○</v>
      </c>
      <c r="AE61" s="35" t="str">
        <f t="shared" si="3"/>
        <v>申請しない場合は入力不要です。</v>
      </c>
      <c r="AF61" s="234" t="str">
        <f t="shared" si="4"/>
        <v>○</v>
      </c>
      <c r="AG61" s="234" t="str">
        <f t="shared" si="5"/>
        <v>○</v>
      </c>
      <c r="AH61" s="234" t="str">
        <f t="shared" si="6"/>
        <v>○</v>
      </c>
      <c r="AI61" s="231" t="str">
        <f t="shared" si="7"/>
        <v>○</v>
      </c>
      <c r="AJ61" s="14" t="str">
        <f t="shared" si="8"/>
        <v/>
      </c>
      <c r="AK61" s="52">
        <v>46</v>
      </c>
    </row>
    <row r="62" spans="1:37" ht="24.95" customHeight="1">
      <c r="A62" s="38">
        <v>47</v>
      </c>
      <c r="B62" s="313"/>
      <c r="C62" s="313"/>
      <c r="D62" s="313"/>
      <c r="E62" s="314"/>
      <c r="F62" s="315"/>
      <c r="G62" s="316"/>
      <c r="H62" s="316"/>
      <c r="I62" s="45">
        <f t="shared" si="0"/>
        <v>0</v>
      </c>
      <c r="J62" s="317"/>
      <c r="K62" s="45">
        <f t="shared" si="1"/>
        <v>0</v>
      </c>
      <c r="L62" s="232" t="str">
        <f>IF(AD62="◎",COUNTIF($AD$16:AD62,"◎"),"")</f>
        <v/>
      </c>
      <c r="W62" s="234" t="str">
        <f>IF(B62="既設病床",はじめに入力してください!$K$12,IF(B62="新設病床",はじめに入力してください!$K$13,IF(B62="共通使用",1,"")))</f>
        <v/>
      </c>
      <c r="AC62" s="49" t="s">
        <v>69</v>
      </c>
      <c r="AD62" s="231" t="str">
        <f t="shared" si="2"/>
        <v>○</v>
      </c>
      <c r="AE62" s="35" t="str">
        <f t="shared" si="3"/>
        <v>申請しない場合は入力不要です。</v>
      </c>
      <c r="AF62" s="234" t="str">
        <f t="shared" si="4"/>
        <v>○</v>
      </c>
      <c r="AG62" s="234" t="str">
        <f t="shared" si="5"/>
        <v>○</v>
      </c>
      <c r="AH62" s="234" t="str">
        <f t="shared" si="6"/>
        <v>○</v>
      </c>
      <c r="AI62" s="231" t="str">
        <f t="shared" si="7"/>
        <v>○</v>
      </c>
      <c r="AJ62" s="14" t="str">
        <f t="shared" si="8"/>
        <v/>
      </c>
      <c r="AK62" s="52">
        <v>47</v>
      </c>
    </row>
    <row r="63" spans="1:37" ht="24.95" customHeight="1">
      <c r="A63" s="38">
        <v>48</v>
      </c>
      <c r="B63" s="313"/>
      <c r="C63" s="313"/>
      <c r="D63" s="313"/>
      <c r="E63" s="314"/>
      <c r="F63" s="315"/>
      <c r="G63" s="316"/>
      <c r="H63" s="316"/>
      <c r="I63" s="45">
        <f t="shared" si="0"/>
        <v>0</v>
      </c>
      <c r="J63" s="317"/>
      <c r="K63" s="45">
        <f t="shared" si="1"/>
        <v>0</v>
      </c>
      <c r="L63" s="232" t="str">
        <f>IF(AD63="◎",COUNTIF($AD$16:AD63,"◎"),"")</f>
        <v/>
      </c>
      <c r="W63" s="234" t="str">
        <f>IF(B63="既設病床",はじめに入力してください!$K$12,IF(B63="新設病床",はじめに入力してください!$K$13,IF(B63="共通使用",1,"")))</f>
        <v/>
      </c>
      <c r="AC63" s="49" t="s">
        <v>69</v>
      </c>
      <c r="AD63" s="231" t="str">
        <f t="shared" si="2"/>
        <v>○</v>
      </c>
      <c r="AE63" s="35" t="str">
        <f t="shared" si="3"/>
        <v>申請しない場合は入力不要です。</v>
      </c>
      <c r="AF63" s="234" t="str">
        <f t="shared" si="4"/>
        <v>○</v>
      </c>
      <c r="AG63" s="234" t="str">
        <f t="shared" si="5"/>
        <v>○</v>
      </c>
      <c r="AH63" s="234" t="str">
        <f t="shared" si="6"/>
        <v>○</v>
      </c>
      <c r="AI63" s="231" t="str">
        <f t="shared" si="7"/>
        <v>○</v>
      </c>
      <c r="AJ63" s="14" t="str">
        <f t="shared" si="8"/>
        <v/>
      </c>
      <c r="AK63" s="52">
        <v>48</v>
      </c>
    </row>
    <row r="64" spans="1:37" ht="24.95" customHeight="1">
      <c r="A64" s="38">
        <v>49</v>
      </c>
      <c r="B64" s="313"/>
      <c r="C64" s="313"/>
      <c r="D64" s="313"/>
      <c r="E64" s="314"/>
      <c r="F64" s="315"/>
      <c r="G64" s="316"/>
      <c r="H64" s="316"/>
      <c r="I64" s="45">
        <f t="shared" si="0"/>
        <v>0</v>
      </c>
      <c r="J64" s="317"/>
      <c r="K64" s="45">
        <f t="shared" si="1"/>
        <v>0</v>
      </c>
      <c r="L64" s="232" t="str">
        <f>IF(AD64="◎",COUNTIF($AD$16:AD64,"◎"),"")</f>
        <v/>
      </c>
      <c r="W64" s="234" t="str">
        <f>IF(B64="既設病床",はじめに入力してください!$K$12,IF(B64="新設病床",はじめに入力してください!$K$13,IF(B64="共通使用",1,"")))</f>
        <v/>
      </c>
      <c r="AC64" s="49" t="s">
        <v>69</v>
      </c>
      <c r="AD64" s="231" t="str">
        <f t="shared" si="2"/>
        <v>○</v>
      </c>
      <c r="AE64" s="35" t="str">
        <f t="shared" si="3"/>
        <v>申請しない場合は入力不要です。</v>
      </c>
      <c r="AF64" s="234" t="str">
        <f t="shared" si="4"/>
        <v>○</v>
      </c>
      <c r="AG64" s="234" t="str">
        <f t="shared" si="5"/>
        <v>○</v>
      </c>
      <c r="AH64" s="234" t="str">
        <f t="shared" si="6"/>
        <v>○</v>
      </c>
      <c r="AI64" s="231" t="str">
        <f t="shared" si="7"/>
        <v>○</v>
      </c>
      <c r="AJ64" s="14" t="str">
        <f t="shared" si="8"/>
        <v/>
      </c>
      <c r="AK64" s="52">
        <v>49</v>
      </c>
    </row>
    <row r="65" spans="1:37" ht="24.95" customHeight="1">
      <c r="A65" s="38">
        <v>50</v>
      </c>
      <c r="B65" s="313"/>
      <c r="C65" s="313"/>
      <c r="D65" s="313"/>
      <c r="E65" s="314"/>
      <c r="F65" s="315"/>
      <c r="G65" s="316"/>
      <c r="H65" s="316"/>
      <c r="I65" s="45">
        <f t="shared" si="0"/>
        <v>0</v>
      </c>
      <c r="J65" s="317"/>
      <c r="K65" s="45">
        <f t="shared" si="1"/>
        <v>0</v>
      </c>
      <c r="L65" s="232" t="str">
        <f>IF(AD65="◎",COUNTIF($AD$16:AD65,"◎"),"")</f>
        <v/>
      </c>
      <c r="W65" s="234" t="str">
        <f>IF(B65="既設病床",はじめに入力してください!$K$12,IF(B65="新設病床",はじめに入力してください!$K$13,IF(B65="共通使用",1,"")))</f>
        <v/>
      </c>
      <c r="AC65" s="49" t="s">
        <v>69</v>
      </c>
      <c r="AD65" s="231" t="str">
        <f t="shared" si="2"/>
        <v>○</v>
      </c>
      <c r="AE65" s="35" t="str">
        <f t="shared" si="3"/>
        <v>申請しない場合は入力不要です。</v>
      </c>
      <c r="AF65" s="234" t="str">
        <f t="shared" si="4"/>
        <v>○</v>
      </c>
      <c r="AG65" s="234" t="str">
        <f t="shared" si="5"/>
        <v>○</v>
      </c>
      <c r="AH65" s="234" t="str">
        <f t="shared" si="6"/>
        <v>○</v>
      </c>
      <c r="AI65" s="231" t="str">
        <f t="shared" si="7"/>
        <v>○</v>
      </c>
      <c r="AJ65" s="14" t="str">
        <f t="shared" si="8"/>
        <v/>
      </c>
      <c r="AK65" s="52">
        <v>50</v>
      </c>
    </row>
  </sheetData>
  <sheetProtection algorithmName="SHA-512" hashValue="VhVArbiXc+VboMA8LxLlRUA/qzXZE5UXPLrMlg5mBP+HIevFlHoTn1qc0fnEBAtot67/WqvUWsskwjG/TncnAg==" saltValue="OUTOIUcdlxvhVJiq0Lv7+Q==" spinCount="100000" sheet="1" insertRows="0"/>
  <mergeCells count="29">
    <mergeCell ref="AD7:AD13"/>
    <mergeCell ref="AE7:AG13"/>
    <mergeCell ref="B8:L8"/>
    <mergeCell ref="B9:C9"/>
    <mergeCell ref="H9:I9"/>
    <mergeCell ref="K9:L9"/>
    <mergeCell ref="B10:C10"/>
    <mergeCell ref="H10:I11"/>
    <mergeCell ref="K10:L11"/>
    <mergeCell ref="B11:C11"/>
    <mergeCell ref="B13:L13"/>
    <mergeCell ref="J10:J11"/>
    <mergeCell ref="F2:G2"/>
    <mergeCell ref="H2:L2"/>
    <mergeCell ref="B3:L6"/>
    <mergeCell ref="AD5:AD6"/>
    <mergeCell ref="AE5:AG6"/>
    <mergeCell ref="B14:D14"/>
    <mergeCell ref="E14:F14"/>
    <mergeCell ref="G14:J14"/>
    <mergeCell ref="K14:K15"/>
    <mergeCell ref="L14:L15"/>
    <mergeCell ref="AY18:BC18"/>
    <mergeCell ref="BD18:BH18"/>
    <mergeCell ref="BS18:BW20"/>
    <mergeCell ref="AY19:BC23"/>
    <mergeCell ref="BD19:BH23"/>
    <mergeCell ref="BQ19:BQ20"/>
    <mergeCell ref="BR19:BR20"/>
  </mergeCells>
  <phoneticPr fontId="1"/>
  <conditionalFormatting sqref="AY19">
    <cfRule type="containsText" dxfId="84" priority="15" operator="containsText" text="（補助対象員数）">
      <formula>NOT(ISERROR(SEARCH("（補助対象員数）",AY19)))</formula>
    </cfRule>
  </conditionalFormatting>
  <conditionalFormatting sqref="BD19:BG23">
    <cfRule type="containsText" dxfId="83" priority="12" operator="containsText" text="要修正">
      <formula>NOT(ISERROR(SEARCH("要修正",BD19)))</formula>
    </cfRule>
  </conditionalFormatting>
  <conditionalFormatting sqref="AY19:BC23">
    <cfRule type="containsText" dxfId="82" priority="11" operator="containsText" text="【未入力有】">
      <formula>NOT(ISERROR(SEARCH("【未入力有】",AY19)))</formula>
    </cfRule>
  </conditionalFormatting>
  <conditionalFormatting sqref="BP19:BQ20">
    <cfRule type="containsText" dxfId="81" priority="10" operator="containsText" text="×">
      <formula>NOT(ISERROR(SEARCH("×",BP19)))</formula>
    </cfRule>
  </conditionalFormatting>
  <conditionalFormatting sqref="BR19:BR20">
    <cfRule type="containsText" dxfId="80" priority="9" operator="containsText" text="要修正">
      <formula>NOT(ISERROR(SEARCH("要修正",BR19)))</formula>
    </cfRule>
  </conditionalFormatting>
  <conditionalFormatting sqref="AD7:AD13">
    <cfRule type="containsText" dxfId="79" priority="8" operator="containsText" text="×">
      <formula>NOT(ISERROR(SEARCH("×",AD7)))</formula>
    </cfRule>
  </conditionalFormatting>
  <conditionalFormatting sqref="AE7:AE13">
    <cfRule type="containsText" dxfId="78" priority="7" operator="containsText" text="要修正">
      <formula>NOT(ISERROR(SEARCH("要修正",AE7)))</formula>
    </cfRule>
  </conditionalFormatting>
  <conditionalFormatting sqref="AF16:AF65">
    <cfRule type="containsText" dxfId="77" priority="3" operator="containsText" text="【不備の点】">
      <formula>NOT(ISERROR(SEARCH("【不備の点】",AF16)))</formula>
    </cfRule>
  </conditionalFormatting>
  <conditionalFormatting sqref="AE16:AE65">
    <cfRule type="containsText" dxfId="76" priority="2" operator="containsText" text="【不備の点】">
      <formula>NOT(ISERROR(SEARCH("【不備の点】",AE16)))</formula>
    </cfRule>
  </conditionalFormatting>
  <conditionalFormatting sqref="AD16:AD65">
    <cfRule type="containsText" dxfId="75" priority="1" operator="containsText" text="×">
      <formula>NOT(ISERROR(SEARCH("×",AD16)))</formula>
    </cfRule>
  </conditionalFormatting>
  <dataValidations xWindow="465" yWindow="538" count="8">
    <dataValidation type="list" allowBlank="1" showInputMessage="1" showErrorMessage="1" promptTitle="装置、付属備品の別を選択" prompt="当該行に記載する品目が_x000a_・「装置」_x000a_・「付属備品」（テント等）_x000a_の別をプルダウンから選択してください。" sqref="D16:D65">
      <formula1>"装置,付属備品"</formula1>
    </dataValidation>
    <dataValidation allowBlank="1" showInputMessage="1" showErrorMessage="1" promptTitle="規格及び数量の入力" prompt="補助対象経費を計上する際、いずれも入力してください。" sqref="E16:F65"/>
    <dataValidation allowBlank="1" showInputMessage="1" showErrorMessage="1" promptTitle="単価の入力" prompt="税抜額または税込額のいずれかを入力してください。_x000a_入力しない方は「0」は入力せず、空欄としてください。" sqref="G16:H65"/>
    <dataValidation allowBlank="1" showInputMessage="1" showErrorMessage="1" promptTitle="添付書類番号" prompt="種類、規格、数量、単価が全て適切に入力され、右の「判定」が「◎」と表示されると自動で番号が表示されます。" sqref="L16:L65"/>
    <dataValidation allowBlank="1" showInputMessage="1" showErrorMessage="1" promptTitle="金額の表示" prompt="数式が入力されているため、自動計算されます。" sqref="K16:K65 I16:I65"/>
    <dataValidation type="list" allowBlank="1" showInputMessage="1" showErrorMessage="1" promptTitle="補助対象の該当非該当" prompt="簡易陰圧設備の設備整備に係る経費が対象となります。_x000a_医療用消耗品等のランニングコストといった人工呼吸器自体の整備と直接に関係しないものは補助対象外なので「対象外」を選択してください。_x000a_審査において確認、対象外と認めたものについては対象外として補正をお願いする場合があります。" sqref="J16:J65">
      <formula1>"補助対象,補助対象外"</formula1>
    </dataValidation>
    <dataValidation allowBlank="1" showInputMessage="1" showErrorMessage="1" promptTitle="補助対象金額" prompt="見積書金額×（見積書金額-割引額）/見積書金額_x000a_で算出されます。" sqref="K10:L11"/>
    <dataValidation allowBlank="1" showInputMessage="1" showErrorMessage="1" promptTitle="割引額がある場合は入力" prompt="割引がない場合は「0円」のままとしてください。" sqref="J10:J11"/>
  </dataValidations>
  <printOptions horizontalCentered="1"/>
  <pageMargins left="0.59055118110236227" right="0.39370078740157483" top="0.39370078740157483" bottom="0.39370078740157483" header="0.31496062992125984" footer="0.31496062992125984"/>
  <pageSetup paperSize="9" scale="55" orientation="portrait" r:id="rId1"/>
  <drawing r:id="rId2"/>
  <legacyDrawing r:id="rId3"/>
  <extLst>
    <ext xmlns:x14="http://schemas.microsoft.com/office/spreadsheetml/2009/9/main" uri="{CCE6A557-97BC-4b89-ADB6-D9C93CAAB3DF}">
      <x14:dataValidations xmlns:xm="http://schemas.microsoft.com/office/excel/2006/main" xWindow="465" yWindow="538" count="2">
        <x14:dataValidation type="list" allowBlank="1" showInputMessage="1" showErrorMessage="1" promptTitle="配備する病床の「新設」「既設」の別を選択" prompt="ベッドに必ずしも紐付けるものではありませんが、１病床１台で紐付けした場合、配備する病床が_x000a_・令和３年度までにコロナ対応病床として指定済のものか_x000a_・令和４年度に指定を受けた・指定予定か_x000a_いずれかを選択してください。">
          <x14:formula1>
            <xm:f>はじめに入力してください!$AO$41:$AO$43</xm:f>
          </x14:formula1>
          <xm:sqref>B16:B65</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不足する病床に番号付けをした場合の番号を選択してください。_x000a_（例）_x000a_　既存の設備２台_x000a_　既設病床２床、新設病床３床の場合_x000a_→既存の設備２台は、既設病床１～２に配備_x000a_　３台申請する場合は「新設病床１」～「新設病床３」を選択して品目等必要情報を入力">
          <x14:formula1>
            <xm:f>OFFSET( はじめに入力してください!$AO$41, 0, MATCH(B16,はじめに入力してください!$AP$40:$AR$40,0), COUNTA(OFFSET(はじめに入力してください!$AO$41,0,MATCH(B16,はじめに入力してください!$AP$40:$AR$40,0),W16,1)),1)</xm:f>
          </x14:formula1>
          <xm:sqref>C16:C65</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AV73"/>
  <sheetViews>
    <sheetView showGridLines="0" view="pageBreakPreview" zoomScale="50" zoomScaleNormal="100" zoomScaleSheetLayoutView="50" workbookViewId="0">
      <pane xSplit="1" ySplit="15" topLeftCell="B16" activePane="bottomRight" state="frozen"/>
      <selection activeCell="N3" sqref="N3:Q3"/>
      <selection pane="topRight" activeCell="N3" sqref="N3:Q3"/>
      <selection pane="bottomLeft" activeCell="N3" sqref="N3:Q3"/>
      <selection pane="bottomRight" activeCell="AM34" sqref="AM34"/>
    </sheetView>
  </sheetViews>
  <sheetFormatPr defaultColWidth="9" defaultRowHeight="20.100000000000001" customHeight="1"/>
  <cols>
    <col min="1" max="1" width="2.625" style="40" customWidth="1"/>
    <col min="2" max="2" width="15.625" style="40" customWidth="1"/>
    <col min="3" max="3" width="25.625" style="40" customWidth="1"/>
    <col min="4" max="4" width="8.625" style="40" customWidth="1"/>
    <col min="5" max="7" width="12.625" style="40" customWidth="1"/>
    <col min="8" max="8" width="9" style="40"/>
    <col min="9" max="9" width="75.625" style="40" customWidth="1"/>
    <col min="10" max="10" width="8.625" style="40" customWidth="1"/>
    <col min="11" max="11" width="2.625" style="40" customWidth="1"/>
    <col min="12" max="12" width="3.75" style="40" customWidth="1"/>
    <col min="13" max="21" width="15.625" style="40" customWidth="1"/>
    <col min="22" max="22" width="5.625" style="25" customWidth="1"/>
    <col min="23" max="24" width="12.625" style="25" customWidth="1"/>
    <col min="25" max="25" width="90.625" style="38" customWidth="1"/>
    <col min="26" max="28" width="12.625" style="38" customWidth="1"/>
    <col min="29" max="29" width="9" style="40" customWidth="1"/>
    <col min="30" max="16384" width="9" style="40"/>
  </cols>
  <sheetData>
    <row r="1" spans="1:43" ht="20.100000000000001" customHeight="1">
      <c r="J1" s="386" t="str">
        <f>IF(はじめに入力してください!L20="","",はじめに入力してください!AE20)</f>
        <v/>
      </c>
    </row>
    <row r="2" spans="1:43" ht="20.100000000000001" customHeight="1">
      <c r="B2" s="321" t="s">
        <v>225</v>
      </c>
      <c r="D2" s="50" t="s">
        <v>24</v>
      </c>
      <c r="E2" s="806">
        <f>IF(AI72="×",0,IF(AI72="○",0,IF(AI72="◎",SUM(G16:G45))))</f>
        <v>0</v>
      </c>
      <c r="F2" s="807"/>
      <c r="G2" s="808"/>
      <c r="H2" s="322"/>
      <c r="I2" s="323"/>
    </row>
    <row r="3" spans="1:43" ht="20.100000000000001" customHeight="1">
      <c r="B3" s="321"/>
      <c r="D3" s="56"/>
      <c r="E3" s="324"/>
      <c r="F3" s="56"/>
      <c r="G3" s="56"/>
      <c r="H3" s="323"/>
      <c r="I3" s="323"/>
    </row>
    <row r="4" spans="1:43" ht="20.100000000000001" customHeight="1">
      <c r="B4" s="321" t="s">
        <v>587</v>
      </c>
      <c r="H4" s="69"/>
      <c r="I4" s="69"/>
      <c r="L4" s="25"/>
      <c r="T4" s="25" t="str">
        <f>IF(COUNTIF(X16:X45,"×")&gt;=1,"×",IF(COUNTIF(X16:X45,"○")=30,"○","◎"))</f>
        <v>○</v>
      </c>
      <c r="W4" s="25" t="str">
        <f>IF(X4=TRUE,"○","×")</f>
        <v>×</v>
      </c>
      <c r="X4" s="213" t="b">
        <v>0</v>
      </c>
    </row>
    <row r="5" spans="1:43" ht="20.100000000000001" customHeight="1">
      <c r="B5" s="40" t="s">
        <v>222</v>
      </c>
      <c r="E5" s="69"/>
      <c r="F5" s="69"/>
      <c r="G5" s="69"/>
      <c r="H5" s="69"/>
      <c r="I5" s="69"/>
      <c r="L5" s="25"/>
      <c r="W5" s="25" t="str">
        <f>IF(X5=TRUE,"○","×")</f>
        <v>×</v>
      </c>
      <c r="X5" s="213" t="b">
        <v>0</v>
      </c>
    </row>
    <row r="6" spans="1:43" ht="20.100000000000001" customHeight="1">
      <c r="B6" s="661" t="s">
        <v>588</v>
      </c>
      <c r="C6" s="809"/>
      <c r="D6" s="809"/>
      <c r="E6" s="809"/>
      <c r="F6" s="809"/>
      <c r="G6" s="809"/>
      <c r="H6" s="809"/>
      <c r="I6" s="809"/>
      <c r="L6" s="25"/>
      <c r="V6" s="40"/>
      <c r="W6" s="25" t="str">
        <f>IF(X6=TRUE,"○","×")</f>
        <v>×</v>
      </c>
      <c r="X6" s="213" t="b">
        <v>0</v>
      </c>
      <c r="Y6" s="40"/>
    </row>
    <row r="7" spans="1:43" ht="20.100000000000001" customHeight="1">
      <c r="B7" s="810"/>
      <c r="C7" s="811"/>
      <c r="D7" s="811"/>
      <c r="E7" s="811"/>
      <c r="F7" s="811"/>
      <c r="G7" s="811"/>
      <c r="H7" s="811"/>
      <c r="I7" s="812"/>
      <c r="L7" s="25"/>
      <c r="V7" s="25" t="s">
        <v>69</v>
      </c>
      <c r="W7" s="40" t="str">
        <f>B4</f>
        <v>１．はじめに（いずれか１つを選択してください。）</v>
      </c>
      <c r="X7" s="40"/>
      <c r="Y7" s="40"/>
    </row>
    <row r="8" spans="1:43" ht="20.100000000000001" customHeight="1">
      <c r="B8" s="813"/>
      <c r="C8" s="814"/>
      <c r="D8" s="814"/>
      <c r="E8" s="814"/>
      <c r="F8" s="814"/>
      <c r="G8" s="814"/>
      <c r="H8" s="814"/>
      <c r="I8" s="805"/>
      <c r="L8" s="25"/>
      <c r="W8" s="50" t="s">
        <v>120</v>
      </c>
      <c r="X8" s="50" t="s">
        <v>64</v>
      </c>
      <c r="Y8" s="232" t="s">
        <v>74</v>
      </c>
    </row>
    <row r="9" spans="1:43" ht="20.100000000000001" customHeight="1">
      <c r="B9" s="813"/>
      <c r="C9" s="814"/>
      <c r="D9" s="814"/>
      <c r="E9" s="814"/>
      <c r="F9" s="814"/>
      <c r="G9" s="814"/>
      <c r="H9" s="814"/>
      <c r="I9" s="805"/>
      <c r="L9" s="25"/>
      <c r="V9" s="40"/>
      <c r="W9" s="50" t="s">
        <v>589</v>
      </c>
      <c r="X9" s="50" t="str">
        <f>IF(COUNTIF(W4:W6,"○")=1,"◎",IF(COUNTIF(W4:W6,"○")&gt;=2,"×","○"))</f>
        <v>○</v>
      </c>
      <c r="Y9" s="325" t="str">
        <f>IF(X9="×","【要修正】チェックが未入力または２つ以上チェックがされています。",
IF(X9="◎","正常に入力がされました。",
IF(X9="○","申請を行わない場合は入力不要です。")))</f>
        <v>申請を行わない場合は入力不要です。</v>
      </c>
      <c r="AJ9" s="326"/>
      <c r="AK9" s="326"/>
      <c r="AL9" s="326"/>
      <c r="AM9" s="326"/>
      <c r="AN9" s="326"/>
      <c r="AO9" s="326"/>
      <c r="AP9" s="326"/>
      <c r="AQ9" s="326"/>
    </row>
    <row r="10" spans="1:43" ht="20.100000000000001" customHeight="1">
      <c r="B10" s="815"/>
      <c r="C10" s="816"/>
      <c r="D10" s="816"/>
      <c r="E10" s="816"/>
      <c r="F10" s="816"/>
      <c r="G10" s="816"/>
      <c r="H10" s="816"/>
      <c r="I10" s="817"/>
      <c r="L10" s="25"/>
      <c r="T10" s="25"/>
      <c r="W10" s="50" t="s">
        <v>590</v>
      </c>
      <c r="X10" s="50" t="str">
        <f xml:space="preserve">
IF(AND(COUNTIF(W4:W5,"○")=1,W6="×",COUNTA(B7)=0),"◎",
IF(AND(COUNTIF(W4:W5,"○")=1,W6="×",COUNTA(B7)=1),"×",
IF(AND(COUNTIF(W4:W5,"○")=2,COUNTA(B7)=0),"×",
IF(AND(COUNTIF(W4:W5,"○")=2,COUNTA(B7)=1),"×",
IF(AND(W6="○",COUNTA(B7)=1),"◎",
IF(AND(W6="○",COUNTA(B7)=0),"×",
IF(AND(W6="×",COUNTA(B7)=1),"×",
IF(AND(W6="×",COUNTA(B7)=0),"○",
))))))))</f>
        <v>○</v>
      </c>
      <c r="Y10" s="325" t="str">
        <f xml:space="preserve">
IF(AND(COUNTIF(W4:W5,"○")=1,W6="×",COUNTA(B7)=0),"正常に入力されています。（今回申請する理由の欄は記入しないでください。）",
IF(AND(COUNTIF(W4:W5,"○")=1,W6="×",COUNTA(B7)=1),"【要修正】「理由」欄は３つめに該当の場合のみ入力するものです。入力情報を削除してください。",
IF(AND(COUNTIF(W4:W5,"○")=1,W6="○",COUNTA(B7)=0),"【要修正】チェックはいずれか１つのみとしてください。",
IF(AND(COUNTIF(W4:W5,"○")=1,W6="○",COUNTA(B7)=1),"【要修正】チェックはいずれか１つのみとし、１つめチェックの場合は今回申請する理由の欄の入力を削除してください。",
IF(AND(COUNTIF(W4:W5,"○")=2,COUNTA(B7)=0),"【要修正】チェックはいずれか１つのみとしてください。",
IF(AND(COUNTIF(W4:W5,"○")=2,COUNTA(B7)=1),"【要修正】チェックはいずれか１つのみとし、理由の欄を記入の場合は３つめにチェックしてください。",
IF(AND(W6="○",COUNTA(B7)=1),"正常に入力されています。",
IF(AND(W6="○",COUNTA(B7)=0),"【要修正】今回申請する理由を記入してください。",
IF(AND(W6="×",COUNTA(B7)=1),"今回申請する理由の欄に記入する場合は３番目のチェックボックスにチェックをしてください。",
IF(AND(W6="×",COUNTA(B7)=0),"申請を行わない場合は入力不要です。"))))))))))</f>
        <v>申請を行わない場合は入力不要です。</v>
      </c>
    </row>
    <row r="11" spans="1:43" ht="20.100000000000001" customHeight="1">
      <c r="B11" s="327"/>
      <c r="C11" s="327"/>
      <c r="D11" s="327"/>
      <c r="E11" s="327"/>
      <c r="F11" s="327"/>
      <c r="G11" s="327"/>
      <c r="H11" s="327"/>
      <c r="I11" s="327"/>
      <c r="L11" s="25"/>
      <c r="Z11" s="228"/>
      <c r="AE11" s="69"/>
      <c r="AF11" s="69"/>
      <c r="AG11" s="69"/>
      <c r="AH11" s="69"/>
      <c r="AI11" s="328"/>
      <c r="AK11" s="381"/>
      <c r="AL11" s="381"/>
      <c r="AM11" s="381"/>
      <c r="AN11" s="381"/>
      <c r="AO11" s="381"/>
      <c r="AP11" s="381"/>
      <c r="AQ11" s="381"/>
    </row>
    <row r="12" spans="1:43" ht="20.100000000000001" customHeight="1">
      <c r="B12" s="321" t="s">
        <v>223</v>
      </c>
      <c r="L12" s="25"/>
      <c r="AE12" s="328"/>
      <c r="AF12" s="328"/>
      <c r="AG12" s="328"/>
      <c r="AH12" s="56"/>
      <c r="AI12" s="328"/>
      <c r="AK12" s="381"/>
      <c r="AL12" s="381"/>
      <c r="AM12" s="381"/>
      <c r="AN12" s="381"/>
      <c r="AO12" s="381"/>
      <c r="AP12" s="381"/>
      <c r="AQ12" s="381"/>
    </row>
    <row r="13" spans="1:43" ht="20.100000000000001" customHeight="1">
      <c r="B13" s="803" t="s">
        <v>612</v>
      </c>
      <c r="C13" s="820"/>
      <c r="D13" s="820"/>
      <c r="E13" s="820"/>
      <c r="F13" s="820"/>
      <c r="G13" s="820"/>
      <c r="H13" s="820"/>
      <c r="I13" s="821"/>
      <c r="J13" s="821"/>
      <c r="L13" s="25"/>
    </row>
    <row r="14" spans="1:43" ht="20.100000000000001" customHeight="1">
      <c r="B14" s="822"/>
      <c r="C14" s="822"/>
      <c r="D14" s="822"/>
      <c r="E14" s="822"/>
      <c r="F14" s="822"/>
      <c r="G14" s="822"/>
      <c r="H14" s="822"/>
      <c r="I14" s="822"/>
      <c r="J14" s="822"/>
      <c r="L14" s="25"/>
      <c r="W14" s="67" t="str">
        <f>B12</f>
        <v>２．簡易病室情報</v>
      </c>
    </row>
    <row r="15" spans="1:43" ht="19.5">
      <c r="B15" s="61" t="s">
        <v>54</v>
      </c>
      <c r="C15" s="61" t="s">
        <v>55</v>
      </c>
      <c r="D15" s="61" t="s">
        <v>22</v>
      </c>
      <c r="E15" s="61" t="s">
        <v>71</v>
      </c>
      <c r="F15" s="61" t="s">
        <v>72</v>
      </c>
      <c r="G15" s="61" t="s">
        <v>73</v>
      </c>
      <c r="H15" s="818" t="s">
        <v>592</v>
      </c>
      <c r="I15" s="819"/>
      <c r="J15" s="61" t="s">
        <v>23</v>
      </c>
      <c r="W15" s="50" t="s">
        <v>120</v>
      </c>
      <c r="X15" s="62" t="s">
        <v>64</v>
      </c>
      <c r="Y15" s="61" t="s">
        <v>74</v>
      </c>
      <c r="Z15" s="232" t="s">
        <v>90</v>
      </c>
      <c r="AA15" s="232" t="s">
        <v>91</v>
      </c>
      <c r="AB15" s="232" t="s">
        <v>593</v>
      </c>
      <c r="AC15" s="74" t="s">
        <v>121</v>
      </c>
      <c r="AD15" s="74" t="str">
        <f>AC16&amp;AC17&amp;AC18&amp;AC19&amp;AC20&amp;AC21&amp;AC22&amp;AC23&amp;AC24&amp;AC25&amp;AC26&amp;AC27&amp;AC28&amp;AC29&amp;AC30&amp;AC31&amp;AC32&amp;AC33&amp;AC34&amp;AC35&amp;AC36&amp;AC37&amp;AC38&amp;AC39&amp;AC40&amp;AC41&amp;AC42&amp;AC43&amp;AC44&amp;AC45</f>
        <v/>
      </c>
    </row>
    <row r="16" spans="1:43" ht="20.100000000000001" customHeight="1">
      <c r="A16" s="38">
        <v>1</v>
      </c>
      <c r="B16" s="214"/>
      <c r="C16" s="215"/>
      <c r="D16" s="216"/>
      <c r="E16" s="217"/>
      <c r="F16" s="217"/>
      <c r="G16" s="43">
        <f>IF(E16="",F16*D16,ROUNDDOWN(D16*E16*1.1,0))</f>
        <v>0</v>
      </c>
      <c r="H16" s="804"/>
      <c r="I16" s="805"/>
      <c r="J16" s="50" t="str">
        <f>IF(X16="◎",COUNTIF($X$16:X16,"◎"),"")</f>
        <v/>
      </c>
      <c r="V16" s="25" t="s">
        <v>68</v>
      </c>
      <c r="W16" s="329">
        <v>1</v>
      </c>
      <c r="X16" s="50" t="str">
        <f xml:space="preserve">
IF(AND(Z16="×",AA16="×",AB16="○"),"×",
IF(AND(Z16="×",AA16="×",AB16="◎"),"×",
IF(AND(Z16="×",AA16="○",AB16="○"),"×",
IF(AND(Z16="×",AA16="○",AB16="◎"),"×",
IF(AND(Z16="×",AA16="◎",AB16="○"),"×",
IF(AND(Z16="×",AA16="◎",AB16="◎"),"×",
IF(AND(Z16="○",AA16="×",AB16="○"),"×",
IF(AND(Z16="○",AA16="×",AB16="◎"),"×",
IF(AND(Z16="○",AA16="○",AB16="○"),"○",
IF(AND(Z16="○",AA16="○",AB16="◎"),"×",
IF(AND(Z16="○",AA16="◎",AB16="○"),"×",
IF(AND(Z16="○",AA16="◎",AB16="◎"),"×",
IF(AND(Z16="◎",AA16="×",AB16="○"),"×",
IF(AND(Z16="◎",AA16="×",AB16="◎"),"×",
IF(AND(Z16="◎",AA16="○",AB16="○"),"×",
IF(AND(Z16="◎",AA16="○",AB16="◎"),"×",
IF(AND(Z16="◎",AA16="◎",AB16="○"),"×",
IF(AND(Z16="◎",AA16="◎",AB16="◎"),"◎"))))))))))))))))))</f>
        <v>○</v>
      </c>
      <c r="Y16" s="325" t="str">
        <f xml:space="preserve">
IF(AND(Z16="×",AA16="×",AB16="○"),"【要修正】種類、規格、数量が入力不十分、単価が入力不十分、用途等が未入力です。",
IF(AND(Z16="×",AA16="×",AB16="◎"),"【要修正】種類、規格、数量が入力不十分、単価が入力不十分です。",
IF(AND(Z16="×",AA16="○",AB16="○"),"【要修正】種類、規格、数量が未入力、単価が入力不十分、用途等が未入力です。",
IF(AND(Z16="×",AA16="○",AB16="◎"),"【要修正】種類、規格、数量が入力不十分、単価が未入力です。",
IF(AND(Z16="×",AA16="◎",AB16="○"),"【要修正】種類、規格、数量が入力不十分、用途等が未入力です。",
IF(AND(Z16="×",AA16="◎",AB16="◎"),"【要修正】種類、規格、数量が入力不十分です。",
IF(AND(Z16="○",AA16="×",AB16="○"),"【要修正】種類、規格、数量が未入力、単価が入力不十分、用途等が未入力です。",
IF(AND(Z16="○",AA16="×",AB16="◎"),"【要修正】種類、規格、数量が未入力、単価が入力不十分です。",
IF(AND(Z16="○",AA16="○",AB16="○"),"申請しない場合は入力不要です。",
IF(AND(Z16="○",AA16="○",AB16="◎"),"【要修正】種類、規格、数量が未入力、単価が未入力です。",
IF(AND(Z16="○",AA16="◎",AB16="○"),"【要修正】種類、規格、数量が未入力、用途等が未入力です。",
IF(AND(Z16="○",AA16="◎",AB16="◎"),"【要修正】種類、規格、数量が未入力です。",
IF(AND(Z16="◎",AA16="×",AB16="○"),"【要修正】単価が入力不十分、用途等が未入力です。",
IF(AND(Z16="◎",AA16="×",AB16="◎"),"【要修正】単価が入力不十分です。",
IF(AND(Z16="◎",AA16="○",AB16="○"),"【要修正】単価が未入力、用途等が未入力です。",
IF(AND(Z16="◎",AA16="○",AB16="◎"),"【要修正】単価が未入力です。",
IF(AND(Z16="◎",AA16="◎",AB16="○"),"【要修正】用途等が未入力です。",
IF(AND(Z16="◎",AA16="◎",AB16="◎"),"適切に入力されました。"))))))))))))))))))</f>
        <v>申請しない場合は入力不要です。</v>
      </c>
      <c r="Z16" s="232" t="str">
        <f t="shared" ref="Z16:Z45" si="0" xml:space="preserve">
IF(COUNTA(B16:D16)=0,"○",
IF(AND(COUNTA(B16:D16)&gt;=1,COUNTA(B16:D16)&lt;3),"×",
IF(COUNTA(B16:D16)=3,"◎")))</f>
        <v>○</v>
      </c>
      <c r="AA16" s="232" t="str">
        <f t="shared" ref="AA16:AA45" si="1">IF(COUNTA(E16:F16)=0,"○",IF(COUNTA(E16:F16)=2,"×",IF(COUNTA(E16:F16)=1,"◎")))</f>
        <v>○</v>
      </c>
      <c r="AB16" s="232" t="str">
        <f>IF(COUNTA(H16)=1,"◎","○")</f>
        <v>○</v>
      </c>
      <c r="AC16" s="74" t="str">
        <f xml:space="preserve">
IF(AND(Z16="×",AA16="×",AB16="○"),W16&amp;"行目：種類、規格、数量が入力不十分、単価が入力不十分、用途等が未入力/",
IF(AND(Z16="×",AA16="×",AB16="◎"),W16&amp;"行目：種類、規格、数量が入力不十分、単価が入力不十分/",
IF(AND(Z16="×",AA16="○",AB16="○"),W16&amp;"行目：種類、規格、数量が未入力、単価が入力不十分、用途等が未入力/",
IF(AND(Z16="×",AA16="○",AB16="◎"),W16&amp;"行目：種類、規格、数量が入力不十分、単価が未入力/",
IF(AND(Z16="×",AA16="◎",AB16="○"),W16&amp;"行目：種類、規格、数量が入力不十分、用途等が未入力/",
IF(AND(Z16="×",AA16="◎",AB16="◎"),W16&amp;"行目：種類、規格、数量が入力不十分/",
IF(AND(Z16="○",AA16="×",AB16="○"),W16&amp;"行目：種類、規格、数量が未入力、単価が入力不十分、用途等が未入力/",
IF(AND(Z16="○",AA16="×",AB16="◎"),W16&amp;"行目：種類、規格、数量が未入力、単価が入力不十分/",
IF(AND(Z16="○",AA16="○",AB16="○"),"",
IF(AND(Z16="○",AA16="○",AB16="◎"),W16&amp;"行目：種類、規格、数量が未入力、単価が未入力/",
IF(AND(Z16="○",AA16="◎",AB16="○"),W16&amp;"行目：種類、規格、数量が未入力、用途等が未入力/",
IF(AND(Z16="○",AA16="◎",AB16="◎"),W16&amp;"行目：種類、規格、数量が未入力/",
IF(AND(Z16="◎",AA16="×",AB16="○"),W16&amp;"行目：単価が入力不十分、用途等が未入力/",
IF(AND(Z16="◎",AA16="×",AB16="◎"),W16&amp;"行目：単価が入力不十分/",
IF(AND(Z16="◎",AA16="○",AB16="○"),W16&amp;"行目：単価が未入力、用途等が未入力/",
IF(AND(Z16="◎",AA16="○",AB16="◎"),W16&amp;"行目：単価が未入力/",
IF(AND(Z16="◎",AA16="◎",AB16="○"),W16&amp;"行目：用途等が未入力/",
IF(AND(Z16="◎",AA16="◎",AB16="◎"),""))))))))))))))))))</f>
        <v/>
      </c>
      <c r="AD16" s="380"/>
    </row>
    <row r="17" spans="1:48" ht="20.100000000000001" customHeight="1">
      <c r="A17" s="38">
        <v>2</v>
      </c>
      <c r="B17" s="214"/>
      <c r="C17" s="215"/>
      <c r="D17" s="216"/>
      <c r="E17" s="217"/>
      <c r="F17" s="217"/>
      <c r="G17" s="43">
        <f t="shared" ref="G17:G45" si="2">IF(E17="",F17*D17,ROUNDDOWN(D17*E17*1.1,0))</f>
        <v>0</v>
      </c>
      <c r="H17" s="799"/>
      <c r="I17" s="800"/>
      <c r="J17" s="50" t="str">
        <f>IF(X17="◎",COUNTIF($X$16:X17,"◎"),"")</f>
        <v/>
      </c>
      <c r="V17" s="25" t="s">
        <v>68</v>
      </c>
      <c r="W17" s="329">
        <v>2</v>
      </c>
      <c r="X17" s="50" t="str">
        <f t="shared" ref="X17:X45" si="3" xml:space="preserve">
IF(AND(Z17="×",AA17="×",AB17="○"),"×",
IF(AND(Z17="×",AA17="×",AB17="◎"),"×",
IF(AND(Z17="×",AA17="○",AB17="○"),"×",
IF(AND(Z17="×",AA17="○",AB17="◎"),"×",
IF(AND(Z17="×",AA17="◎",AB17="○"),"×",
IF(AND(Z17="×",AA17="◎",AB17="◎"),"×",
IF(AND(Z17="○",AA17="×",AB17="○"),"×",
IF(AND(Z17="○",AA17="×",AB17="◎"),"×",
IF(AND(Z17="○",AA17="○",AB17="○"),"○",
IF(AND(Z17="○",AA17="○",AB17="◎"),"×",
IF(AND(Z17="○",AA17="◎",AB17="○"),"×",
IF(AND(Z17="○",AA17="◎",AB17="◎"),"×",
IF(AND(Z17="◎",AA17="×",AB17="○"),"×",
IF(AND(Z17="◎",AA17="×",AB17="◎"),"×",
IF(AND(Z17="◎",AA17="○",AB17="○"),"×",
IF(AND(Z17="◎",AA17="○",AB17="◎"),"×",
IF(AND(Z17="◎",AA17="◎",AB17="○"),"×",
IF(AND(Z17="◎",AA17="◎",AB17="◎"),"◎"))))))))))))))))))</f>
        <v>○</v>
      </c>
      <c r="Y17" s="325" t="str">
        <f t="shared" ref="Y17:Y45" si="4" xml:space="preserve">
IF(AND(Z17="×",AA17="×",AB17="○"),"【要修正】種類、規格、数量が入力不十分、単価が入力不十分、用途等が未入力です。",
IF(AND(Z17="×",AA17="×",AB17="◎"),"【要修正】種類、規格、数量が入力不十分、単価が入力不十分です。",
IF(AND(Z17="×",AA17="○",AB17="○"),"【要修正】種類、規格、数量が未入力、単価が入力不十分、用途等が未入力です。",
IF(AND(Z17="×",AA17="○",AB17="◎"),"【要修正】種類、規格、数量が入力不十分、単価が未入力です。",
IF(AND(Z17="×",AA17="◎",AB17="○"),"【要修正】種類、規格、数量が入力不十分、用途等が未入力です。",
IF(AND(Z17="×",AA17="◎",AB17="◎"),"【要修正】種類、規格、数量が入力不十分です。",
IF(AND(Z17="○",AA17="×",AB17="○"),"【要修正】種類、規格、数量が未入力、単価が入力不十分、用途等が未入力です。",
IF(AND(Z17="○",AA17="×",AB17="◎"),"【要修正】種類、規格、数量が未入力、単価が入力不十分です。",
IF(AND(Z17="○",AA17="○",AB17="○"),"申請しない場合は入力不要です。",
IF(AND(Z17="○",AA17="○",AB17="◎"),"【要修正】種類、規格、数量が未入力、単価が未入力です。",
IF(AND(Z17="○",AA17="◎",AB17="○"),"【要修正】種類、規格、数量が未入力、用途等が未入力です。",
IF(AND(Z17="○",AA17="◎",AB17="◎"),"【要修正】種類、規格、数量が未入力です。",
IF(AND(Z17="◎",AA17="×",AB17="○"),"【要修正】単価が入力不十分、用途等が未入力です。",
IF(AND(Z17="◎",AA17="×",AB17="◎"),"【要修正】単価が入力不十分です。",
IF(AND(Z17="◎",AA17="○",AB17="○"),"【要修正】単価が未入力、用途等が未入力です。",
IF(AND(Z17="◎",AA17="○",AB17="◎"),"【要修正】単価が未入力です。",
IF(AND(Z17="◎",AA17="◎",AB17="○"),"【要修正】用途等が未入力です。",
IF(AND(Z17="◎",AA17="◎",AB17="◎"),"適切に入力されました。"))))))))))))))))))</f>
        <v>申請しない場合は入力不要です。</v>
      </c>
      <c r="Z17" s="232" t="str">
        <f t="shared" si="0"/>
        <v>○</v>
      </c>
      <c r="AA17" s="232" t="str">
        <f t="shared" si="1"/>
        <v>○</v>
      </c>
      <c r="AB17" s="232" t="str">
        <f t="shared" ref="AB17:AB45" si="5">IF(COUNTA(H17)=1,"◎","○")</f>
        <v>○</v>
      </c>
      <c r="AC17" s="74" t="str">
        <f t="shared" ref="AC17:AC45" si="6" xml:space="preserve">
IF(AND(Z17="×",AA17="×",AB17="○"),W17&amp;"行目：種類、規格、数量が入力不十分、単価が入力不十分、用途等が未入力/",
IF(AND(Z17="×",AA17="×",AB17="◎"),W17&amp;"行目：種類、規格、数量が入力不十分、単価が入力不十分/",
IF(AND(Z17="×",AA17="○",AB17="○"),W17&amp;"行目：種類、規格、数量が未入力、単価が入力不十分、用途等が未入力/",
IF(AND(Z17="×",AA17="○",AB17="◎"),W17&amp;"行目：種類、規格、数量が入力不十分、単価が未入力/",
IF(AND(Z17="×",AA17="◎",AB17="○"),W17&amp;"行目：種類、規格、数量が入力不十分、用途等が未入力/",
IF(AND(Z17="×",AA17="◎",AB17="◎"),W17&amp;"行目：種類、規格、数量が入力不十分/",
IF(AND(Z17="○",AA17="×",AB17="○"),W17&amp;"行目：種類、規格、数量が未入力、単価が入力不十分、用途等が未入力/",
IF(AND(Z17="○",AA17="×",AB17="◎"),W17&amp;"行目：種類、規格、数量が未入力、単価が入力不十分/",
IF(AND(Z17="○",AA17="○",AB17="○"),"",
IF(AND(Z17="○",AA17="○",AB17="◎"),W17&amp;"行目：種類、規格、数量が未入力、単価が未入力/",
IF(AND(Z17="○",AA17="◎",AB17="○"),W17&amp;"行目：種類、規格、数量が未入力、用途等が未入力/",
IF(AND(Z17="○",AA17="◎",AB17="◎"),W17&amp;"行目：種類、規格、数量が未入力/",
IF(AND(Z17="◎",AA17="×",AB17="○"),W17&amp;"行目：単価が入力不十分、用途等が未入力/",
IF(AND(Z17="◎",AA17="×",AB17="◎"),W17&amp;"行目：単価が入力不十分/",
IF(AND(Z17="◎",AA17="○",AB17="○"),W17&amp;"行目：単価が未入力、用途等が未入力/",
IF(AND(Z17="◎",AA17="○",AB17="◎"),W17&amp;"行目：単価が未入力/",
IF(AND(Z17="◎",AA17="◎",AB17="○"),W17&amp;"行目：用途等が未入力/",
IF(AND(Z17="◎",AA17="◎",AB17="◎"),""))))))))))))))))))</f>
        <v/>
      </c>
      <c r="AD17" s="380"/>
    </row>
    <row r="18" spans="1:48" ht="20.100000000000001" customHeight="1">
      <c r="A18" s="38">
        <v>3</v>
      </c>
      <c r="B18" s="214"/>
      <c r="C18" s="215"/>
      <c r="D18" s="216"/>
      <c r="E18" s="217"/>
      <c r="F18" s="217"/>
      <c r="G18" s="43">
        <f>IF(E18="",F18*D18,ROUNDDOWN(D18*E18*1.1,0))</f>
        <v>0</v>
      </c>
      <c r="H18" s="799"/>
      <c r="I18" s="800"/>
      <c r="J18" s="50" t="str">
        <f>IF(X18="◎",COUNTIF($X$16:X18,"◎"),"")</f>
        <v/>
      </c>
      <c r="V18" s="25" t="s">
        <v>68</v>
      </c>
      <c r="W18" s="329">
        <v>3</v>
      </c>
      <c r="X18" s="50" t="str">
        <f t="shared" si="3"/>
        <v>○</v>
      </c>
      <c r="Y18" s="325" t="str">
        <f t="shared" si="4"/>
        <v>申請しない場合は入力不要です。</v>
      </c>
      <c r="Z18" s="232" t="str">
        <f t="shared" si="0"/>
        <v>○</v>
      </c>
      <c r="AA18" s="232" t="str">
        <f t="shared" si="1"/>
        <v>○</v>
      </c>
      <c r="AB18" s="232" t="str">
        <f t="shared" si="5"/>
        <v>○</v>
      </c>
      <c r="AC18" s="74" t="str">
        <f t="shared" si="6"/>
        <v/>
      </c>
      <c r="AD18" s="380"/>
      <c r="AR18" s="801"/>
      <c r="AS18" s="802"/>
      <c r="AT18" s="802"/>
      <c r="AU18" s="802"/>
      <c r="AV18" s="802"/>
    </row>
    <row r="19" spans="1:48" ht="20.100000000000001" customHeight="1">
      <c r="A19" s="38">
        <v>4</v>
      </c>
      <c r="B19" s="214"/>
      <c r="C19" s="215"/>
      <c r="D19" s="216"/>
      <c r="E19" s="217"/>
      <c r="F19" s="217"/>
      <c r="G19" s="43">
        <f t="shared" si="2"/>
        <v>0</v>
      </c>
      <c r="H19" s="799"/>
      <c r="I19" s="800"/>
      <c r="J19" s="50" t="str">
        <f>IF(X19="◎",COUNTIF($X$16:X19,"◎"),"")</f>
        <v/>
      </c>
      <c r="V19" s="25" t="s">
        <v>68</v>
      </c>
      <c r="W19" s="329">
        <v>4</v>
      </c>
      <c r="X19" s="50" t="str">
        <f t="shared" si="3"/>
        <v>○</v>
      </c>
      <c r="Y19" s="325" t="str">
        <f t="shared" si="4"/>
        <v>申請しない場合は入力不要です。</v>
      </c>
      <c r="Z19" s="232" t="str">
        <f t="shared" si="0"/>
        <v>○</v>
      </c>
      <c r="AA19" s="232" t="str">
        <f t="shared" si="1"/>
        <v>○</v>
      </c>
      <c r="AB19" s="232" t="str">
        <f t="shared" si="5"/>
        <v>○</v>
      </c>
      <c r="AC19" s="74" t="str">
        <f t="shared" si="6"/>
        <v/>
      </c>
      <c r="AD19" s="380"/>
      <c r="AR19" s="803"/>
      <c r="AS19" s="802"/>
      <c r="AT19" s="802"/>
      <c r="AU19" s="802"/>
      <c r="AV19" s="802"/>
    </row>
    <row r="20" spans="1:48" ht="20.100000000000001" customHeight="1">
      <c r="A20" s="38">
        <v>5</v>
      </c>
      <c r="B20" s="214"/>
      <c r="C20" s="215"/>
      <c r="D20" s="216"/>
      <c r="E20" s="217"/>
      <c r="F20" s="217"/>
      <c r="G20" s="43">
        <f t="shared" si="2"/>
        <v>0</v>
      </c>
      <c r="H20" s="799"/>
      <c r="I20" s="800"/>
      <c r="J20" s="50" t="str">
        <f>IF(X20="◎",COUNTIF($X$16:X20,"◎"),"")</f>
        <v/>
      </c>
      <c r="V20" s="25" t="s">
        <v>68</v>
      </c>
      <c r="W20" s="329">
        <v>5</v>
      </c>
      <c r="X20" s="50" t="str">
        <f t="shared" si="3"/>
        <v>○</v>
      </c>
      <c r="Y20" s="325" t="str">
        <f t="shared" si="4"/>
        <v>申請しない場合は入力不要です。</v>
      </c>
      <c r="Z20" s="232" t="str">
        <f t="shared" si="0"/>
        <v>○</v>
      </c>
      <c r="AA20" s="232" t="str">
        <f t="shared" si="1"/>
        <v>○</v>
      </c>
      <c r="AB20" s="232" t="str">
        <f t="shared" si="5"/>
        <v>○</v>
      </c>
      <c r="AC20" s="74" t="str">
        <f t="shared" si="6"/>
        <v/>
      </c>
      <c r="AD20" s="380"/>
      <c r="AR20" s="803"/>
      <c r="AS20" s="802"/>
      <c r="AT20" s="802"/>
      <c r="AU20" s="802"/>
      <c r="AV20" s="802"/>
    </row>
    <row r="21" spans="1:48" ht="20.100000000000001" customHeight="1">
      <c r="A21" s="38">
        <v>6</v>
      </c>
      <c r="B21" s="214"/>
      <c r="C21" s="215"/>
      <c r="D21" s="216"/>
      <c r="E21" s="217"/>
      <c r="F21" s="217"/>
      <c r="G21" s="43">
        <f t="shared" si="2"/>
        <v>0</v>
      </c>
      <c r="H21" s="799"/>
      <c r="I21" s="800"/>
      <c r="J21" s="50" t="str">
        <f>IF(X21="◎",COUNTIF($X$16:X21,"◎"),"")</f>
        <v/>
      </c>
      <c r="V21" s="25" t="s">
        <v>68</v>
      </c>
      <c r="W21" s="329">
        <v>6</v>
      </c>
      <c r="X21" s="50" t="str">
        <f t="shared" si="3"/>
        <v>○</v>
      </c>
      <c r="Y21" s="325" t="str">
        <f t="shared" si="4"/>
        <v>申請しない場合は入力不要です。</v>
      </c>
      <c r="Z21" s="232" t="str">
        <f t="shared" si="0"/>
        <v>○</v>
      </c>
      <c r="AA21" s="232" t="str">
        <f t="shared" si="1"/>
        <v>○</v>
      </c>
      <c r="AB21" s="232" t="str">
        <f t="shared" si="5"/>
        <v>○</v>
      </c>
      <c r="AC21" s="74" t="str">
        <f t="shared" si="6"/>
        <v/>
      </c>
      <c r="AD21" s="380"/>
      <c r="AR21" s="803"/>
      <c r="AS21" s="802"/>
      <c r="AT21" s="802"/>
      <c r="AU21" s="802"/>
      <c r="AV21" s="802"/>
    </row>
    <row r="22" spans="1:48" ht="20.100000000000001" customHeight="1">
      <c r="A22" s="38">
        <v>7</v>
      </c>
      <c r="B22" s="214"/>
      <c r="C22" s="215"/>
      <c r="D22" s="216"/>
      <c r="E22" s="217"/>
      <c r="F22" s="217"/>
      <c r="G22" s="43">
        <f t="shared" si="2"/>
        <v>0</v>
      </c>
      <c r="H22" s="799"/>
      <c r="I22" s="800"/>
      <c r="J22" s="50" t="str">
        <f>IF(X22="◎",COUNTIF($X$16:X22,"◎"),"")</f>
        <v/>
      </c>
      <c r="V22" s="25" t="s">
        <v>68</v>
      </c>
      <c r="W22" s="329">
        <v>7</v>
      </c>
      <c r="X22" s="50" t="str">
        <f t="shared" si="3"/>
        <v>○</v>
      </c>
      <c r="Y22" s="325" t="str">
        <f t="shared" si="4"/>
        <v>申請しない場合は入力不要です。</v>
      </c>
      <c r="Z22" s="232" t="str">
        <f t="shared" si="0"/>
        <v>○</v>
      </c>
      <c r="AA22" s="232" t="str">
        <f t="shared" si="1"/>
        <v>○</v>
      </c>
      <c r="AB22" s="232" t="str">
        <f t="shared" si="5"/>
        <v>○</v>
      </c>
      <c r="AC22" s="74" t="str">
        <f t="shared" si="6"/>
        <v/>
      </c>
      <c r="AD22" s="380"/>
      <c r="AN22" s="69"/>
    </row>
    <row r="23" spans="1:48" ht="20.100000000000001" customHeight="1">
      <c r="A23" s="38">
        <v>8</v>
      </c>
      <c r="B23" s="214"/>
      <c r="C23" s="215"/>
      <c r="D23" s="216"/>
      <c r="E23" s="217"/>
      <c r="F23" s="217"/>
      <c r="G23" s="43">
        <f t="shared" si="2"/>
        <v>0</v>
      </c>
      <c r="H23" s="799"/>
      <c r="I23" s="800"/>
      <c r="J23" s="50" t="str">
        <f>IF(X23="◎",COUNTIF($X$16:X23,"◎"),"")</f>
        <v/>
      </c>
      <c r="V23" s="25" t="s">
        <v>68</v>
      </c>
      <c r="W23" s="329">
        <v>8</v>
      </c>
      <c r="X23" s="50" t="str">
        <f t="shared" si="3"/>
        <v>○</v>
      </c>
      <c r="Y23" s="325" t="str">
        <f t="shared" si="4"/>
        <v>申請しない場合は入力不要です。</v>
      </c>
      <c r="Z23" s="232" t="str">
        <f t="shared" si="0"/>
        <v>○</v>
      </c>
      <c r="AA23" s="232" t="str">
        <f t="shared" si="1"/>
        <v>○</v>
      </c>
      <c r="AB23" s="232" t="str">
        <f t="shared" si="5"/>
        <v>○</v>
      </c>
      <c r="AC23" s="74" t="str">
        <f t="shared" si="6"/>
        <v/>
      </c>
      <c r="AD23" s="380"/>
    </row>
    <row r="24" spans="1:48" ht="20.100000000000001" customHeight="1">
      <c r="A24" s="38">
        <v>9</v>
      </c>
      <c r="B24" s="214"/>
      <c r="C24" s="215"/>
      <c r="D24" s="216"/>
      <c r="E24" s="217"/>
      <c r="F24" s="217"/>
      <c r="G24" s="43">
        <f t="shared" si="2"/>
        <v>0</v>
      </c>
      <c r="H24" s="799"/>
      <c r="I24" s="800"/>
      <c r="J24" s="50" t="str">
        <f>IF(X24="◎",COUNTIF($X$16:X24,"◎"),"")</f>
        <v/>
      </c>
      <c r="V24" s="25" t="s">
        <v>68</v>
      </c>
      <c r="W24" s="329">
        <v>9</v>
      </c>
      <c r="X24" s="50" t="str">
        <f t="shared" si="3"/>
        <v>○</v>
      </c>
      <c r="Y24" s="325" t="str">
        <f t="shared" si="4"/>
        <v>申請しない場合は入力不要です。</v>
      </c>
      <c r="Z24" s="232" t="str">
        <f t="shared" si="0"/>
        <v>○</v>
      </c>
      <c r="AA24" s="232" t="str">
        <f t="shared" si="1"/>
        <v>○</v>
      </c>
      <c r="AB24" s="232" t="str">
        <f t="shared" si="5"/>
        <v>○</v>
      </c>
      <c r="AC24" s="74" t="str">
        <f t="shared" si="6"/>
        <v/>
      </c>
      <c r="AD24" s="380"/>
    </row>
    <row r="25" spans="1:48" ht="20.100000000000001" customHeight="1">
      <c r="A25" s="38">
        <v>10</v>
      </c>
      <c r="B25" s="214"/>
      <c r="C25" s="215"/>
      <c r="D25" s="216"/>
      <c r="E25" s="217"/>
      <c r="F25" s="217"/>
      <c r="G25" s="43">
        <f t="shared" si="2"/>
        <v>0</v>
      </c>
      <c r="H25" s="799"/>
      <c r="I25" s="800"/>
      <c r="J25" s="50" t="str">
        <f>IF(X25="◎",COUNTIF($X$16:X25,"◎"),"")</f>
        <v/>
      </c>
      <c r="V25" s="25" t="s">
        <v>68</v>
      </c>
      <c r="W25" s="329">
        <v>10</v>
      </c>
      <c r="X25" s="50" t="str">
        <f t="shared" si="3"/>
        <v>○</v>
      </c>
      <c r="Y25" s="325" t="str">
        <f t="shared" si="4"/>
        <v>申請しない場合は入力不要です。</v>
      </c>
      <c r="Z25" s="232" t="str">
        <f t="shared" si="0"/>
        <v>○</v>
      </c>
      <c r="AA25" s="232" t="str">
        <f t="shared" si="1"/>
        <v>○</v>
      </c>
      <c r="AB25" s="232" t="str">
        <f t="shared" si="5"/>
        <v>○</v>
      </c>
      <c r="AC25" s="74" t="str">
        <f t="shared" si="6"/>
        <v/>
      </c>
      <c r="AD25" s="380"/>
    </row>
    <row r="26" spans="1:48" ht="20.100000000000001" customHeight="1">
      <c r="A26" s="38">
        <v>11</v>
      </c>
      <c r="B26" s="214"/>
      <c r="C26" s="215"/>
      <c r="D26" s="216"/>
      <c r="E26" s="217"/>
      <c r="F26" s="217"/>
      <c r="G26" s="43">
        <f t="shared" si="2"/>
        <v>0</v>
      </c>
      <c r="H26" s="799"/>
      <c r="I26" s="800"/>
      <c r="J26" s="50" t="str">
        <f>IF(X26="◎",COUNTIF($X$16:X26,"◎"),"")</f>
        <v/>
      </c>
      <c r="V26" s="25" t="s">
        <v>68</v>
      </c>
      <c r="W26" s="329">
        <v>11</v>
      </c>
      <c r="X26" s="50" t="str">
        <f t="shared" si="3"/>
        <v>○</v>
      </c>
      <c r="Y26" s="325" t="str">
        <f t="shared" si="4"/>
        <v>申請しない場合は入力不要です。</v>
      </c>
      <c r="Z26" s="232" t="str">
        <f t="shared" si="0"/>
        <v>○</v>
      </c>
      <c r="AA26" s="232" t="str">
        <f t="shared" si="1"/>
        <v>○</v>
      </c>
      <c r="AB26" s="232" t="str">
        <f t="shared" si="5"/>
        <v>○</v>
      </c>
      <c r="AC26" s="74" t="str">
        <f t="shared" si="6"/>
        <v/>
      </c>
      <c r="AD26" s="380"/>
    </row>
    <row r="27" spans="1:48" ht="20.100000000000001" customHeight="1">
      <c r="A27" s="38">
        <v>12</v>
      </c>
      <c r="B27" s="214"/>
      <c r="C27" s="215"/>
      <c r="D27" s="216"/>
      <c r="E27" s="217"/>
      <c r="F27" s="217"/>
      <c r="G27" s="43">
        <f t="shared" si="2"/>
        <v>0</v>
      </c>
      <c r="H27" s="799"/>
      <c r="I27" s="800"/>
      <c r="J27" s="50" t="str">
        <f>IF(X27="◎",COUNTIF($X$16:X27,"◎"),"")</f>
        <v/>
      </c>
      <c r="V27" s="25" t="s">
        <v>68</v>
      </c>
      <c r="W27" s="329">
        <v>12</v>
      </c>
      <c r="X27" s="50" t="str">
        <f t="shared" si="3"/>
        <v>○</v>
      </c>
      <c r="Y27" s="325" t="str">
        <f t="shared" si="4"/>
        <v>申請しない場合は入力不要です。</v>
      </c>
      <c r="Z27" s="232" t="str">
        <f t="shared" si="0"/>
        <v>○</v>
      </c>
      <c r="AA27" s="232" t="str">
        <f t="shared" si="1"/>
        <v>○</v>
      </c>
      <c r="AB27" s="232" t="str">
        <f t="shared" si="5"/>
        <v>○</v>
      </c>
      <c r="AC27" s="74" t="str">
        <f t="shared" si="6"/>
        <v/>
      </c>
      <c r="AD27" s="380"/>
    </row>
    <row r="28" spans="1:48" ht="20.100000000000001" customHeight="1">
      <c r="A28" s="38">
        <v>13</v>
      </c>
      <c r="B28" s="214"/>
      <c r="C28" s="215"/>
      <c r="D28" s="216"/>
      <c r="E28" s="217"/>
      <c r="F28" s="217"/>
      <c r="G28" s="43">
        <f t="shared" si="2"/>
        <v>0</v>
      </c>
      <c r="H28" s="799"/>
      <c r="I28" s="800"/>
      <c r="J28" s="50" t="str">
        <f>IF(X28="◎",COUNTIF($X$16:X28,"◎"),"")</f>
        <v/>
      </c>
      <c r="V28" s="25" t="s">
        <v>68</v>
      </c>
      <c r="W28" s="329">
        <v>13</v>
      </c>
      <c r="X28" s="50" t="str">
        <f t="shared" si="3"/>
        <v>○</v>
      </c>
      <c r="Y28" s="325" t="str">
        <f t="shared" si="4"/>
        <v>申請しない場合は入力不要です。</v>
      </c>
      <c r="Z28" s="232" t="str">
        <f t="shared" si="0"/>
        <v>○</v>
      </c>
      <c r="AA28" s="232" t="str">
        <f t="shared" si="1"/>
        <v>○</v>
      </c>
      <c r="AB28" s="232" t="str">
        <f t="shared" si="5"/>
        <v>○</v>
      </c>
      <c r="AC28" s="74" t="str">
        <f t="shared" si="6"/>
        <v/>
      </c>
      <c r="AD28" s="380"/>
    </row>
    <row r="29" spans="1:48" ht="20.100000000000001" customHeight="1">
      <c r="A29" s="38">
        <v>14</v>
      </c>
      <c r="B29" s="214"/>
      <c r="C29" s="215"/>
      <c r="D29" s="216"/>
      <c r="E29" s="217"/>
      <c r="F29" s="217"/>
      <c r="G29" s="43">
        <f t="shared" si="2"/>
        <v>0</v>
      </c>
      <c r="H29" s="799"/>
      <c r="I29" s="800"/>
      <c r="J29" s="50" t="str">
        <f>IF(X29="◎",COUNTIF($X$16:X29,"◎"),"")</f>
        <v/>
      </c>
      <c r="V29" s="25" t="s">
        <v>68</v>
      </c>
      <c r="W29" s="329">
        <v>14</v>
      </c>
      <c r="X29" s="50" t="str">
        <f t="shared" si="3"/>
        <v>○</v>
      </c>
      <c r="Y29" s="325" t="str">
        <f t="shared" si="4"/>
        <v>申請しない場合は入力不要です。</v>
      </c>
      <c r="Z29" s="232" t="str">
        <f t="shared" si="0"/>
        <v>○</v>
      </c>
      <c r="AA29" s="232" t="str">
        <f t="shared" si="1"/>
        <v>○</v>
      </c>
      <c r="AB29" s="232" t="str">
        <f t="shared" si="5"/>
        <v>○</v>
      </c>
      <c r="AC29" s="74" t="str">
        <f t="shared" si="6"/>
        <v/>
      </c>
      <c r="AD29" s="380"/>
    </row>
    <row r="30" spans="1:48" ht="20.100000000000001" customHeight="1">
      <c r="A30" s="38">
        <v>15</v>
      </c>
      <c r="B30" s="214"/>
      <c r="C30" s="215"/>
      <c r="D30" s="216"/>
      <c r="E30" s="217"/>
      <c r="F30" s="217"/>
      <c r="G30" s="43">
        <f t="shared" si="2"/>
        <v>0</v>
      </c>
      <c r="H30" s="799"/>
      <c r="I30" s="800"/>
      <c r="J30" s="50" t="str">
        <f>IF(X30="◎",COUNTIF($X$16:X30,"◎"),"")</f>
        <v/>
      </c>
      <c r="V30" s="25" t="s">
        <v>68</v>
      </c>
      <c r="W30" s="329">
        <v>15</v>
      </c>
      <c r="X30" s="50" t="str">
        <f t="shared" si="3"/>
        <v>○</v>
      </c>
      <c r="Y30" s="325" t="str">
        <f t="shared" si="4"/>
        <v>申請しない場合は入力不要です。</v>
      </c>
      <c r="Z30" s="232" t="str">
        <f t="shared" si="0"/>
        <v>○</v>
      </c>
      <c r="AA30" s="232" t="str">
        <f t="shared" si="1"/>
        <v>○</v>
      </c>
      <c r="AB30" s="232" t="str">
        <f t="shared" si="5"/>
        <v>○</v>
      </c>
      <c r="AC30" s="74" t="str">
        <f t="shared" si="6"/>
        <v/>
      </c>
      <c r="AD30" s="380"/>
    </row>
    <row r="31" spans="1:48" ht="20.100000000000001" customHeight="1">
      <c r="A31" s="38">
        <v>16</v>
      </c>
      <c r="B31" s="214"/>
      <c r="C31" s="215"/>
      <c r="D31" s="216"/>
      <c r="E31" s="217"/>
      <c r="F31" s="217"/>
      <c r="G31" s="43">
        <f t="shared" si="2"/>
        <v>0</v>
      </c>
      <c r="H31" s="799"/>
      <c r="I31" s="800"/>
      <c r="J31" s="50" t="str">
        <f>IF(X31="◎",COUNTIF($X$16:X31,"◎"),"")</f>
        <v/>
      </c>
      <c r="V31" s="25" t="s">
        <v>68</v>
      </c>
      <c r="W31" s="329">
        <v>16</v>
      </c>
      <c r="X31" s="50" t="str">
        <f t="shared" si="3"/>
        <v>○</v>
      </c>
      <c r="Y31" s="325" t="str">
        <f t="shared" si="4"/>
        <v>申請しない場合は入力不要です。</v>
      </c>
      <c r="Z31" s="232" t="str">
        <f t="shared" si="0"/>
        <v>○</v>
      </c>
      <c r="AA31" s="232" t="str">
        <f t="shared" si="1"/>
        <v>○</v>
      </c>
      <c r="AB31" s="232" t="str">
        <f t="shared" si="5"/>
        <v>○</v>
      </c>
      <c r="AC31" s="74" t="str">
        <f t="shared" si="6"/>
        <v/>
      </c>
      <c r="AD31" s="380"/>
    </row>
    <row r="32" spans="1:48" ht="20.100000000000001" customHeight="1">
      <c r="A32" s="38">
        <v>17</v>
      </c>
      <c r="B32" s="214"/>
      <c r="C32" s="215"/>
      <c r="D32" s="216"/>
      <c r="E32" s="217"/>
      <c r="F32" s="217"/>
      <c r="G32" s="43">
        <f t="shared" si="2"/>
        <v>0</v>
      </c>
      <c r="H32" s="799"/>
      <c r="I32" s="800"/>
      <c r="J32" s="50" t="str">
        <f>IF(X32="◎",COUNTIF($X$16:X32,"◎"),"")</f>
        <v/>
      </c>
      <c r="V32" s="25" t="s">
        <v>68</v>
      </c>
      <c r="W32" s="329">
        <v>17</v>
      </c>
      <c r="X32" s="50" t="str">
        <f t="shared" si="3"/>
        <v>○</v>
      </c>
      <c r="Y32" s="325" t="str">
        <f t="shared" si="4"/>
        <v>申請しない場合は入力不要です。</v>
      </c>
      <c r="Z32" s="232" t="str">
        <f t="shared" si="0"/>
        <v>○</v>
      </c>
      <c r="AA32" s="232" t="str">
        <f t="shared" si="1"/>
        <v>○</v>
      </c>
      <c r="AB32" s="232" t="str">
        <f t="shared" si="5"/>
        <v>○</v>
      </c>
      <c r="AC32" s="74" t="str">
        <f t="shared" si="6"/>
        <v/>
      </c>
      <c r="AD32" s="380"/>
    </row>
    <row r="33" spans="1:30" ht="20.100000000000001" customHeight="1">
      <c r="A33" s="38">
        <v>18</v>
      </c>
      <c r="B33" s="214"/>
      <c r="C33" s="215"/>
      <c r="D33" s="216"/>
      <c r="E33" s="217"/>
      <c r="F33" s="217"/>
      <c r="G33" s="43">
        <f t="shared" si="2"/>
        <v>0</v>
      </c>
      <c r="H33" s="799"/>
      <c r="I33" s="800"/>
      <c r="J33" s="50" t="str">
        <f>IF(X33="◎",COUNTIF($X$16:X33,"◎"),"")</f>
        <v/>
      </c>
      <c r="V33" s="25" t="s">
        <v>68</v>
      </c>
      <c r="W33" s="329">
        <v>18</v>
      </c>
      <c r="X33" s="50" t="str">
        <f t="shared" si="3"/>
        <v>○</v>
      </c>
      <c r="Y33" s="325" t="str">
        <f t="shared" si="4"/>
        <v>申請しない場合は入力不要です。</v>
      </c>
      <c r="Z33" s="232" t="str">
        <f t="shared" si="0"/>
        <v>○</v>
      </c>
      <c r="AA33" s="232" t="str">
        <f t="shared" si="1"/>
        <v>○</v>
      </c>
      <c r="AB33" s="232" t="str">
        <f t="shared" si="5"/>
        <v>○</v>
      </c>
      <c r="AC33" s="74" t="str">
        <f t="shared" si="6"/>
        <v/>
      </c>
      <c r="AD33" s="380"/>
    </row>
    <row r="34" spans="1:30" ht="20.100000000000001" customHeight="1">
      <c r="A34" s="38">
        <v>19</v>
      </c>
      <c r="B34" s="214"/>
      <c r="C34" s="215"/>
      <c r="D34" s="216"/>
      <c r="E34" s="217"/>
      <c r="F34" s="217"/>
      <c r="G34" s="43">
        <f t="shared" si="2"/>
        <v>0</v>
      </c>
      <c r="H34" s="799"/>
      <c r="I34" s="800"/>
      <c r="J34" s="50" t="str">
        <f>IF(X34="◎",COUNTIF($X$16:X34,"◎"),"")</f>
        <v/>
      </c>
      <c r="V34" s="25" t="s">
        <v>68</v>
      </c>
      <c r="W34" s="329">
        <v>19</v>
      </c>
      <c r="X34" s="50" t="str">
        <f t="shared" si="3"/>
        <v>○</v>
      </c>
      <c r="Y34" s="325" t="str">
        <f t="shared" si="4"/>
        <v>申請しない場合は入力不要です。</v>
      </c>
      <c r="Z34" s="232" t="str">
        <f t="shared" si="0"/>
        <v>○</v>
      </c>
      <c r="AA34" s="232" t="str">
        <f t="shared" si="1"/>
        <v>○</v>
      </c>
      <c r="AB34" s="232" t="str">
        <f t="shared" si="5"/>
        <v>○</v>
      </c>
      <c r="AC34" s="74" t="str">
        <f t="shared" si="6"/>
        <v/>
      </c>
      <c r="AD34" s="380"/>
    </row>
    <row r="35" spans="1:30" ht="20.100000000000001" customHeight="1">
      <c r="A35" s="38">
        <v>20</v>
      </c>
      <c r="B35" s="214"/>
      <c r="C35" s="215"/>
      <c r="D35" s="216"/>
      <c r="E35" s="217"/>
      <c r="F35" s="217"/>
      <c r="G35" s="43">
        <f t="shared" si="2"/>
        <v>0</v>
      </c>
      <c r="H35" s="799"/>
      <c r="I35" s="800"/>
      <c r="J35" s="50" t="str">
        <f>IF(X35="◎",COUNTIF($X$16:X35,"◎"),"")</f>
        <v/>
      </c>
      <c r="V35" s="25" t="s">
        <v>68</v>
      </c>
      <c r="W35" s="329">
        <v>20</v>
      </c>
      <c r="X35" s="50" t="str">
        <f t="shared" si="3"/>
        <v>○</v>
      </c>
      <c r="Y35" s="325" t="str">
        <f t="shared" si="4"/>
        <v>申請しない場合は入力不要です。</v>
      </c>
      <c r="Z35" s="232" t="str">
        <f t="shared" si="0"/>
        <v>○</v>
      </c>
      <c r="AA35" s="232" t="str">
        <f t="shared" si="1"/>
        <v>○</v>
      </c>
      <c r="AB35" s="232" t="str">
        <f t="shared" si="5"/>
        <v>○</v>
      </c>
      <c r="AC35" s="74" t="str">
        <f t="shared" si="6"/>
        <v/>
      </c>
      <c r="AD35" s="380"/>
    </row>
    <row r="36" spans="1:30" ht="20.100000000000001" customHeight="1">
      <c r="A36" s="38">
        <v>21</v>
      </c>
      <c r="B36" s="214"/>
      <c r="C36" s="215"/>
      <c r="D36" s="216"/>
      <c r="E36" s="217"/>
      <c r="F36" s="217"/>
      <c r="G36" s="43">
        <f t="shared" si="2"/>
        <v>0</v>
      </c>
      <c r="H36" s="799"/>
      <c r="I36" s="800"/>
      <c r="J36" s="50" t="str">
        <f>IF(X36="◎",COUNTIF($X$16:X36,"◎"),"")</f>
        <v/>
      </c>
      <c r="V36" s="25" t="s">
        <v>68</v>
      </c>
      <c r="W36" s="329">
        <v>21</v>
      </c>
      <c r="X36" s="50" t="str">
        <f t="shared" si="3"/>
        <v>○</v>
      </c>
      <c r="Y36" s="325" t="str">
        <f t="shared" si="4"/>
        <v>申請しない場合は入力不要です。</v>
      </c>
      <c r="Z36" s="232" t="str">
        <f t="shared" si="0"/>
        <v>○</v>
      </c>
      <c r="AA36" s="232" t="str">
        <f t="shared" si="1"/>
        <v>○</v>
      </c>
      <c r="AB36" s="232" t="str">
        <f t="shared" si="5"/>
        <v>○</v>
      </c>
      <c r="AC36" s="74" t="str">
        <f t="shared" si="6"/>
        <v/>
      </c>
      <c r="AD36" s="380"/>
    </row>
    <row r="37" spans="1:30" ht="20.100000000000001" customHeight="1">
      <c r="A37" s="38">
        <v>22</v>
      </c>
      <c r="B37" s="214"/>
      <c r="C37" s="215"/>
      <c r="D37" s="216"/>
      <c r="E37" s="217"/>
      <c r="F37" s="217"/>
      <c r="G37" s="43">
        <f t="shared" si="2"/>
        <v>0</v>
      </c>
      <c r="H37" s="799"/>
      <c r="I37" s="800"/>
      <c r="J37" s="50" t="str">
        <f>IF(X37="◎",COUNTIF($X$16:X37,"◎"),"")</f>
        <v/>
      </c>
      <c r="V37" s="25" t="s">
        <v>68</v>
      </c>
      <c r="W37" s="329">
        <v>22</v>
      </c>
      <c r="X37" s="50" t="str">
        <f t="shared" si="3"/>
        <v>○</v>
      </c>
      <c r="Y37" s="325" t="str">
        <f t="shared" si="4"/>
        <v>申請しない場合は入力不要です。</v>
      </c>
      <c r="Z37" s="232" t="str">
        <f t="shared" si="0"/>
        <v>○</v>
      </c>
      <c r="AA37" s="232" t="str">
        <f t="shared" si="1"/>
        <v>○</v>
      </c>
      <c r="AB37" s="232" t="str">
        <f t="shared" si="5"/>
        <v>○</v>
      </c>
      <c r="AC37" s="74" t="str">
        <f t="shared" si="6"/>
        <v/>
      </c>
      <c r="AD37" s="380"/>
    </row>
    <row r="38" spans="1:30" ht="20.100000000000001" customHeight="1">
      <c r="A38" s="38">
        <v>23</v>
      </c>
      <c r="B38" s="214"/>
      <c r="C38" s="215"/>
      <c r="D38" s="216"/>
      <c r="E38" s="217"/>
      <c r="F38" s="217"/>
      <c r="G38" s="43">
        <f t="shared" si="2"/>
        <v>0</v>
      </c>
      <c r="H38" s="799"/>
      <c r="I38" s="800"/>
      <c r="J38" s="50" t="str">
        <f>IF(X38="◎",COUNTIF($X$16:X38,"◎"),"")</f>
        <v/>
      </c>
      <c r="V38" s="25" t="s">
        <v>68</v>
      </c>
      <c r="W38" s="329">
        <v>23</v>
      </c>
      <c r="X38" s="50" t="str">
        <f t="shared" si="3"/>
        <v>○</v>
      </c>
      <c r="Y38" s="325" t="str">
        <f t="shared" si="4"/>
        <v>申請しない場合は入力不要です。</v>
      </c>
      <c r="Z38" s="232" t="str">
        <f t="shared" si="0"/>
        <v>○</v>
      </c>
      <c r="AA38" s="232" t="str">
        <f t="shared" si="1"/>
        <v>○</v>
      </c>
      <c r="AB38" s="232" t="str">
        <f t="shared" si="5"/>
        <v>○</v>
      </c>
      <c r="AC38" s="74" t="str">
        <f t="shared" si="6"/>
        <v/>
      </c>
      <c r="AD38" s="380"/>
    </row>
    <row r="39" spans="1:30" ht="20.100000000000001" customHeight="1">
      <c r="A39" s="38">
        <v>24</v>
      </c>
      <c r="B39" s="214"/>
      <c r="C39" s="215"/>
      <c r="D39" s="216"/>
      <c r="E39" s="217"/>
      <c r="F39" s="217"/>
      <c r="G39" s="43">
        <f t="shared" si="2"/>
        <v>0</v>
      </c>
      <c r="H39" s="799"/>
      <c r="I39" s="800"/>
      <c r="J39" s="50" t="str">
        <f>IF(X39="◎",COUNTIF($X$16:X39,"◎"),"")</f>
        <v/>
      </c>
      <c r="V39" s="25" t="s">
        <v>68</v>
      </c>
      <c r="W39" s="329">
        <v>24</v>
      </c>
      <c r="X39" s="50" t="str">
        <f t="shared" si="3"/>
        <v>○</v>
      </c>
      <c r="Y39" s="325" t="str">
        <f t="shared" si="4"/>
        <v>申請しない場合は入力不要です。</v>
      </c>
      <c r="Z39" s="232" t="str">
        <f t="shared" si="0"/>
        <v>○</v>
      </c>
      <c r="AA39" s="232" t="str">
        <f t="shared" si="1"/>
        <v>○</v>
      </c>
      <c r="AB39" s="232" t="str">
        <f t="shared" si="5"/>
        <v>○</v>
      </c>
      <c r="AC39" s="74" t="str">
        <f t="shared" si="6"/>
        <v/>
      </c>
      <c r="AD39" s="380"/>
    </row>
    <row r="40" spans="1:30" ht="20.100000000000001" customHeight="1">
      <c r="A40" s="38">
        <v>25</v>
      </c>
      <c r="B40" s="214"/>
      <c r="C40" s="215"/>
      <c r="D40" s="216"/>
      <c r="E40" s="217"/>
      <c r="F40" s="217"/>
      <c r="G40" s="43">
        <f t="shared" si="2"/>
        <v>0</v>
      </c>
      <c r="H40" s="799"/>
      <c r="I40" s="800"/>
      <c r="J40" s="50" t="str">
        <f>IF(X40="◎",COUNTIF($X$16:X40,"◎"),"")</f>
        <v/>
      </c>
      <c r="V40" s="25" t="s">
        <v>68</v>
      </c>
      <c r="W40" s="329">
        <v>25</v>
      </c>
      <c r="X40" s="50" t="str">
        <f t="shared" si="3"/>
        <v>○</v>
      </c>
      <c r="Y40" s="325" t="str">
        <f t="shared" si="4"/>
        <v>申請しない場合は入力不要です。</v>
      </c>
      <c r="Z40" s="232" t="str">
        <f t="shared" si="0"/>
        <v>○</v>
      </c>
      <c r="AA40" s="232" t="str">
        <f t="shared" si="1"/>
        <v>○</v>
      </c>
      <c r="AB40" s="232" t="str">
        <f t="shared" si="5"/>
        <v>○</v>
      </c>
      <c r="AC40" s="74" t="str">
        <f t="shared" si="6"/>
        <v/>
      </c>
      <c r="AD40" s="380"/>
    </row>
    <row r="41" spans="1:30" ht="20.100000000000001" customHeight="1">
      <c r="A41" s="38">
        <v>26</v>
      </c>
      <c r="B41" s="214"/>
      <c r="C41" s="215"/>
      <c r="D41" s="216"/>
      <c r="E41" s="217"/>
      <c r="F41" s="217"/>
      <c r="G41" s="43">
        <f t="shared" si="2"/>
        <v>0</v>
      </c>
      <c r="H41" s="799"/>
      <c r="I41" s="800"/>
      <c r="J41" s="50" t="str">
        <f>IF(X41="◎",COUNTIF($X$16:X41,"◎"),"")</f>
        <v/>
      </c>
      <c r="V41" s="25" t="s">
        <v>68</v>
      </c>
      <c r="W41" s="329">
        <v>26</v>
      </c>
      <c r="X41" s="50" t="str">
        <f t="shared" si="3"/>
        <v>○</v>
      </c>
      <c r="Y41" s="325" t="str">
        <f t="shared" si="4"/>
        <v>申請しない場合は入力不要です。</v>
      </c>
      <c r="Z41" s="232" t="str">
        <f t="shared" si="0"/>
        <v>○</v>
      </c>
      <c r="AA41" s="232" t="str">
        <f t="shared" si="1"/>
        <v>○</v>
      </c>
      <c r="AB41" s="232" t="str">
        <f t="shared" si="5"/>
        <v>○</v>
      </c>
      <c r="AC41" s="74" t="str">
        <f t="shared" si="6"/>
        <v/>
      </c>
      <c r="AD41" s="380"/>
    </row>
    <row r="42" spans="1:30" ht="20.100000000000001" customHeight="1">
      <c r="A42" s="38">
        <v>27</v>
      </c>
      <c r="B42" s="214"/>
      <c r="C42" s="215"/>
      <c r="D42" s="216"/>
      <c r="E42" s="217"/>
      <c r="F42" s="217"/>
      <c r="G42" s="43">
        <f t="shared" si="2"/>
        <v>0</v>
      </c>
      <c r="H42" s="799"/>
      <c r="I42" s="800"/>
      <c r="J42" s="50" t="str">
        <f>IF(X42="◎",COUNTIF($X$16:X42,"◎"),"")</f>
        <v/>
      </c>
      <c r="V42" s="25" t="s">
        <v>68</v>
      </c>
      <c r="W42" s="329">
        <v>27</v>
      </c>
      <c r="X42" s="50" t="str">
        <f t="shared" si="3"/>
        <v>○</v>
      </c>
      <c r="Y42" s="325" t="str">
        <f t="shared" si="4"/>
        <v>申請しない場合は入力不要です。</v>
      </c>
      <c r="Z42" s="232" t="str">
        <f t="shared" si="0"/>
        <v>○</v>
      </c>
      <c r="AA42" s="232" t="str">
        <f t="shared" si="1"/>
        <v>○</v>
      </c>
      <c r="AB42" s="232" t="str">
        <f t="shared" si="5"/>
        <v>○</v>
      </c>
      <c r="AC42" s="74" t="str">
        <f t="shared" si="6"/>
        <v/>
      </c>
      <c r="AD42" s="380"/>
    </row>
    <row r="43" spans="1:30" ht="20.100000000000001" customHeight="1">
      <c r="A43" s="38">
        <v>28</v>
      </c>
      <c r="B43" s="214"/>
      <c r="C43" s="215"/>
      <c r="D43" s="216"/>
      <c r="E43" s="217"/>
      <c r="F43" s="217"/>
      <c r="G43" s="43">
        <f t="shared" si="2"/>
        <v>0</v>
      </c>
      <c r="H43" s="799"/>
      <c r="I43" s="800"/>
      <c r="J43" s="50" t="str">
        <f>IF(X43="◎",COUNTIF($X$16:X43,"◎"),"")</f>
        <v/>
      </c>
      <c r="V43" s="25" t="s">
        <v>68</v>
      </c>
      <c r="W43" s="329">
        <v>28</v>
      </c>
      <c r="X43" s="50" t="str">
        <f t="shared" si="3"/>
        <v>○</v>
      </c>
      <c r="Y43" s="325" t="str">
        <f t="shared" si="4"/>
        <v>申請しない場合は入力不要です。</v>
      </c>
      <c r="Z43" s="232" t="str">
        <f t="shared" si="0"/>
        <v>○</v>
      </c>
      <c r="AA43" s="232" t="str">
        <f t="shared" si="1"/>
        <v>○</v>
      </c>
      <c r="AB43" s="232" t="str">
        <f t="shared" si="5"/>
        <v>○</v>
      </c>
      <c r="AC43" s="74" t="str">
        <f t="shared" si="6"/>
        <v/>
      </c>
      <c r="AD43" s="380"/>
    </row>
    <row r="44" spans="1:30" ht="20.100000000000001" customHeight="1">
      <c r="A44" s="38">
        <v>29</v>
      </c>
      <c r="B44" s="214"/>
      <c r="C44" s="215"/>
      <c r="D44" s="216"/>
      <c r="E44" s="217"/>
      <c r="F44" s="217"/>
      <c r="G44" s="43">
        <f t="shared" si="2"/>
        <v>0</v>
      </c>
      <c r="H44" s="799"/>
      <c r="I44" s="800"/>
      <c r="J44" s="50" t="str">
        <f>IF(X44="◎",COUNTIF($X$16:X44,"◎"),"")</f>
        <v/>
      </c>
      <c r="V44" s="25" t="s">
        <v>68</v>
      </c>
      <c r="W44" s="329">
        <v>29</v>
      </c>
      <c r="X44" s="50" t="str">
        <f t="shared" si="3"/>
        <v>○</v>
      </c>
      <c r="Y44" s="325" t="str">
        <f t="shared" si="4"/>
        <v>申請しない場合は入力不要です。</v>
      </c>
      <c r="Z44" s="232" t="str">
        <f t="shared" si="0"/>
        <v>○</v>
      </c>
      <c r="AA44" s="232" t="str">
        <f t="shared" si="1"/>
        <v>○</v>
      </c>
      <c r="AB44" s="232" t="str">
        <f t="shared" si="5"/>
        <v>○</v>
      </c>
      <c r="AC44" s="74" t="str">
        <f t="shared" si="6"/>
        <v/>
      </c>
      <c r="AD44" s="380"/>
    </row>
    <row r="45" spans="1:30" ht="20.100000000000001" customHeight="1">
      <c r="A45" s="38">
        <v>30</v>
      </c>
      <c r="B45" s="214"/>
      <c r="C45" s="215"/>
      <c r="D45" s="216"/>
      <c r="E45" s="217"/>
      <c r="F45" s="217"/>
      <c r="G45" s="43">
        <f t="shared" si="2"/>
        <v>0</v>
      </c>
      <c r="H45" s="799"/>
      <c r="I45" s="800"/>
      <c r="J45" s="50" t="str">
        <f>IF(X45="◎",COUNTIF($X$16:X45,"◎"),"")</f>
        <v/>
      </c>
      <c r="V45" s="25" t="s">
        <v>68</v>
      </c>
      <c r="W45" s="329">
        <v>30</v>
      </c>
      <c r="X45" s="50" t="str">
        <f t="shared" si="3"/>
        <v>○</v>
      </c>
      <c r="Y45" s="325" t="str">
        <f t="shared" si="4"/>
        <v>申請しない場合は入力不要です。</v>
      </c>
      <c r="Z45" s="232" t="str">
        <f t="shared" si="0"/>
        <v>○</v>
      </c>
      <c r="AA45" s="232" t="str">
        <f t="shared" si="1"/>
        <v>○</v>
      </c>
      <c r="AB45" s="232" t="str">
        <f t="shared" si="5"/>
        <v>○</v>
      </c>
      <c r="AC45" s="74" t="str">
        <f t="shared" si="6"/>
        <v/>
      </c>
      <c r="AD45" s="380"/>
    </row>
    <row r="50" spans="22:22" ht="20.100000000000001" customHeight="1">
      <c r="V50" s="67" t="s">
        <v>86</v>
      </c>
    </row>
    <row r="51" spans="22:22" ht="20.100000000000001" customHeight="1">
      <c r="V51" s="67" t="s">
        <v>87</v>
      </c>
    </row>
    <row r="52" spans="22:22" ht="20.100000000000001" customHeight="1">
      <c r="V52" s="67" t="s">
        <v>88</v>
      </c>
    </row>
    <row r="71" spans="31:42" ht="19.5" customHeight="1">
      <c r="AE71" s="789" t="s">
        <v>120</v>
      </c>
      <c r="AF71" s="790"/>
      <c r="AG71" s="790"/>
      <c r="AH71" s="50" t="s">
        <v>64</v>
      </c>
      <c r="AI71" s="50" t="s">
        <v>122</v>
      </c>
      <c r="AJ71" s="791" t="s">
        <v>121</v>
      </c>
      <c r="AK71" s="792"/>
      <c r="AL71" s="792"/>
      <c r="AM71" s="792"/>
      <c r="AN71" s="792"/>
      <c r="AO71" s="792"/>
      <c r="AP71" s="793"/>
    </row>
    <row r="72" spans="31:42" ht="20.100000000000001" customHeight="1">
      <c r="AE72" s="794" t="s">
        <v>119</v>
      </c>
      <c r="AF72" s="790"/>
      <c r="AG72" s="790"/>
      <c r="AH72" s="50" t="str">
        <f>IF(AND(X9="×",X10="×"),"×",
IF(AND(X9="×",X10="○"),"×",
IF(AND(X9="×",X10="◎"),"×",
IF(AND(X9="○",X10="×"),"×",
IF(AND(X9="○",X10="○"),"○",
IF(AND(X9="○",X10="◎"),"×",
IF(AND(X9="◎",X10="×"),"×",
IF(AND(X9="◎",X10="○"),"×",
IF(AND(X9="◎",X10="◎"),"◎",
)))))))))</f>
        <v>○</v>
      </c>
      <c r="AI72" s="748" t="str">
        <f xml:space="preserve">
IF(AND(AH72="×",AH73="×"),"×",
IF(AND(AH72="×",AH73="○"),"×",
IF(AND(AH72="×",AH73="◎"),"×",
IF(AND(AH72="○",AH73="×"),"×",
IF(AND(AH72="○",AH73="○"),"○",
IF(AND(AH72="○",AH73="◎"),"×",
IF(AND(AH72="◎",AH73="×"),"×",
IF(AND(AH72="◎",AH73="○"),"×",
IF(AND(AH72="◎",AH73="◎"),"◎",
)))))))))</f>
        <v>○</v>
      </c>
      <c r="AJ72" s="795" t="str">
        <f xml:space="preserve">
IF(AND(AH72="×",AH73="×"),"【要修正】「１．はじめに」が入力不十分、「２．簡易診療室明細」が入力不十分",
IF(AND(AH72="×",AH73="○"),"【要修正】「１．はじめに」が入力不十分、「２．簡易診療室明細」が未入力",
IF(AND(AH72="×",AH73="◎"),"【要修正】「１．はじめに」が入力不十分",
IF(AND(AH72="○",AH73="×"),"【要修正】「１．はじめに」が未入力、「２．簡易診療室明細」が入力不十分",
IF(AND(AH72="○",AH73="○"),"申請しない場合は入力不要です。",
IF(AND(AH72="○",AH73="◎"),"【要修正】「１．はじめに」が未入力",
IF(AND(AH72="◎",AH73="×"),"【要修正】「２．簡易診療室明細」が入力不十分",
IF(AND(AH72="◎",AH73="○"),"【要修正】「２．簡易診療室明細」が未入力",
IF(AND(AH72="◎",AH73="◎"),"適切に入力がされました。"
)))))))))</f>
        <v>申請しない場合は入力不要です。</v>
      </c>
      <c r="AK72" s="796"/>
      <c r="AL72" s="796"/>
      <c r="AM72" s="796"/>
      <c r="AN72" s="796"/>
      <c r="AO72" s="796"/>
      <c r="AP72" s="797"/>
    </row>
    <row r="73" spans="31:42" ht="20.100000000000001" customHeight="1">
      <c r="AE73" s="794" t="s">
        <v>591</v>
      </c>
      <c r="AF73" s="790"/>
      <c r="AG73" s="790"/>
      <c r="AH73" s="50" t="str">
        <f>IF(COUNTIF(X16:X45,"×")&gt;=1,"×",IF(COUNTIF(X16:X45,"○")=30,"○","◎"))</f>
        <v>○</v>
      </c>
      <c r="AI73" s="790"/>
      <c r="AJ73" s="798"/>
      <c r="AK73" s="796"/>
      <c r="AL73" s="796"/>
      <c r="AM73" s="796"/>
      <c r="AN73" s="796"/>
      <c r="AO73" s="796"/>
      <c r="AP73" s="797"/>
    </row>
  </sheetData>
  <sheetProtection algorithmName="SHA-512" hashValue="afQ5GYTi4VIdJSM+fsmSdELXpSsa9uoDMfHteaJ/OqCULYrnRk4FT2WOCKfd2sSutmJY7dQp5yt7kOoGee6Czg==" saltValue="JHnAr5dXD3U+aAHpUNKzXw==" spinCount="100000" sheet="1" objects="1" scenarios="1"/>
  <mergeCells count="42">
    <mergeCell ref="H16:I16"/>
    <mergeCell ref="E2:G2"/>
    <mergeCell ref="B6:I6"/>
    <mergeCell ref="B7:I10"/>
    <mergeCell ref="H15:I15"/>
    <mergeCell ref="B13:J14"/>
    <mergeCell ref="H17:I17"/>
    <mergeCell ref="H18:I18"/>
    <mergeCell ref="AR18:AV21"/>
    <mergeCell ref="H19:I19"/>
    <mergeCell ref="H20:I20"/>
    <mergeCell ref="H21:I21"/>
    <mergeCell ref="H33:I33"/>
    <mergeCell ref="H22:I22"/>
    <mergeCell ref="H23:I23"/>
    <mergeCell ref="H24:I24"/>
    <mergeCell ref="H25:I25"/>
    <mergeCell ref="H26:I26"/>
    <mergeCell ref="H27:I27"/>
    <mergeCell ref="H28:I28"/>
    <mergeCell ref="H29:I29"/>
    <mergeCell ref="H30:I30"/>
    <mergeCell ref="H31:I31"/>
    <mergeCell ref="H32:I32"/>
    <mergeCell ref="H45:I45"/>
    <mergeCell ref="H34:I34"/>
    <mergeCell ref="H35:I35"/>
    <mergeCell ref="H36:I36"/>
    <mergeCell ref="H37:I37"/>
    <mergeCell ref="H38:I38"/>
    <mergeCell ref="H39:I39"/>
    <mergeCell ref="H40:I40"/>
    <mergeCell ref="H41:I41"/>
    <mergeCell ref="H42:I42"/>
    <mergeCell ref="H43:I43"/>
    <mergeCell ref="H44:I44"/>
    <mergeCell ref="AE71:AG71"/>
    <mergeCell ref="AJ71:AP71"/>
    <mergeCell ref="AE72:AG72"/>
    <mergeCell ref="AI72:AI73"/>
    <mergeCell ref="AJ72:AP73"/>
    <mergeCell ref="AE73:AG73"/>
  </mergeCells>
  <phoneticPr fontId="1"/>
  <conditionalFormatting sqref="X9:X10 AH12 AH72:AH73 X16:X45">
    <cfRule type="containsText" dxfId="74" priority="5" operator="containsText" text="×">
      <formula>NOT(ISERROR(SEARCH("×",X9)))</formula>
    </cfRule>
  </conditionalFormatting>
  <conditionalFormatting sqref="Y16:Y45">
    <cfRule type="containsText" dxfId="73" priority="4" operator="containsText" text="不備の点">
      <formula>NOT(ISERROR(SEARCH("不備の点",Y16)))</formula>
    </cfRule>
  </conditionalFormatting>
  <conditionalFormatting sqref="Y9:Y10">
    <cfRule type="containsText" dxfId="72" priority="3" operator="containsText" text="要修正">
      <formula>NOT(ISERROR(SEARCH("要修正",Y9)))</formula>
    </cfRule>
  </conditionalFormatting>
  <conditionalFormatting sqref="AI72">
    <cfRule type="containsText" dxfId="71" priority="2" operator="containsText" text="×">
      <formula>NOT(ISERROR(SEARCH("×",AI72)))</formula>
    </cfRule>
  </conditionalFormatting>
  <conditionalFormatting sqref="AJ72">
    <cfRule type="containsText" dxfId="70" priority="1" operator="containsText" text="要修正">
      <formula>NOT(ISERROR(SEARCH("要修正",AJ72)))</formula>
    </cfRule>
  </conditionalFormatting>
  <dataValidations count="4">
    <dataValidation type="list" allowBlank="1" showInputMessage="1" showErrorMessage="1" promptTitle="種類を選択" prompt="購入またはリース品の種別をプルダウンから選択してください。_x000a_！消耗品類は補助対象外のため計上しないでください！" sqref="B16:B45">
      <formula1>$V$50:$V$52</formula1>
    </dataValidation>
    <dataValidation allowBlank="1" showInputMessage="1" showErrorMessage="1" promptTitle="金額の表示" prompt="数式が入力されているため、自動計算されます。" sqref="G16:G45"/>
    <dataValidation allowBlank="1" showInputMessage="1" showErrorMessage="1" promptTitle="「単価（税抜）」欄と「単価（税込）」欄について" prompt="どちらか一方を入力してください。（最終的に、「金額（税込）」欄が、見積書等（発注・契約書、納品書、請求書、領収書など）と一致するようにしてください。）_x000a_入力しない方は「0」は入力せず、空欄としてください。" sqref="E16:F45"/>
    <dataValidation allowBlank="1" showInputMessage="1" showErrorMessage="1" promptTitle="設置箇所及び用途を入力" prompt="以下を参考に入力してください。_x000a_ベッド１台の場合_x000a_→病室内に設置。患者用。" sqref="H19:I45"/>
  </dataValidations>
  <printOptions horizontalCentered="1"/>
  <pageMargins left="0.59055118110236227" right="0.39370078740157483" top="0.39370078740157483" bottom="0.39370078740157483" header="0.31496062992125984" footer="0.31496062992125984"/>
  <pageSetup paperSize="9" scale="6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1</xdr:col>
                    <xdr:colOff>390525</xdr:colOff>
                    <xdr:row>4</xdr:row>
                    <xdr:rowOff>238125</xdr:rowOff>
                  </from>
                  <to>
                    <xdr:col>1</xdr:col>
                    <xdr:colOff>819150</xdr:colOff>
                    <xdr:row>5</xdr:row>
                    <xdr:rowOff>228600</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4</xdr:col>
                    <xdr:colOff>466725</xdr:colOff>
                    <xdr:row>4</xdr:row>
                    <xdr:rowOff>228600</xdr:rowOff>
                  </from>
                  <to>
                    <xdr:col>4</xdr:col>
                    <xdr:colOff>828675</xdr:colOff>
                    <xdr:row>6</xdr:row>
                    <xdr:rowOff>0</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from>
                    <xdr:col>2</xdr:col>
                    <xdr:colOff>1038225</xdr:colOff>
                    <xdr:row>4</xdr:row>
                    <xdr:rowOff>228600</xdr:rowOff>
                  </from>
                  <to>
                    <xdr:col>2</xdr:col>
                    <xdr:colOff>1438275</xdr:colOff>
                    <xdr:row>5</xdr:row>
                    <xdr:rowOff>247650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BW75"/>
  <sheetViews>
    <sheetView showGridLines="0" view="pageBreakPreview" zoomScale="50" zoomScaleNormal="100" zoomScaleSheetLayoutView="50" workbookViewId="0">
      <pane xSplit="1" ySplit="15" topLeftCell="B16" activePane="bottomRight" state="frozen"/>
      <selection activeCell="N3" sqref="N3:Q3"/>
      <selection pane="topRight" activeCell="N3" sqref="N3:Q3"/>
      <selection pane="bottomLeft" activeCell="N3" sqref="N3:Q3"/>
      <selection pane="bottomRight" activeCell="F20" sqref="F20"/>
    </sheetView>
  </sheetViews>
  <sheetFormatPr defaultColWidth="9" defaultRowHeight="20.100000000000001" customHeight="1"/>
  <cols>
    <col min="1" max="1" width="5.625" style="38" customWidth="1"/>
    <col min="2" max="4" width="11.625" style="38" customWidth="1"/>
    <col min="5" max="5" width="26.5" style="39" customWidth="1"/>
    <col min="6" max="7" width="11.625" style="40" customWidth="1"/>
    <col min="8" max="9" width="12.625" style="40" customWidth="1"/>
    <col min="10" max="10" width="12.625" style="25" customWidth="1"/>
    <col min="11" max="12" width="12.625" style="40" customWidth="1"/>
    <col min="13" max="13" width="2.625" style="40" customWidth="1"/>
    <col min="14" max="15" width="30.625" style="41" customWidth="1"/>
    <col min="16" max="16" width="40.625" style="41" customWidth="1"/>
    <col min="17" max="18" width="30.625" style="41" hidden="1" customWidth="1"/>
    <col min="19" max="22" width="12.625" style="41" hidden="1" customWidth="1"/>
    <col min="23" max="23" width="0" style="200" hidden="1" customWidth="1"/>
    <col min="24" max="24" width="10.375" style="41" hidden="1" customWidth="1"/>
    <col min="25" max="28" width="9" style="41"/>
    <col min="29" max="29" width="3.625" style="49" customWidth="1"/>
    <col min="30" max="30" width="9.75" style="41" bestFit="1" customWidth="1"/>
    <col min="31" max="31" width="85.625" style="201" customWidth="1"/>
    <col min="32" max="35" width="10.625" style="41" customWidth="1"/>
    <col min="36" max="36" width="60.625" style="41" customWidth="1"/>
    <col min="37" max="52" width="9" style="41"/>
    <col min="53" max="53" width="20.625" style="41" customWidth="1"/>
    <col min="54" max="55" width="9" style="41"/>
    <col min="56" max="56" width="35.625" style="41" customWidth="1"/>
    <col min="57" max="16384" width="9" style="41"/>
  </cols>
  <sheetData>
    <row r="1" spans="1:37" ht="9.9499999999999993" customHeight="1"/>
    <row r="2" spans="1:37" ht="30" customHeight="1">
      <c r="B2" s="199" t="s">
        <v>261</v>
      </c>
      <c r="C2" s="36"/>
      <c r="D2" s="36"/>
      <c r="F2" s="772" t="s">
        <v>208</v>
      </c>
      <c r="G2" s="773"/>
      <c r="H2" s="772" t="str">
        <f>表紙!L9&amp;IF(はじめに入力してください!L20="","","※"&amp;はじめに入力してください!AE20)</f>
        <v/>
      </c>
      <c r="I2" s="774"/>
      <c r="J2" s="774"/>
      <c r="K2" s="774"/>
      <c r="L2" s="773"/>
    </row>
    <row r="3" spans="1:37" ht="20.100000000000001" customHeight="1">
      <c r="B3" s="775" t="str">
        <f>人工呼吸器明細!B3</f>
        <v>　まとめて「一式」と記載はせず、見積書、納品書等に記載の設備・付属備品ごとに分けて記載するようにしてください。
　整備する設備の配備先（既設又は新設病床、病床に番号付与した場合いずれの病床に充てるのか左部分「配備先・内容」欄で選択してください。
　配備先の病床の別及び、当該品目が「装置」か「付属備品」の別をプルダウンから選択してください。</v>
      </c>
      <c r="C3" s="755"/>
      <c r="D3" s="755"/>
      <c r="E3" s="755"/>
      <c r="F3" s="755"/>
      <c r="G3" s="755"/>
      <c r="H3" s="755"/>
      <c r="I3" s="755"/>
      <c r="J3" s="755"/>
      <c r="K3" s="755"/>
      <c r="L3" s="755"/>
      <c r="S3" s="55"/>
      <c r="T3" s="55"/>
      <c r="U3" s="55"/>
      <c r="V3" s="55"/>
    </row>
    <row r="4" spans="1:37" ht="20.100000000000001" customHeight="1">
      <c r="B4" s="755"/>
      <c r="C4" s="755"/>
      <c r="D4" s="755"/>
      <c r="E4" s="755"/>
      <c r="F4" s="755"/>
      <c r="G4" s="755"/>
      <c r="H4" s="755"/>
      <c r="I4" s="755"/>
      <c r="J4" s="755"/>
      <c r="K4" s="755"/>
      <c r="L4" s="755"/>
      <c r="S4" s="55"/>
      <c r="T4" s="55"/>
      <c r="U4" s="55"/>
      <c r="V4" s="55"/>
    </row>
    <row r="5" spans="1:37" ht="20.100000000000001" customHeight="1">
      <c r="B5" s="755"/>
      <c r="C5" s="755"/>
      <c r="D5" s="755"/>
      <c r="E5" s="755"/>
      <c r="F5" s="755"/>
      <c r="G5" s="755"/>
      <c r="H5" s="755"/>
      <c r="I5" s="755"/>
      <c r="J5" s="755"/>
      <c r="K5" s="755"/>
      <c r="L5" s="755"/>
      <c r="S5" s="55"/>
      <c r="T5" s="55"/>
      <c r="U5" s="55"/>
      <c r="V5" s="55"/>
      <c r="AD5" s="776" t="s">
        <v>122</v>
      </c>
      <c r="AE5" s="735" t="s">
        <v>121</v>
      </c>
      <c r="AF5" s="736"/>
      <c r="AG5" s="737"/>
    </row>
    <row r="6" spans="1:37" ht="20.100000000000001" customHeight="1">
      <c r="B6" s="755"/>
      <c r="C6" s="755"/>
      <c r="D6" s="755"/>
      <c r="E6" s="755"/>
      <c r="F6" s="755"/>
      <c r="G6" s="755"/>
      <c r="H6" s="755"/>
      <c r="I6" s="755"/>
      <c r="J6" s="755"/>
      <c r="K6" s="755"/>
      <c r="L6" s="755"/>
      <c r="S6" s="55"/>
      <c r="T6" s="55"/>
      <c r="U6" s="55"/>
      <c r="V6" s="55"/>
      <c r="AD6" s="777"/>
      <c r="AE6" s="738"/>
      <c r="AF6" s="739"/>
      <c r="AG6" s="740"/>
    </row>
    <row r="7" spans="1:37" ht="9.9499999999999993" customHeight="1">
      <c r="B7" s="56"/>
      <c r="C7" s="56"/>
      <c r="D7" s="56"/>
      <c r="E7" s="57"/>
      <c r="F7" s="58"/>
      <c r="G7" s="41"/>
      <c r="H7" s="41"/>
      <c r="I7" s="41"/>
      <c r="J7" s="200"/>
      <c r="K7" s="41"/>
      <c r="L7" s="41"/>
      <c r="S7" s="55"/>
      <c r="T7" s="55"/>
      <c r="U7" s="55"/>
      <c r="V7" s="55"/>
      <c r="AD7" s="768" t="str">
        <f xml:space="preserve">
IF(AND(COUNTA(D9)=0,COUNTIF(AD16:AD75,"○")=60),"○",
IF(AND(COUNTA(D9)=0,COUNTIF(AD16:AD75,"×")&gt;=1),"×",
IF(AND(COUNTA(D9)=0,COUNTIF(AD16:AD75,"×")=0,COUNTIF(AD16:AD75,"◎")&gt;=1),"×",
IF(AND(COUNTA(D9)=1,COUNTIF(AD16:AD75,"○")=60),"×",
IF(AND(COUNTA(D9)=1,COUNTIF(AD16:AD75,"×")&gt;=1),"×",
IF(AND(COUNTA(D9)=1,COUNTIF(AD16:AD75,"×")=0,COUNTIF(AD16:AD75,"◎")&gt;=1),"◎"))))))</f>
        <v>○</v>
      </c>
      <c r="AE7" s="741" t="str">
        <f xml:space="preserve">
IF(COUNTA(D9)=0,"【１．配備計画】既存配備の超音波画像診断装置台数が未入力です。"&amp;CHAR(10)&amp;CHAR(10),
IF(COUNTA(D9)=1,"【１．配備計画】適切に入力がされました。 "&amp;CHAR(10)&amp;CHAR(10)))
&amp;
IF(AD7="◎","【装置情報】適切に入力がされました。",
IF(AD7="○","",
IF(AD7="×","【２．装置情報】【要修正】以下の点につき御確認ください。"&amp;CHAR(10)&amp;AJ16&amp;AJ17&amp;AJ18&amp;AJ19&amp;AJ20&amp;AJ21&amp;AJ22&amp;AJ23&amp;AJ24&amp;AJ25&amp;AJ26&amp;AJ27&amp;AJ28&amp;AJ29&amp;AJ30&amp;AJ31&amp;AJ32&amp;AJ33&amp;AJ34&amp;AJ35&amp;AJ36&amp;AJ37&amp;AJ38&amp;AJ39&amp;AJ40&amp;AJ41&amp;AJ42&amp;AJ43&amp;AJ44&amp;AJ45&amp;AJ46&amp;AJ47&amp;AJ48&amp;AJ49&amp;AJ50&amp;AJ51&amp;AJ52&amp;AJ53&amp;AJ54&amp;AJ55&amp;AJ56&amp;AJ57&amp;AJ58&amp;AJ59&amp;AJ60&amp;AJ61&amp;AJ62&amp;AJ63&amp;AJ64&amp;AJ65&amp;AJ66&amp;AJ67&amp;AJ68&amp;AJ69&amp;AJ70&amp;AJ71&amp;AJ72&amp;AJ73&amp;AJ74&amp;AJ75
)))</f>
        <v xml:space="preserve">【１．配備計画】既存配備の超音波画像診断装置台数が未入力です。
</v>
      </c>
      <c r="AF7" s="736"/>
      <c r="AG7" s="737"/>
    </row>
    <row r="8" spans="1:37" ht="20.100000000000001" customHeight="1">
      <c r="B8" s="754" t="s">
        <v>221</v>
      </c>
      <c r="C8" s="755"/>
      <c r="D8" s="755"/>
      <c r="E8" s="755"/>
      <c r="F8" s="755"/>
      <c r="G8" s="755"/>
      <c r="H8" s="755"/>
      <c r="I8" s="755"/>
      <c r="J8" s="755"/>
      <c r="K8" s="755"/>
      <c r="L8" s="755"/>
      <c r="S8" s="55"/>
      <c r="T8" s="55"/>
      <c r="U8" s="55"/>
      <c r="V8" s="55"/>
      <c r="AD8" s="778"/>
      <c r="AE8" s="742"/>
      <c r="AF8" s="743"/>
      <c r="AG8" s="744"/>
    </row>
    <row r="9" spans="1:37" ht="20.100000000000001" customHeight="1">
      <c r="B9" s="748" t="s">
        <v>226</v>
      </c>
      <c r="C9" s="749"/>
      <c r="D9" s="318"/>
      <c r="E9" s="232" t="s">
        <v>209</v>
      </c>
      <c r="F9" s="202">
        <f>はじめに入力してください!K12</f>
        <v>0</v>
      </c>
      <c r="H9" s="709" t="s">
        <v>613</v>
      </c>
      <c r="I9" s="710"/>
      <c r="J9" s="50" t="s">
        <v>614</v>
      </c>
      <c r="K9" s="781" t="s">
        <v>212</v>
      </c>
      <c r="L9" s="782"/>
      <c r="S9" s="55"/>
      <c r="T9" s="55"/>
      <c r="U9" s="55"/>
      <c r="V9" s="55"/>
      <c r="AD9" s="779"/>
      <c r="AE9" s="745"/>
      <c r="AF9" s="743"/>
      <c r="AG9" s="744"/>
      <c r="AJ9" s="203" t="s">
        <v>584</v>
      </c>
    </row>
    <row r="10" spans="1:37" ht="20.100000000000001" customHeight="1" thickBot="1">
      <c r="B10" s="750" t="s">
        <v>227</v>
      </c>
      <c r="C10" s="751"/>
      <c r="D10" s="204">
        <f>COUNTIF(D16:D75,"装置")</f>
        <v>0</v>
      </c>
      <c r="E10" s="235" t="s">
        <v>210</v>
      </c>
      <c r="F10" s="207">
        <f>はじめに入力してください!K13</f>
        <v>0</v>
      </c>
      <c r="H10" s="756">
        <f>SUM(I16:I75)</f>
        <v>0</v>
      </c>
      <c r="I10" s="757"/>
      <c r="J10" s="716">
        <v>0</v>
      </c>
      <c r="K10" s="711">
        <f>IFERROR(ROUNDUP(SUM(K16:K75)*(H10-J10)/H10,0),0)</f>
        <v>0</v>
      </c>
      <c r="L10" s="712"/>
      <c r="S10" s="55"/>
      <c r="T10" s="55"/>
      <c r="U10" s="55"/>
      <c r="V10" s="55"/>
      <c r="AD10" s="779"/>
      <c r="AE10" s="745"/>
      <c r="AF10" s="743"/>
      <c r="AG10" s="744"/>
    </row>
    <row r="11" spans="1:37" ht="20.100000000000001" customHeight="1" thickTop="1">
      <c r="B11" s="752" t="s">
        <v>218</v>
      </c>
      <c r="C11" s="753"/>
      <c r="D11" s="205">
        <f>SUM(D9:D10)</f>
        <v>0</v>
      </c>
      <c r="E11" s="236" t="s">
        <v>211</v>
      </c>
      <c r="F11" s="208">
        <f>はじめに入力してください!M13</f>
        <v>0</v>
      </c>
      <c r="H11" s="757"/>
      <c r="I11" s="757"/>
      <c r="J11" s="717"/>
      <c r="K11" s="712"/>
      <c r="L11" s="712"/>
      <c r="S11" s="55"/>
      <c r="T11" s="55"/>
      <c r="U11" s="55"/>
      <c r="V11" s="55"/>
      <c r="AD11" s="779"/>
      <c r="AE11" s="745"/>
      <c r="AF11" s="743"/>
      <c r="AG11" s="744"/>
    </row>
    <row r="12" spans="1:37" ht="9.9499999999999993" customHeight="1">
      <c r="B12" s="56"/>
      <c r="C12" s="56"/>
      <c r="D12" s="56"/>
      <c r="E12" s="57"/>
      <c r="F12" s="58"/>
      <c r="G12" s="41"/>
      <c r="H12" s="41"/>
      <c r="I12" s="41"/>
      <c r="J12" s="200"/>
      <c r="K12" s="41"/>
      <c r="L12" s="41"/>
      <c r="S12" s="55"/>
      <c r="T12" s="55"/>
      <c r="U12" s="55"/>
      <c r="V12" s="55"/>
      <c r="AD12" s="779"/>
      <c r="AE12" s="746"/>
      <c r="AF12" s="743"/>
      <c r="AG12" s="744"/>
    </row>
    <row r="13" spans="1:37" ht="80.099999999999994" customHeight="1">
      <c r="B13" s="758" t="str">
        <f>人工呼吸器明細!B13</f>
        <v>２．装置情報（右端に表示の番号を、見積書あるいは納品書の内訳中、該当の部分に記入し記載の箇所を明示してください。）
　見積書等に記載の内訳は補助対象、対象外にかかわらず全て入力し、右上（実支出予定額）と見積金額とが一致するようにしてください。
　補助対象はコロナ病床施設の整備に限られるため医療用消耗品等は補助対象外です。
　記載いただいた補助対象外経費は「補助対象区分」欄で「対象外」を選択してください。（補助対象金額の算定から自動計算で除外されます。）</v>
      </c>
      <c r="C13" s="759"/>
      <c r="D13" s="759"/>
      <c r="E13" s="759"/>
      <c r="F13" s="759"/>
      <c r="G13" s="759"/>
      <c r="H13" s="759"/>
      <c r="I13" s="759"/>
      <c r="J13" s="759"/>
      <c r="K13" s="759"/>
      <c r="L13" s="759"/>
      <c r="S13" s="55"/>
      <c r="T13" s="55"/>
      <c r="U13" s="55"/>
      <c r="V13" s="55"/>
      <c r="AD13" s="780"/>
      <c r="AE13" s="747"/>
      <c r="AF13" s="739"/>
      <c r="AG13" s="740"/>
    </row>
    <row r="14" spans="1:37" ht="24.95" customHeight="1">
      <c r="B14" s="720" t="s">
        <v>206</v>
      </c>
      <c r="C14" s="721"/>
      <c r="D14" s="722"/>
      <c r="E14" s="720" t="s">
        <v>204</v>
      </c>
      <c r="F14" s="722"/>
      <c r="G14" s="723" t="s">
        <v>207</v>
      </c>
      <c r="H14" s="721"/>
      <c r="I14" s="721"/>
      <c r="J14" s="722"/>
      <c r="K14" s="724" t="s">
        <v>202</v>
      </c>
      <c r="L14" s="724" t="s">
        <v>213</v>
      </c>
      <c r="S14" s="55"/>
      <c r="T14" s="55"/>
      <c r="U14" s="55"/>
      <c r="V14" s="55"/>
    </row>
    <row r="15" spans="1:37" ht="24.95" customHeight="1">
      <c r="B15" s="42" t="s">
        <v>191</v>
      </c>
      <c r="C15" s="42" t="s">
        <v>199</v>
      </c>
      <c r="D15" s="42" t="s">
        <v>200</v>
      </c>
      <c r="E15" s="42" t="s">
        <v>55</v>
      </c>
      <c r="F15" s="42" t="s">
        <v>22</v>
      </c>
      <c r="G15" s="42" t="s">
        <v>71</v>
      </c>
      <c r="H15" s="42" t="s">
        <v>72</v>
      </c>
      <c r="I15" s="42" t="s">
        <v>73</v>
      </c>
      <c r="J15" s="42" t="s">
        <v>201</v>
      </c>
      <c r="K15" s="725"/>
      <c r="L15" s="725"/>
      <c r="AD15" s="62" t="s">
        <v>64</v>
      </c>
      <c r="AE15" s="206" t="s">
        <v>74</v>
      </c>
      <c r="AF15" s="63" t="s">
        <v>203</v>
      </c>
      <c r="AG15" s="234" t="s">
        <v>205</v>
      </c>
      <c r="AH15" s="234" t="s">
        <v>91</v>
      </c>
      <c r="AI15" s="231" t="s">
        <v>635</v>
      </c>
      <c r="AJ15" s="52" t="s">
        <v>121</v>
      </c>
      <c r="AK15" s="52" t="str">
        <f>AJ16&amp;AJ17&amp;AJ18&amp;AJ19&amp;AJ20&amp;AJ21&amp;AJ22&amp;AJ23&amp;AJ24&amp;AJ25&amp;AJ26&amp;AJ27&amp;AJ28&amp;AJ29&amp;AJ30&amp;AJ31&amp;AJ32&amp;AJ33&amp;AJ34&amp;AJ35&amp;AJ36&amp;AJ37&amp;AJ38&amp;AJ39&amp;AJ40&amp;AJ41&amp;AJ42&amp;AJ43&amp;AJ44&amp;AJ45&amp;AJ46&amp;AJ47&amp;AJ48&amp;AJ49&amp;AJ50&amp;AJ51&amp;AJ52&amp;AJ53&amp;AJ54&amp;AJ55&amp;AJ56&amp;AJ57&amp;AJ58&amp;AJ59&amp;AJ60&amp;AJ61&amp;AJ62&amp;AJ63&amp;AJ64&amp;AJ65&amp;AJ66&amp;AJ67&amp;AJ68&amp;AJ69&amp;AJ70&amp;AJ71&amp;AJ72&amp;AJ73&amp;AJ74&amp;AJ75</f>
        <v/>
      </c>
    </row>
    <row r="16" spans="1:37" ht="24.95" customHeight="1">
      <c r="A16" s="38">
        <v>1</v>
      </c>
      <c r="B16" s="313"/>
      <c r="C16" s="313"/>
      <c r="D16" s="313"/>
      <c r="E16" s="314"/>
      <c r="F16" s="315"/>
      <c r="G16" s="316"/>
      <c r="H16" s="316"/>
      <c r="I16" s="45">
        <f>IF(G16="",H16*F16,ROUNDDOWN(F16*G16*1.1,0))</f>
        <v>0</v>
      </c>
      <c r="J16" s="317"/>
      <c r="K16" s="45">
        <f>IF(J16="補助対象",I16,IF(J16="補助対象外",0,0))</f>
        <v>0</v>
      </c>
      <c r="L16" s="44" t="str">
        <f>IF(AD16="◎",COUNTIF($AD$16:AD16,"◎"),"")</f>
        <v/>
      </c>
      <c r="W16" s="234" t="str">
        <f>IF(B16="既設病床",はじめに入力してください!$K$12,IF(B16="新設病床",はじめに入力してください!$K$13,IF(B16="共通使用",1,"")))</f>
        <v/>
      </c>
      <c r="AC16" s="49" t="s">
        <v>69</v>
      </c>
      <c r="AD16" s="231" t="str">
        <f xml:space="preserve">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f>
        <v>○</v>
      </c>
      <c r="AE16" s="35" t="str">
        <f xml:space="preserve">
IF(AND(AF16="○",AG16="○",AH16="○",AI16="○"),"申請しない場合は入力不要です。",
IF(AND(AF16="○",AG16="○",AH16="○",AI16="◎"),"【要修正】【整備先・内容】未入力、【規格・数量】未入力、【単価】未入力"&amp;CHAR(10),
IF(AND(AF16="○",AG16="○",AH16="×",AI16="○"),"【要修正】【整備先・内容】未入力、【規格・数量】未入力、【単価】入力不十分、【補助対象区分】未入力"&amp;CHAR(10),
IF(AND(AF16="○",AG16="○",AH16="×",AI16="◎"),"【要修正】【整備先・内容】未入力、【規格・数量】未入力、【単価】入力不十分"&amp;CHAR(10),
IF(AND(AF16="○",AG16="○",AH16="◎",AI16="○"),"【要修正】【整備先・内容】未入力、【規格・数量】未入力、【補助対象区分】未入力"&amp;CHAR(10),
IF(AND(AF16="○",AG16="○",AH16="◎",AI16="◎"),"【要修正】【整備先・内容】未入力、【規格・数量】未入力"&amp;CHAR(10),
IF(AND(AF16="○",AG16="×",AH16="○",AI16="○"),"【要修正】【整備先・内容】未入力、【規格・数量】入力不十分、【単価】未入力、【補助対象区分】未入力"&amp;CHAR(10),
IF(AND(AF16="○",AG16="×",AH16="○",AI16="◎"),"【要修正】【整備先・内容】未入力、【規格・数量】入力不十分、【単価】未入力"&amp;CHAR(10),
IF(AND(AF16="○",AG16="×",AH16="×",AI16="○"),"【要修正】【整備先・内容】未入力、【規格・数量】入力不十分、【単価】入力不十分、【補助対象区分】未入力"&amp;CHAR(10),
IF(AND(AF16="○",AG16="×",AH16="×",AI16="◎"),"【要修正】【整備先・内容】未入力、【規格・数量】入力不十分、【単価】入力不十分"&amp;CHAR(10),
IF(AND(AF16="○",AG16="×",AH16="◎",AI16="○"),"【要修正】【整備先・内容】未入力、【規格・数量】入力不十分、【補助対象区分】未入力"&amp;CHAR(10),
IF(AND(AF16="○",AG16="×",AH16="◎",AI16="◎"),"【要修正】【整備先・内容】未入力、【規格・数量】入力不十分"&amp;CHAR(10),
IF(AND(AF16="○",AG16="◎",AH16="○",AI16="○"),"【要修正】【整備先・内容】未入力、【単価】未入力、【補助対象区分】未入力"&amp;CHAR(10),
IF(AND(AF16="○",AG16="◎",AH16="○",AI16="◎"),"【要修正】【整備先・内容】未入力、【単価】未入力"&amp;CHAR(10),
IF(AND(AF16="○",AG16="◎",AH16="×",AI16="○"),"【要修正】【整備先・内容】未入力、【単価】入力不十分、【補助対象区分】未入力"&amp;CHAR(10),
IF(AND(AF16="○",AG16="◎",AH16="×",AI16="◎"),"【要修正】【整備先・内容】未入力、【単価】入力不十分"&amp;CHAR(10),
IF(AND(AF16="○",AG16="◎",AH16="◎",AI16="○"),"【要修正】【整備先・内容】未入力、【補助対象区分】未入力"&amp;CHAR(10),
IF(AND(AF16="○",AG16="◎",AH16="◎",AI16="◎"),"【要修正】【整備先・内容】未入力"&amp;CHAR(10),
IF(AND(AF16="×",AG16="○",AH16="○",AI16="○"),"【要修正】【整備先・内容】入力不十分、【規格・数量】未入力、【単価】未入力、【補助対象区分】未入力"&amp;CHAR(10),
IF(AND(AF16="×",AG16="○",AH16="○",AI16="◎"),"【要修正】【整備先・内容】入力不十分、【規格・数量】未入力、【単価】未入力"&amp;CHAR(10),
IF(AND(AF16="×",AG16="○",AH16="×",AI16="○"),"【要修正】【整備先・内容】入力不十分、【規格・数量】未入力、【単価】入力不十分、【補助対象区分】未入力"&amp;CHAR(10),
IF(AND(AF16="×",AG16="○",AH16="×",AI16="◎"),"【要修正】【整備先・内容】入力不十分、【規格・数量】未入力、【単価】入力不十分"&amp;CHAR(10),
IF(AND(AF16="×",AG16="○",AH16="◎",AI16="○"),"【要修正】【整備先・内容】入力不十分、【規格・数量】未入力、【補助対象区分】未入力"&amp;CHAR(10),
IF(AND(AF16="×",AG16="○",AH16="◎",AI16="◎"),"【要修正】【整備先・内容】入力不十分、【規格・数量】未入力"&amp;CHAR(10),
IF(AND(AF16="×",AG16="×",AH16="○",AI16="○"),"【要修正】【整備先・内容】入力不十分、【規格・数量】入力不十分、【単価】未入力、【補助対象区分】未入力"&amp;CHAR(10),
IF(AND(AF16="×",AG16="×",AH16="○",AI16="◎"),"【要修正】【整備先・内容】入力不十分、【規格・数量】入力不十分、【単価】未入力"&amp;CHAR(10),
IF(AND(AF16="×",AG16="×",AH16="×",AI16="○"),"【要修正】【整備先・内容】入力不十分、【規格・数量】入力不十分、【単価】入力不十分、【補助対象区分】未入力"&amp;CHAR(10),
IF(AND(AF16="×",AG16="×",AH16="×",AI16="◎"),"【要修正】【整備先・内容】入力不十分、【規格・数量】入力不十分、【単価】入力不十分"&amp;CHAR(10),
IF(AND(AF16="×",AG16="×",AH16="◎",AI16="○"),"【要修正】【整備先・内容】入力不十分、【規格・数量】入力不十分、【補助対象区分】未入力"&amp;CHAR(10),
IF(AND(AF16="×",AG16="×",AH16="◎",AI16="◎"),"【要修正】【整備先・内容】入力不十分、【規格・数量】入力不十分"&amp;CHAR(10),
IF(AND(AF16="×",AG16="◎",AH16="○",AI16="○"),"【要修正】【整備先・内容】入力不十分、【単価】未入力、【補助対象区分】未入力"&amp;CHAR(10),
IF(AND(AF16="×",AG16="◎",AH16="○",AI16="◎"),"【要修正】【整備先・内容】入力不十分、【単価】未入力"&amp;CHAR(10),
IF(AND(AF16="×",AG16="◎",AH16="×",AI16="○"),"【要修正】【整備先・内容】入力不十分、【単価】入力不十分、【補助対象区分】未入力"&amp;CHAR(10),
IF(AND(AF16="×",AG16="◎",AH16="×",AI16="◎"),"【要修正】【整備先・内容】入力不十分、【単価】入力不十分"&amp;CHAR(10),
IF(AND(AF16="×",AG16="◎",AH16="◎",AI16="○"),"【要修正】【整備先・内容】入力不十分、【補助対象区分】未入力"&amp;CHAR(10),
IF(AND(AF16="×",AG16="◎",AH16="◎",AI16="◎"),"【要修正】【整備先・内容】入力不十分"&amp;CHAR(10),
IF(AND(AF16="◎",AG16="○",AH16="○",AI16="○"),"【要修正】【規格・数量】未入力、【単価】未入力、【補助対象区分】未入力"&amp;CHAR(10),
IF(AND(AF16="◎",AG16="○",AH16="○",AI16="◎"),"【要修正】【規格・数量】未入力、【単価】未入力"&amp;CHAR(10),
IF(AND(AF16="◎",AG16="○",AH16="×",AI16="○"),"【要修正】【規格・数量】未入力、【単価】入力不十分、【補助対象区分】未入力"&amp;CHAR(10),
IF(AND(AF16="◎",AG16="○",AH16="×",AI16="◎"),"【要修正】【規格・数量】未入力、【単価】入力不十分"&amp;CHAR(10),
IF(AND(AF16="◎",AG16="○",AH16="◎",AI16="○"),"【要修正】【規格・数量】未入力、【補助対象区分】未入力"&amp;CHAR(10),
IF(AND(AF16="◎",AG16="○",AH16="◎",AI16="◎"),"【要修正】【規格・数量】未入力"&amp;CHAR(10),
IF(AND(AF16="◎",AG16="×",AH16="○",AI16="○"),"【要修正】【規格・数量】入力不十分、【単価】未入力、【補助対象区分】未入力"&amp;CHAR(10),
IF(AND(AF16="◎",AG16="×",AH16="○",AI16="◎"),"【要修正】【規格・数量】入力不十分、【単価】未入力"&amp;CHAR(10),
IF(AND(AF16="◎",AG16="×",AH16="×",AI16="○"),"【要修正】【規格・数量】入力不十分、【単価】入力不十分、【補助対象区分】未入力"&amp;CHAR(10),
IF(AND(AF16="◎",AG16="×",AH16="×",AI16="◎"),"【要修正】【規格・数量】入力不十分、【単価】入力不十分"&amp;CHAR(10),
IF(AND(AF16="◎",AG16="×",AH16="◎",AI16="○"),"【要修正】【規格・数量】入力不十分、【補助対象区分】未入力"&amp;CHAR(10),
IF(AND(AF16="◎",AG16="×",AH16="◎",AI16="◎"),"【要修正】【規格・数量】入力不十分"&amp;CHAR(10),
IF(AND(AF16="◎",AG16="◎",AH16="○",AI16="○"),"【要修正】【単価】未入力、【補助対象区分】未入力"&amp;CHAR(10),
IF(AND(AF16="◎",AG16="◎",AH16="○",AI16="◎"),"【要修正】【単価】未入力"&amp;CHAR(10),
IF(AND(AF16="◎",AG16="◎",AH16="×",AI16="○"),"【要修正】【単価】入力不十分、【補助対象区分】未入力"&amp;CHAR(10),
IF(AND(AF16="◎",AG16="◎",AH16="×",AI16="◎"),"【要修正】【単価】入力不十分"&amp;CHAR(10),
IF(AND(AF16="◎",AG16="◎",AH16="◎",AI16="○"),"【要修正】【補助対象区分】未入力"&amp;CHAR(10),
IF(AND(AF16="◎",AG16="◎",AH16="◎",AI16="◎"),"適切に入力がされました。",
))))))))))))))))))))))))))))))))))))))))))))))))))))))</f>
        <v>申請しない場合は入力不要です。</v>
      </c>
      <c r="AF16" s="234" t="str">
        <f>IF(COUNTA(B16:D16)=0,"○",IF(AND(COUNTA(B16:D16)&gt;=1,COUNTA(B16:D16)&lt;3),"×",IF(COUNTA(B16:D16)=3,"◎")))</f>
        <v>○</v>
      </c>
      <c r="AG16" s="234" t="str">
        <f>IF(COUNTA(E16,F16,J16)=0,"○",IF(AND(COUNTA(E16,F16,J16)&gt;=1,COUNTA(E16,F16,J16)&lt;3),"×",IF(COUNTA(E16,F16,J16)=3,"◎")))</f>
        <v>○</v>
      </c>
      <c r="AH16" s="234" t="str">
        <f>IF(COUNTA(G16:H16)=0,"○",IF(COUNTA(G16:H16)=1,"◎",IF(COUNTA(G16:H16)=2,"×")))</f>
        <v>○</v>
      </c>
      <c r="AI16" s="231" t="str">
        <f>IF(COUNTA(J16)=0,"○",IF(COUNTA(J16)=1,"◎"))</f>
        <v>○</v>
      </c>
      <c r="AJ16" s="14" t="str">
        <f xml:space="preserve">
IF(AND(AF16="○",AG16="○",AH16="○",AI16="○"),"",
IF(AND(AF16="○",AG16="○",AH16="○",AI16="◎"),"【"&amp;AK16&amp;"行目】【整備先・内容】未入力、【規格・数量】未入力、【単価】未入力"&amp;CHAR(10),
IF(AND(AF16="○",AG16="○",AH16="×",AI16="○"),"【"&amp;AK16&amp;"行目】【整備先・内容】未入力、【規格・数量】未入力、【単価】入力不十分、【補助対象区分】未入力"&amp;CHAR(10),
IF(AND(AF16="○",AG16="○",AH16="×",AI16="◎"),"【"&amp;AK16&amp;"行目】【整備先・内容】未入力、【規格・数量】未入力、【単価】入力不十分"&amp;CHAR(10),
IF(AND(AF16="○",AG16="○",AH16="◎",AI16="○"),"【"&amp;AK16&amp;"行目】【整備先・内容】未入力、【規格・数量】未入力、【補助対象区分】未入力"&amp;CHAR(10),
IF(AND(AF16="○",AG16="○",AH16="◎",AI16="◎"),"【"&amp;AK16&amp;"行目】【整備先・内容】未入力、【規格・数量】未入力"&amp;CHAR(10),
IF(AND(AF16="○",AG16="×",AH16="○",AI16="○"),"【"&amp;AK16&amp;"行目】【整備先・内容】未入力、【規格・数量】入力不十分、【単価】未入力、【補助対象区分】未入力"&amp;CHAR(10),
IF(AND(AF16="○",AG16="×",AH16="○",AI16="◎"),"【"&amp;AK16&amp;"行目】【整備先・内容】未入力、【規格・数量】入力不十分、【単価】未入力"&amp;CHAR(10),
IF(AND(AF16="○",AG16="×",AH16="×",AI16="○"),"【"&amp;AK16&amp;"行目】【整備先・内容】未入力、【規格・数量】入力不十分、【単価】入力不十分、【補助対象区分】未入力"&amp;CHAR(10),
IF(AND(AF16="○",AG16="×",AH16="×",AI16="◎"),"【"&amp;AK16&amp;"行目】【整備先・内容】未入力、【規格・数量】入力不十分、【単価】入力不十分"&amp;CHAR(10),
IF(AND(AF16="○",AG16="×",AH16="◎",AI16="○"),"【"&amp;AK16&amp;"行目】【整備先・内容】未入力、【規格・数量】入力不十分、【補助対象区分】未入力"&amp;CHAR(10),
IF(AND(AF16="○",AG16="×",AH16="◎",AI16="◎"),"【"&amp;AK16&amp;"行目】【整備先・内容】未入力、【規格・数量】入力不十分"&amp;CHAR(10),
IF(AND(AF16="○",AG16="◎",AH16="○",AI16="○"),"【"&amp;AK16&amp;"行目】【整備先・内容】未入力、【単価】未入力、【補助対象区分】未入力"&amp;CHAR(10),
IF(AND(AF16="○",AG16="◎",AH16="○",AI16="◎"),"【"&amp;AK16&amp;"行目】【整備先・内容】未入力、【単価】未入力"&amp;CHAR(10),
IF(AND(AF16="○",AG16="◎",AH16="×",AI16="○"),"【"&amp;AK16&amp;"行目】【整備先・内容】未入力、【単価】入力不十分、【補助対象区分】未入力"&amp;CHAR(10),
IF(AND(AF16="○",AG16="◎",AH16="×",AI16="◎"),"【"&amp;AK16&amp;"行目】【整備先・内容】未入力、【単価】入力不十分"&amp;CHAR(10),
IF(AND(AF16="○",AG16="◎",AH16="◎",AI16="○"),"【"&amp;AK16&amp;"行目】【整備先・内容】未入力、【補助対象区分】未入力"&amp;CHAR(10),
IF(AND(AF16="○",AG16="◎",AH16="◎",AI16="◎"),"【"&amp;AK16&amp;"行目】【整備先・内容】未入力"&amp;CHAR(10),
IF(AND(AF16="×",AG16="○",AH16="○",AI16="○"),"【"&amp;AK16&amp;"行目】【整備先・内容】入力不十分、【規格・数量】未入力、【単価】未入力、【補助対象区分】未入力"&amp;CHAR(10),
IF(AND(AF16="×",AG16="○",AH16="○",AI16="◎"),"【"&amp;AK16&amp;"行目】【整備先・内容】入力不十分、【規格・数量】未入力、【単価】未入力"&amp;CHAR(10),
IF(AND(AF16="×",AG16="○",AH16="×",AI16="○"),"【"&amp;AK16&amp;"行目】【整備先・内容】入力不十分、【規格・数量】未入力、【単価】入力不十分、【補助対象区分】未入力"&amp;CHAR(10),
IF(AND(AF16="×",AG16="○",AH16="×",AI16="◎"),"【"&amp;AK16&amp;"行目】【整備先・内容】入力不十分、【規格・数量】未入力、【単価】入力不十分"&amp;CHAR(10),
IF(AND(AF16="×",AG16="○",AH16="◎",AI16="○"),"【"&amp;AK16&amp;"行目】【整備先・内容】入力不十分、【規格・数量】未入力、【補助対象区分】未入力"&amp;CHAR(10),
IF(AND(AF16="×",AG16="○",AH16="◎",AI16="◎"),"【"&amp;AK16&amp;"行目】【整備先・内容】入力不十分、【規格・数量】未入力"&amp;CHAR(10),
IF(AND(AF16="×",AG16="×",AH16="○",AI16="○"),"【"&amp;AK16&amp;"行目】【整備先・内容】入力不十分、【規格・数量】入力不十分、【単価】未入力、【補助対象区分】未入力"&amp;CHAR(10),
IF(AND(AF16="×",AG16="×",AH16="○",AI16="◎"),"【"&amp;AK16&amp;"行目】【整備先・内容】入力不十分、【規格・数量】入力不十分、【単価】未入力"&amp;CHAR(10),
IF(AND(AF16="×",AG16="×",AH16="×",AI16="○"),"【"&amp;AK16&amp;"行目】【整備先・内容】入力不十分、【規格・数量】入力不十分、【単価】入力不十分、【補助対象区分】未入力"&amp;CHAR(10),
IF(AND(AF16="×",AG16="×",AH16="×",AI16="◎"),"【"&amp;AK16&amp;"行目】【整備先・内容】入力不十分、【規格・数量】入力不十分、【単価】入力不十分"&amp;CHAR(10),
IF(AND(AF16="×",AG16="×",AH16="◎",AI16="○"),"【"&amp;AK16&amp;"行目】【整備先・内容】入力不十分、【規格・数量】入力不十分、【補助対象区分】未入力"&amp;CHAR(10),
IF(AND(AF16="×",AG16="×",AH16="◎",AI16="◎"),"【"&amp;AK16&amp;"行目】【整備先・内容】入力不十分、【規格・数量】入力不十分"&amp;CHAR(10),
IF(AND(AF16="×",AG16="◎",AH16="○",AI16="○"),"【"&amp;AK16&amp;"行目】【整備先・内容】入力不十分、【単価】未入力、【補助対象区分】未入力"&amp;CHAR(10),
IF(AND(AF16="×",AG16="◎",AH16="○",AI16="◎"),"【"&amp;AK16&amp;"行目】【整備先・内容】入力不十分、【単価】未入力"&amp;CHAR(10),
IF(AND(AF16="×",AG16="◎",AH16="×",AI16="○"),"【"&amp;AK16&amp;"行目】【整備先・内容】入力不十分、【単価】入力不十分、【補助対象区分】未入力"&amp;CHAR(10),
IF(AND(AF16="×",AG16="◎",AH16="×",AI16="◎"),"【"&amp;AK16&amp;"行目】【整備先・内容】入力不十分、【単価】入力不十分"&amp;CHAR(10),
IF(AND(AF16="×",AG16="◎",AH16="◎",AI16="○"),"【"&amp;AK16&amp;"行目】【整備先・内容】入力不十分、【補助対象区分】未入力"&amp;CHAR(10),
IF(AND(AF16="×",AG16="◎",AH16="◎",AI16="◎"),"【"&amp;AK16&amp;"行目】【整備先・内容】入力不十分"&amp;CHAR(10),
IF(AND(AF16="◎",AG16="○",AH16="○",AI16="○"),"【"&amp;AK16&amp;"行目】【規格・数量】未入力、【単価】未入力、【補助対象区分】未入力"&amp;CHAR(10),
IF(AND(AF16="◎",AG16="○",AH16="○",AI16="◎"),"【"&amp;AK16&amp;"行目】【規格・数量】未入力、【単価】未入力"&amp;CHAR(10),
IF(AND(AF16="◎",AG16="○",AH16="×",AI16="○"),"【"&amp;AK16&amp;"行目】【規格・数量】未入力、【単価】入力不十分、【補助対象区分】未入力"&amp;CHAR(10),
IF(AND(AF16="◎",AG16="○",AH16="×",AI16="◎"),"【"&amp;AK16&amp;"行目】【規格・数量】未入力、【単価】入力不十分"&amp;CHAR(10),
IF(AND(AF16="◎",AG16="○",AH16="◎",AI16="○"),"【"&amp;AK16&amp;"行目】【規格・数量】未入力、【補助対象区分】未入力"&amp;CHAR(10),
IF(AND(AF16="◎",AG16="○",AH16="◎",AI16="◎"),"【"&amp;AK16&amp;"行目】【規格・数量】未入力"&amp;CHAR(10),
IF(AND(AF16="◎",AG16="×",AH16="○",AI16="○"),"【"&amp;AK16&amp;"行目】【規格・数量】入力不十分、【単価】未入力、【補助対象区分】未入力"&amp;CHAR(10),
IF(AND(AF16="◎",AG16="×",AH16="○",AI16="◎"),"【"&amp;AK16&amp;"行目】【規格・数量】入力不十分、【単価】未入力"&amp;CHAR(10),
IF(AND(AF16="◎",AG16="×",AH16="×",AI16="○"),"【"&amp;AK16&amp;"行目】【規格・数量】入力不十分、【単価】入力不十分、【補助対象区分】未入力"&amp;CHAR(10),
IF(AND(AF16="◎",AG16="×",AH16="×",AI16="◎"),"【"&amp;AK16&amp;"行目】【規格・数量】入力不十分、【単価】入力不十分"&amp;CHAR(10),
IF(AND(AF16="◎",AG16="×",AH16="◎",AI16="○"),"【"&amp;AK16&amp;"行目】【規格・数量】入力不十分、【補助対象区分】未入力"&amp;CHAR(10),
IF(AND(AF16="◎",AG16="×",AH16="◎",AI16="◎"),"【"&amp;AK16&amp;"行目】【規格・数量】入力不十分"&amp;CHAR(10),
IF(AND(AF16="◎",AG16="◎",AH16="○",AI16="○"),"【"&amp;AK16&amp;"行目】【単価】未入力、【補助対象区分】未入力"&amp;CHAR(10),
IF(AND(AF16="◎",AG16="◎",AH16="○",AI16="◎"),"【"&amp;AK16&amp;"行目】【単価】未入力"&amp;CHAR(10),
IF(AND(AF16="◎",AG16="◎",AH16="×",AI16="○"),"【"&amp;AK16&amp;"行目】【単価】入力不十分、【補助対象区分】未入力"&amp;CHAR(10),
IF(AND(AF16="◎",AG16="◎",AH16="×",AI16="◎"),"【"&amp;AK16&amp;"行目】【単価】入力不十分"&amp;CHAR(10),
IF(AND(AF16="◎",AG16="◎",AH16="◎",AI16="○"),"【"&amp;AK16&amp;"行目】【補助対象区分】未入力"&amp;CHAR(10),
IF(AND(AF16="◎",AG16="◎",AH16="◎",AI16="◎"),"",
))))))))))))))))))))))))))))))))))))))))))))))))))))))</f>
        <v/>
      </c>
      <c r="AK16" s="41">
        <v>1</v>
      </c>
    </row>
    <row r="17" spans="1:75" ht="24.95" customHeight="1">
      <c r="A17" s="38">
        <v>2</v>
      </c>
      <c r="B17" s="313"/>
      <c r="C17" s="313"/>
      <c r="D17" s="313"/>
      <c r="E17" s="314"/>
      <c r="F17" s="315"/>
      <c r="G17" s="316"/>
      <c r="H17" s="316"/>
      <c r="I17" s="45">
        <f t="shared" ref="I17:I75" si="0">IF(G17="",H17*F17,ROUNDDOWN(F17*G17*1.1,0))</f>
        <v>0</v>
      </c>
      <c r="J17" s="317"/>
      <c r="K17" s="45">
        <f t="shared" ref="K17:K75" si="1">IF(J17="補助対象",I17,IF(J17="補助対象外",0,0))</f>
        <v>0</v>
      </c>
      <c r="L17" s="44" t="str">
        <f>IF(AD17="◎",COUNTIF($AD$16:AD17,"◎"),"")</f>
        <v/>
      </c>
      <c r="W17" s="234" t="str">
        <f>IF(B17="既設病床",はじめに入力してください!$K$12,IF(B17="新設病床",はじめに入力してください!$K$13,IF(B17="共通使用",1,"")))</f>
        <v/>
      </c>
      <c r="X17" s="41" t="e">
        <f ca="1">OFFSET(#REF!,
0,
MATCH(B17,#REF!,0),
COUNTA(OFFSET(#REF!,0,MATCH(B17,#REF!,0), 150,1)),1)</f>
        <v>#REF!</v>
      </c>
      <c r="AC17" s="49" t="s">
        <v>69</v>
      </c>
      <c r="AD17" s="231" t="str">
        <f t="shared" ref="AD17:AD75" si="2" xml:space="preserve">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f>
        <v>○</v>
      </c>
      <c r="AE17" s="35" t="str">
        <f t="shared" ref="AE17:AE75" si="3" xml:space="preserve">
IF(AND(AF17="○",AG17="○",AH17="○",AI17="○"),"申請しない場合は入力不要です。",
IF(AND(AF17="○",AG17="○",AH17="○",AI17="◎"),"【要修正】【整備先・内容】未入力、【規格・数量】未入力、【単価】未入力"&amp;CHAR(10),
IF(AND(AF17="○",AG17="○",AH17="×",AI17="○"),"【要修正】【整備先・内容】未入力、【規格・数量】未入力、【単価】入力不十分、【補助対象区分】未入力"&amp;CHAR(10),
IF(AND(AF17="○",AG17="○",AH17="×",AI17="◎"),"【要修正】【整備先・内容】未入力、【規格・数量】未入力、【単価】入力不十分"&amp;CHAR(10),
IF(AND(AF17="○",AG17="○",AH17="◎",AI17="○"),"【要修正】【整備先・内容】未入力、【規格・数量】未入力、【補助対象区分】未入力"&amp;CHAR(10),
IF(AND(AF17="○",AG17="○",AH17="◎",AI17="◎"),"【要修正】【整備先・内容】未入力、【規格・数量】未入力"&amp;CHAR(10),
IF(AND(AF17="○",AG17="×",AH17="○",AI17="○"),"【要修正】【整備先・内容】未入力、【規格・数量】入力不十分、【単価】未入力、【補助対象区分】未入力"&amp;CHAR(10),
IF(AND(AF17="○",AG17="×",AH17="○",AI17="◎"),"【要修正】【整備先・内容】未入力、【規格・数量】入力不十分、【単価】未入力"&amp;CHAR(10),
IF(AND(AF17="○",AG17="×",AH17="×",AI17="○"),"【要修正】【整備先・内容】未入力、【規格・数量】入力不十分、【単価】入力不十分、【補助対象区分】未入力"&amp;CHAR(10),
IF(AND(AF17="○",AG17="×",AH17="×",AI17="◎"),"【要修正】【整備先・内容】未入力、【規格・数量】入力不十分、【単価】入力不十分"&amp;CHAR(10),
IF(AND(AF17="○",AG17="×",AH17="◎",AI17="○"),"【要修正】【整備先・内容】未入力、【規格・数量】入力不十分、【補助対象区分】未入力"&amp;CHAR(10),
IF(AND(AF17="○",AG17="×",AH17="◎",AI17="◎"),"【要修正】【整備先・内容】未入力、【規格・数量】入力不十分"&amp;CHAR(10),
IF(AND(AF17="○",AG17="◎",AH17="○",AI17="○"),"【要修正】【整備先・内容】未入力、【単価】未入力、【補助対象区分】未入力"&amp;CHAR(10),
IF(AND(AF17="○",AG17="◎",AH17="○",AI17="◎"),"【要修正】【整備先・内容】未入力、【単価】未入力"&amp;CHAR(10),
IF(AND(AF17="○",AG17="◎",AH17="×",AI17="○"),"【要修正】【整備先・内容】未入力、【単価】入力不十分、【補助対象区分】未入力"&amp;CHAR(10),
IF(AND(AF17="○",AG17="◎",AH17="×",AI17="◎"),"【要修正】【整備先・内容】未入力、【単価】入力不十分"&amp;CHAR(10),
IF(AND(AF17="○",AG17="◎",AH17="◎",AI17="○"),"【要修正】【整備先・内容】未入力、【補助対象区分】未入力"&amp;CHAR(10),
IF(AND(AF17="○",AG17="◎",AH17="◎",AI17="◎"),"【要修正】【整備先・内容】未入力"&amp;CHAR(10),
IF(AND(AF17="×",AG17="○",AH17="○",AI17="○"),"【要修正】【整備先・内容】入力不十分、【規格・数量】未入力、【単価】未入力、【補助対象区分】未入力"&amp;CHAR(10),
IF(AND(AF17="×",AG17="○",AH17="○",AI17="◎"),"【要修正】【整備先・内容】入力不十分、【規格・数量】未入力、【単価】未入力"&amp;CHAR(10),
IF(AND(AF17="×",AG17="○",AH17="×",AI17="○"),"【要修正】【整備先・内容】入力不十分、【規格・数量】未入力、【単価】入力不十分、【補助対象区分】未入力"&amp;CHAR(10),
IF(AND(AF17="×",AG17="○",AH17="×",AI17="◎"),"【要修正】【整備先・内容】入力不十分、【規格・数量】未入力、【単価】入力不十分"&amp;CHAR(10),
IF(AND(AF17="×",AG17="○",AH17="◎",AI17="○"),"【要修正】【整備先・内容】入力不十分、【規格・数量】未入力、【補助対象区分】未入力"&amp;CHAR(10),
IF(AND(AF17="×",AG17="○",AH17="◎",AI17="◎"),"【要修正】【整備先・内容】入力不十分、【規格・数量】未入力"&amp;CHAR(10),
IF(AND(AF17="×",AG17="×",AH17="○",AI17="○"),"【要修正】【整備先・内容】入力不十分、【規格・数量】入力不十分、【単価】未入力、【補助対象区分】未入力"&amp;CHAR(10),
IF(AND(AF17="×",AG17="×",AH17="○",AI17="◎"),"【要修正】【整備先・内容】入力不十分、【規格・数量】入力不十分、【単価】未入力"&amp;CHAR(10),
IF(AND(AF17="×",AG17="×",AH17="×",AI17="○"),"【要修正】【整備先・内容】入力不十分、【規格・数量】入力不十分、【単価】入力不十分、【補助対象区分】未入力"&amp;CHAR(10),
IF(AND(AF17="×",AG17="×",AH17="×",AI17="◎"),"【要修正】【整備先・内容】入力不十分、【規格・数量】入力不十分、【単価】入力不十分"&amp;CHAR(10),
IF(AND(AF17="×",AG17="×",AH17="◎",AI17="○"),"【要修正】【整備先・内容】入力不十分、【規格・数量】入力不十分、【補助対象区分】未入力"&amp;CHAR(10),
IF(AND(AF17="×",AG17="×",AH17="◎",AI17="◎"),"【要修正】【整備先・内容】入力不十分、【規格・数量】入力不十分"&amp;CHAR(10),
IF(AND(AF17="×",AG17="◎",AH17="○",AI17="○"),"【要修正】【整備先・内容】入力不十分、【単価】未入力、【補助対象区分】未入力"&amp;CHAR(10),
IF(AND(AF17="×",AG17="◎",AH17="○",AI17="◎"),"【要修正】【整備先・内容】入力不十分、【単価】未入力"&amp;CHAR(10),
IF(AND(AF17="×",AG17="◎",AH17="×",AI17="○"),"【要修正】【整備先・内容】入力不十分、【単価】入力不十分、【補助対象区分】未入力"&amp;CHAR(10),
IF(AND(AF17="×",AG17="◎",AH17="×",AI17="◎"),"【要修正】【整備先・内容】入力不十分、【単価】入力不十分"&amp;CHAR(10),
IF(AND(AF17="×",AG17="◎",AH17="◎",AI17="○"),"【要修正】【整備先・内容】入力不十分、【補助対象区分】未入力"&amp;CHAR(10),
IF(AND(AF17="×",AG17="◎",AH17="◎",AI17="◎"),"【要修正】【整備先・内容】入力不十分"&amp;CHAR(10),
IF(AND(AF17="◎",AG17="○",AH17="○",AI17="○"),"【要修正】【規格・数量】未入力、【単価】未入力、【補助対象区分】未入力"&amp;CHAR(10),
IF(AND(AF17="◎",AG17="○",AH17="○",AI17="◎"),"【要修正】【規格・数量】未入力、【単価】未入力"&amp;CHAR(10),
IF(AND(AF17="◎",AG17="○",AH17="×",AI17="○"),"【要修正】【規格・数量】未入力、【単価】入力不十分、【補助対象区分】未入力"&amp;CHAR(10),
IF(AND(AF17="◎",AG17="○",AH17="×",AI17="◎"),"【要修正】【規格・数量】未入力、【単価】入力不十分"&amp;CHAR(10),
IF(AND(AF17="◎",AG17="○",AH17="◎",AI17="○"),"【要修正】【規格・数量】未入力、【補助対象区分】未入力"&amp;CHAR(10),
IF(AND(AF17="◎",AG17="○",AH17="◎",AI17="◎"),"【要修正】【規格・数量】未入力"&amp;CHAR(10),
IF(AND(AF17="◎",AG17="×",AH17="○",AI17="○"),"【要修正】【規格・数量】入力不十分、【単価】未入力、【補助対象区分】未入力"&amp;CHAR(10),
IF(AND(AF17="◎",AG17="×",AH17="○",AI17="◎"),"【要修正】【規格・数量】入力不十分、【単価】未入力"&amp;CHAR(10),
IF(AND(AF17="◎",AG17="×",AH17="×",AI17="○"),"【要修正】【規格・数量】入力不十分、【単価】入力不十分、【補助対象区分】未入力"&amp;CHAR(10),
IF(AND(AF17="◎",AG17="×",AH17="×",AI17="◎"),"【要修正】【規格・数量】入力不十分、【単価】入力不十分"&amp;CHAR(10),
IF(AND(AF17="◎",AG17="×",AH17="◎",AI17="○"),"【要修正】【規格・数量】入力不十分、【補助対象区分】未入力"&amp;CHAR(10),
IF(AND(AF17="◎",AG17="×",AH17="◎",AI17="◎"),"【要修正】【規格・数量】入力不十分"&amp;CHAR(10),
IF(AND(AF17="◎",AG17="◎",AH17="○",AI17="○"),"【要修正】【単価】未入力、【補助対象区分】未入力"&amp;CHAR(10),
IF(AND(AF17="◎",AG17="◎",AH17="○",AI17="◎"),"【要修正】【単価】未入力"&amp;CHAR(10),
IF(AND(AF17="◎",AG17="◎",AH17="×",AI17="○"),"【要修正】【単価】入力不十分、【補助対象区分】未入力"&amp;CHAR(10),
IF(AND(AF17="◎",AG17="◎",AH17="×",AI17="◎"),"【要修正】【単価】入力不十分"&amp;CHAR(10),
IF(AND(AF17="◎",AG17="◎",AH17="◎",AI17="○"),"【要修正】【補助対象区分】未入力"&amp;CHAR(10),
IF(AND(AF17="◎",AG17="◎",AH17="◎",AI17="◎"),"適切に入力がされました。",
))))))))))))))))))))))))))))))))))))))))))))))))))))))</f>
        <v>申請しない場合は入力不要です。</v>
      </c>
      <c r="AF17" s="234" t="str">
        <f t="shared" ref="AF17:AF75" si="4">IF(COUNTA(B17:D17)=0,"○",IF(AND(COUNTA(B17:D17)&gt;=1,COUNTA(B17:D17)&lt;3),"×",IF(COUNTA(B17:D17)=3,"◎")))</f>
        <v>○</v>
      </c>
      <c r="AG17" s="234" t="str">
        <f t="shared" ref="AG17:AG75" si="5">IF(COUNTA(E17,F17,J17)=0,"○",IF(AND(COUNTA(E17,F17,J17)&gt;=1,COUNTA(E17,F17,J17)&lt;3),"×",IF(COUNTA(E17,F17,J17)=3,"◎")))</f>
        <v>○</v>
      </c>
      <c r="AH17" s="234" t="str">
        <f t="shared" ref="AH17:AH75" si="6">IF(COUNTA(G17:H17)=0,"○",IF(COUNTA(G17:H17)=1,"◎",IF(COUNTA(G17:H17)=2,"×")))</f>
        <v>○</v>
      </c>
      <c r="AI17" s="231" t="str">
        <f t="shared" ref="AI17:AI75" si="7">IF(COUNTA(J17)=0,"○",IF(COUNTA(J17)=1,"◎"))</f>
        <v>○</v>
      </c>
      <c r="AJ17" s="14" t="str">
        <f t="shared" ref="AJ17:AJ75" si="8" xml:space="preserve">
IF(AND(AF17="○",AG17="○",AH17="○",AI17="○"),"",
IF(AND(AF17="○",AG17="○",AH17="○",AI17="◎"),"【"&amp;AK17&amp;"行目】【整備先・内容】未入力、【規格・数量】未入力、【単価】未入力"&amp;CHAR(10),
IF(AND(AF17="○",AG17="○",AH17="×",AI17="○"),"【"&amp;AK17&amp;"行目】【整備先・内容】未入力、【規格・数量】未入力、【単価】入力不十分、【補助対象区分】未入力"&amp;CHAR(10),
IF(AND(AF17="○",AG17="○",AH17="×",AI17="◎"),"【"&amp;AK17&amp;"行目】【整備先・内容】未入力、【規格・数量】未入力、【単価】入力不十分"&amp;CHAR(10),
IF(AND(AF17="○",AG17="○",AH17="◎",AI17="○"),"【"&amp;AK17&amp;"行目】【整備先・内容】未入力、【規格・数量】未入力、【補助対象区分】未入力"&amp;CHAR(10),
IF(AND(AF17="○",AG17="○",AH17="◎",AI17="◎"),"【"&amp;AK17&amp;"行目】【整備先・内容】未入力、【規格・数量】未入力"&amp;CHAR(10),
IF(AND(AF17="○",AG17="×",AH17="○",AI17="○"),"【"&amp;AK17&amp;"行目】【整備先・内容】未入力、【規格・数量】入力不十分、【単価】未入力、【補助対象区分】未入力"&amp;CHAR(10),
IF(AND(AF17="○",AG17="×",AH17="○",AI17="◎"),"【"&amp;AK17&amp;"行目】【整備先・内容】未入力、【規格・数量】入力不十分、【単価】未入力"&amp;CHAR(10),
IF(AND(AF17="○",AG17="×",AH17="×",AI17="○"),"【"&amp;AK17&amp;"行目】【整備先・内容】未入力、【規格・数量】入力不十分、【単価】入力不十分、【補助対象区分】未入力"&amp;CHAR(10),
IF(AND(AF17="○",AG17="×",AH17="×",AI17="◎"),"【"&amp;AK17&amp;"行目】【整備先・内容】未入力、【規格・数量】入力不十分、【単価】入力不十分"&amp;CHAR(10),
IF(AND(AF17="○",AG17="×",AH17="◎",AI17="○"),"【"&amp;AK17&amp;"行目】【整備先・内容】未入力、【規格・数量】入力不十分、【補助対象区分】未入力"&amp;CHAR(10),
IF(AND(AF17="○",AG17="×",AH17="◎",AI17="◎"),"【"&amp;AK17&amp;"行目】【整備先・内容】未入力、【規格・数量】入力不十分"&amp;CHAR(10),
IF(AND(AF17="○",AG17="◎",AH17="○",AI17="○"),"【"&amp;AK17&amp;"行目】【整備先・内容】未入力、【単価】未入力、【補助対象区分】未入力"&amp;CHAR(10),
IF(AND(AF17="○",AG17="◎",AH17="○",AI17="◎"),"【"&amp;AK17&amp;"行目】【整備先・内容】未入力、【単価】未入力"&amp;CHAR(10),
IF(AND(AF17="○",AG17="◎",AH17="×",AI17="○"),"【"&amp;AK17&amp;"行目】【整備先・内容】未入力、【単価】入力不十分、【補助対象区分】未入力"&amp;CHAR(10),
IF(AND(AF17="○",AG17="◎",AH17="×",AI17="◎"),"【"&amp;AK17&amp;"行目】【整備先・内容】未入力、【単価】入力不十分"&amp;CHAR(10),
IF(AND(AF17="○",AG17="◎",AH17="◎",AI17="○"),"【"&amp;AK17&amp;"行目】【整備先・内容】未入力、【補助対象区分】未入力"&amp;CHAR(10),
IF(AND(AF17="○",AG17="◎",AH17="◎",AI17="◎"),"【"&amp;AK17&amp;"行目】【整備先・内容】未入力"&amp;CHAR(10),
IF(AND(AF17="×",AG17="○",AH17="○",AI17="○"),"【"&amp;AK17&amp;"行目】【整備先・内容】入力不十分、【規格・数量】未入力、【単価】未入力、【補助対象区分】未入力"&amp;CHAR(10),
IF(AND(AF17="×",AG17="○",AH17="○",AI17="◎"),"【"&amp;AK17&amp;"行目】【整備先・内容】入力不十分、【規格・数量】未入力、【単価】未入力"&amp;CHAR(10),
IF(AND(AF17="×",AG17="○",AH17="×",AI17="○"),"【"&amp;AK17&amp;"行目】【整備先・内容】入力不十分、【規格・数量】未入力、【単価】入力不十分、【補助対象区分】未入力"&amp;CHAR(10),
IF(AND(AF17="×",AG17="○",AH17="×",AI17="◎"),"【"&amp;AK17&amp;"行目】【整備先・内容】入力不十分、【規格・数量】未入力、【単価】入力不十分"&amp;CHAR(10),
IF(AND(AF17="×",AG17="○",AH17="◎",AI17="○"),"【"&amp;AK17&amp;"行目】【整備先・内容】入力不十分、【規格・数量】未入力、【補助対象区分】未入力"&amp;CHAR(10),
IF(AND(AF17="×",AG17="○",AH17="◎",AI17="◎"),"【"&amp;AK17&amp;"行目】【整備先・内容】入力不十分、【規格・数量】未入力"&amp;CHAR(10),
IF(AND(AF17="×",AG17="×",AH17="○",AI17="○"),"【"&amp;AK17&amp;"行目】【整備先・内容】入力不十分、【規格・数量】入力不十分、【単価】未入力、【補助対象区分】未入力"&amp;CHAR(10),
IF(AND(AF17="×",AG17="×",AH17="○",AI17="◎"),"【"&amp;AK17&amp;"行目】【整備先・内容】入力不十分、【規格・数量】入力不十分、【単価】未入力"&amp;CHAR(10),
IF(AND(AF17="×",AG17="×",AH17="×",AI17="○"),"【"&amp;AK17&amp;"行目】【整備先・内容】入力不十分、【規格・数量】入力不十分、【単価】入力不十分、【補助対象区分】未入力"&amp;CHAR(10),
IF(AND(AF17="×",AG17="×",AH17="×",AI17="◎"),"【"&amp;AK17&amp;"行目】【整備先・内容】入力不十分、【規格・数量】入力不十分、【単価】入力不十分"&amp;CHAR(10),
IF(AND(AF17="×",AG17="×",AH17="◎",AI17="○"),"【"&amp;AK17&amp;"行目】【整備先・内容】入力不十分、【規格・数量】入力不十分、【補助対象区分】未入力"&amp;CHAR(10),
IF(AND(AF17="×",AG17="×",AH17="◎",AI17="◎"),"【"&amp;AK17&amp;"行目】【整備先・内容】入力不十分、【規格・数量】入力不十分"&amp;CHAR(10),
IF(AND(AF17="×",AG17="◎",AH17="○",AI17="○"),"【"&amp;AK17&amp;"行目】【整備先・内容】入力不十分、【単価】未入力、【補助対象区分】未入力"&amp;CHAR(10),
IF(AND(AF17="×",AG17="◎",AH17="○",AI17="◎"),"【"&amp;AK17&amp;"行目】【整備先・内容】入力不十分、【単価】未入力"&amp;CHAR(10),
IF(AND(AF17="×",AG17="◎",AH17="×",AI17="○"),"【"&amp;AK17&amp;"行目】【整備先・内容】入力不十分、【単価】入力不十分、【補助対象区分】未入力"&amp;CHAR(10),
IF(AND(AF17="×",AG17="◎",AH17="×",AI17="◎"),"【"&amp;AK17&amp;"行目】【整備先・内容】入力不十分、【単価】入力不十分"&amp;CHAR(10),
IF(AND(AF17="×",AG17="◎",AH17="◎",AI17="○"),"【"&amp;AK17&amp;"行目】【整備先・内容】入力不十分、【補助対象区分】未入力"&amp;CHAR(10),
IF(AND(AF17="×",AG17="◎",AH17="◎",AI17="◎"),"【"&amp;AK17&amp;"行目】【整備先・内容】入力不十分"&amp;CHAR(10),
IF(AND(AF17="◎",AG17="○",AH17="○",AI17="○"),"【"&amp;AK17&amp;"行目】【規格・数量】未入力、【単価】未入力、【補助対象区分】未入力"&amp;CHAR(10),
IF(AND(AF17="◎",AG17="○",AH17="○",AI17="◎"),"【"&amp;AK17&amp;"行目】【規格・数量】未入力、【単価】未入力"&amp;CHAR(10),
IF(AND(AF17="◎",AG17="○",AH17="×",AI17="○"),"【"&amp;AK17&amp;"行目】【規格・数量】未入力、【単価】入力不十分、【補助対象区分】未入力"&amp;CHAR(10),
IF(AND(AF17="◎",AG17="○",AH17="×",AI17="◎"),"【"&amp;AK17&amp;"行目】【規格・数量】未入力、【単価】入力不十分"&amp;CHAR(10),
IF(AND(AF17="◎",AG17="○",AH17="◎",AI17="○"),"【"&amp;AK17&amp;"行目】【規格・数量】未入力、【補助対象区分】未入力"&amp;CHAR(10),
IF(AND(AF17="◎",AG17="○",AH17="◎",AI17="◎"),"【"&amp;AK17&amp;"行目】【規格・数量】未入力"&amp;CHAR(10),
IF(AND(AF17="◎",AG17="×",AH17="○",AI17="○"),"【"&amp;AK17&amp;"行目】【規格・数量】入力不十分、【単価】未入力、【補助対象区分】未入力"&amp;CHAR(10),
IF(AND(AF17="◎",AG17="×",AH17="○",AI17="◎"),"【"&amp;AK17&amp;"行目】【規格・数量】入力不十分、【単価】未入力"&amp;CHAR(10),
IF(AND(AF17="◎",AG17="×",AH17="×",AI17="○"),"【"&amp;AK17&amp;"行目】【規格・数量】入力不十分、【単価】入力不十分、【補助対象区分】未入力"&amp;CHAR(10),
IF(AND(AF17="◎",AG17="×",AH17="×",AI17="◎"),"【"&amp;AK17&amp;"行目】【規格・数量】入力不十分、【単価】入力不十分"&amp;CHAR(10),
IF(AND(AF17="◎",AG17="×",AH17="◎",AI17="○"),"【"&amp;AK17&amp;"行目】【規格・数量】入力不十分、【補助対象区分】未入力"&amp;CHAR(10),
IF(AND(AF17="◎",AG17="×",AH17="◎",AI17="◎"),"【"&amp;AK17&amp;"行目】【規格・数量】入力不十分"&amp;CHAR(10),
IF(AND(AF17="◎",AG17="◎",AH17="○",AI17="○"),"【"&amp;AK17&amp;"行目】【単価】未入力、【補助対象区分】未入力"&amp;CHAR(10),
IF(AND(AF17="◎",AG17="◎",AH17="○",AI17="◎"),"【"&amp;AK17&amp;"行目】【単価】未入力"&amp;CHAR(10),
IF(AND(AF17="◎",AG17="◎",AH17="×",AI17="○"),"【"&amp;AK17&amp;"行目】【単価】入力不十分、【補助対象区分】未入力"&amp;CHAR(10),
IF(AND(AF17="◎",AG17="◎",AH17="×",AI17="◎"),"【"&amp;AK17&amp;"行目】【単価】入力不十分"&amp;CHAR(10),
IF(AND(AF17="◎",AG17="◎",AH17="◎",AI17="○"),"【"&amp;AK17&amp;"行目】【補助対象区分】未入力"&amp;CHAR(10),
IF(AND(AF17="◎",AG17="◎",AH17="◎",AI17="◎"),"",
))))))))))))))))))))))))))))))))))))))))))))))))))))))</f>
        <v/>
      </c>
      <c r="AK17" s="41">
        <v>2</v>
      </c>
    </row>
    <row r="18" spans="1:75" ht="24.95" customHeight="1">
      <c r="A18" s="38">
        <v>3</v>
      </c>
      <c r="B18" s="313"/>
      <c r="C18" s="313"/>
      <c r="D18" s="313"/>
      <c r="E18" s="314"/>
      <c r="F18" s="315"/>
      <c r="G18" s="316"/>
      <c r="H18" s="316"/>
      <c r="I18" s="45">
        <f t="shared" si="0"/>
        <v>0</v>
      </c>
      <c r="J18" s="317"/>
      <c r="K18" s="45">
        <f t="shared" si="1"/>
        <v>0</v>
      </c>
      <c r="L18" s="44" t="str">
        <f>IF(AD18="◎",COUNTIF($AD$16:AD18,"◎"),"")</f>
        <v/>
      </c>
      <c r="W18" s="234" t="str">
        <f>IF(B18="既設病床",はじめに入力してください!$K$12,IF(B18="新設病床",はじめに入力してください!$K$13,IF(B18="共通使用",1,"")))</f>
        <v/>
      </c>
      <c r="AC18" s="49" t="s">
        <v>69</v>
      </c>
      <c r="AD18" s="231" t="str">
        <f t="shared" si="2"/>
        <v>○</v>
      </c>
      <c r="AE18" s="35" t="str">
        <f t="shared" si="3"/>
        <v>申請しない場合は入力不要です。</v>
      </c>
      <c r="AF18" s="234" t="str">
        <f t="shared" si="4"/>
        <v>○</v>
      </c>
      <c r="AG18" s="234" t="str">
        <f t="shared" si="5"/>
        <v>○</v>
      </c>
      <c r="AH18" s="234" t="str">
        <f t="shared" si="6"/>
        <v>○</v>
      </c>
      <c r="AI18" s="231" t="str">
        <f t="shared" si="7"/>
        <v>○</v>
      </c>
      <c r="AJ18" s="14" t="str">
        <f t="shared" si="8"/>
        <v/>
      </c>
      <c r="AK18" s="41">
        <v>3</v>
      </c>
      <c r="AY18" s="760" t="s">
        <v>76</v>
      </c>
      <c r="AZ18" s="761"/>
      <c r="BA18" s="761"/>
      <c r="BB18" s="761"/>
      <c r="BC18" s="762"/>
      <c r="BD18" s="760" t="s">
        <v>75</v>
      </c>
      <c r="BE18" s="761"/>
      <c r="BF18" s="761"/>
      <c r="BG18" s="761"/>
      <c r="BH18" s="762"/>
      <c r="BO18" s="198" t="s">
        <v>123</v>
      </c>
      <c r="BP18" s="198" t="s">
        <v>64</v>
      </c>
      <c r="BQ18" s="198" t="s">
        <v>122</v>
      </c>
      <c r="BR18" s="198" t="s">
        <v>121</v>
      </c>
      <c r="BS18" s="763" t="s">
        <v>89</v>
      </c>
      <c r="BT18" s="764"/>
      <c r="BU18" s="764"/>
      <c r="BV18" s="764"/>
      <c r="BW18" s="764"/>
    </row>
    <row r="19" spans="1:75" ht="24.95" customHeight="1">
      <c r="A19" s="38">
        <v>4</v>
      </c>
      <c r="B19" s="313"/>
      <c r="C19" s="313"/>
      <c r="D19" s="313"/>
      <c r="E19" s="314"/>
      <c r="F19" s="315"/>
      <c r="G19" s="316"/>
      <c r="H19" s="316"/>
      <c r="I19" s="45">
        <f t="shared" si="0"/>
        <v>0</v>
      </c>
      <c r="J19" s="317"/>
      <c r="K19" s="45">
        <f t="shared" si="1"/>
        <v>0</v>
      </c>
      <c r="L19" s="44" t="str">
        <f>IF(AD19="◎",COUNTIF($AD$16:AD19,"◎"),"")</f>
        <v/>
      </c>
      <c r="W19" s="234" t="str">
        <f>IF(B19="既設病床",はじめに入力してください!$K$12,IF(B19="新設病床",はじめに入力してください!$K$13,IF(B19="共通使用",1,"")))</f>
        <v/>
      </c>
      <c r="Y19" s="203"/>
      <c r="AC19" s="49" t="s">
        <v>69</v>
      </c>
      <c r="AD19" s="231" t="str">
        <f t="shared" si="2"/>
        <v>○</v>
      </c>
      <c r="AE19" s="35" t="str">
        <f t="shared" si="3"/>
        <v>申請しない場合は入力不要です。</v>
      </c>
      <c r="AF19" s="234" t="str">
        <f t="shared" si="4"/>
        <v>○</v>
      </c>
      <c r="AG19" s="234" t="str">
        <f t="shared" si="5"/>
        <v>○</v>
      </c>
      <c r="AH19" s="234" t="str">
        <f t="shared" si="6"/>
        <v>○</v>
      </c>
      <c r="AI19" s="231" t="str">
        <f t="shared" si="7"/>
        <v>○</v>
      </c>
      <c r="AJ19" s="14" t="str">
        <f t="shared" si="8"/>
        <v/>
      </c>
      <c r="AK19" s="41">
        <v>4</v>
      </c>
      <c r="AY19" s="765" t="e">
        <f>IF(BP19="○","個人防護具の申請を行わない場合は可",IF(BP19="×","　【未入力有】"&amp;CHAR(10)&amp;"　補助基準額を算出するため黄色セルを"&amp;CHAR(10)&amp;"　どちらも入力してください。"&amp;CHAR(10)&amp;"（「0」は入力しないでください。）",IF(BP19="◎","適切に入力されました。"&amp;CHAR(10)&amp;"延"&amp;#REF!&amp;"人×3,600円/円・日="&amp;TEXT(#REF!*3600,"#,##0")&amp;"円")))</f>
        <v>#REF!</v>
      </c>
      <c r="AZ19" s="766"/>
      <c r="BA19" s="766"/>
      <c r="BB19" s="766"/>
      <c r="BC19" s="767"/>
      <c r="BD19" s="766" t="str">
        <f>IF(BP20="×","【要修正】"&amp;CHAR(10)&amp;"入力が適切に完了していない項目があります。"&amp;CHAR(10)&amp;"判定欄が「×」の行は、記載が不十分または不要な入力がされていてる可能性がありますのでご確認をお願いします。",IF(BP20="○","個人防護具の補助申請を行わない場合は可",IF(BP20="◎","適切に入力がされました。"&amp;CHAR(10)&amp;"添付書類（発注、納品および支払いが確認できるもの）の御用意、御提出をお願いします。")))</f>
        <v>個人防護具の補助申請を行わない場合は可</v>
      </c>
      <c r="BE19" s="767"/>
      <c r="BF19" s="767"/>
      <c r="BG19" s="767"/>
      <c r="BH19" s="767"/>
      <c r="BO19" s="52" t="s">
        <v>128</v>
      </c>
      <c r="BP19" s="196" t="e">
        <f>IF(COUNTA(#REF!)=0,"○",IF(OR(COUNTA(#REF!)=1,#REF!=0,#REF!=0),"×",IF(COUNTA(#REF!)=2,"◎")))</f>
        <v>#REF!</v>
      </c>
      <c r="BQ19" s="768" t="e">
        <f xml:space="preserve">
IF(AND(BP19="×",BP20="×"),"×",
IF(AND(BP19="×",BP20="○"),"×",
IF(AND(BP19="×",BP20="◎"),"×",
IF(AND(BP19="○",BP20="×"),"×",
IF(AND(BP19="○",BP20="○"),"○",
IF(AND(BP19="○",BP20="◎"),"×",
IF(AND(BP19="◎",BP20="×"),"×",
IF(AND(BP19="◎",BP20="○"),"×",
IF(AND(BP19="◎",BP20="◎"),"◎",
)))))))))</f>
        <v>#REF!</v>
      </c>
      <c r="BR19" s="770" t="e">
        <f xml:space="preserve">
IF(AND(BP19="×",BP20="×"),"【要修正】「はじめに」及び「防護具情報」いずれも入力が不十分です。",
IF(AND(BP19="×",BP20="○"),"【要修正】「はじめに」が入力不十分、また「防護具情報」が未入力です。",
IF(AND(BP19="×",BP20="◎"),"【要修正】「はじめに」が入力不十分です。",
IF(AND(BP19="○",BP20="×"),"【要修正】「はじめに」が未入力、「防護具情報」が入力不十分です。",
IF(AND(BP19="○",BP20="○"),"個人防護具の補助申請を行わない場合は入力不要です。",
IF(AND(BP19="○",BP20="◎"),"【要修正】「はじめに」が未入力です。",
IF(AND(BP19="◎",BP20="×"),"【要修正】「防護具情報」が入力不十分です。",
IF(AND(BP19="◎",BP20="○"),"【要修正】「防護具情報」が入力不十分です。",
IF(AND(BP19="◎",BP20="◎"),"いずれの項目も適切に入力されました。",
)))))))))</f>
        <v>#REF!</v>
      </c>
      <c r="BS19" s="763"/>
      <c r="BT19" s="764"/>
      <c r="BU19" s="764"/>
      <c r="BV19" s="764"/>
      <c r="BW19" s="764"/>
    </row>
    <row r="20" spans="1:75" ht="24.95" customHeight="1">
      <c r="A20" s="38">
        <v>5</v>
      </c>
      <c r="B20" s="313"/>
      <c r="C20" s="313"/>
      <c r="D20" s="313"/>
      <c r="E20" s="314"/>
      <c r="F20" s="315"/>
      <c r="G20" s="316"/>
      <c r="H20" s="316"/>
      <c r="I20" s="45">
        <f t="shared" si="0"/>
        <v>0</v>
      </c>
      <c r="J20" s="317"/>
      <c r="K20" s="45">
        <f t="shared" si="1"/>
        <v>0</v>
      </c>
      <c r="L20" s="44" t="str">
        <f>IF(AD20="◎",COUNTIF($AD$16:AD20,"◎"),"")</f>
        <v/>
      </c>
      <c r="W20" s="234" t="str">
        <f>IF(B20="既設病床",はじめに入力してください!$K$12,IF(B20="新設病床",はじめに入力してください!$K$13,IF(B20="共通使用",1,"")))</f>
        <v/>
      </c>
      <c r="AC20" s="49" t="s">
        <v>69</v>
      </c>
      <c r="AD20" s="231" t="str">
        <f t="shared" si="2"/>
        <v>○</v>
      </c>
      <c r="AE20" s="35" t="str">
        <f t="shared" si="3"/>
        <v>申請しない場合は入力不要です。</v>
      </c>
      <c r="AF20" s="234" t="str">
        <f t="shared" si="4"/>
        <v>○</v>
      </c>
      <c r="AG20" s="234" t="str">
        <f t="shared" si="5"/>
        <v>○</v>
      </c>
      <c r="AH20" s="234" t="str">
        <f t="shared" si="6"/>
        <v>○</v>
      </c>
      <c r="AI20" s="231" t="str">
        <f t="shared" si="7"/>
        <v>○</v>
      </c>
      <c r="AJ20" s="14" t="str">
        <f t="shared" si="8"/>
        <v/>
      </c>
      <c r="AK20" s="41">
        <v>5</v>
      </c>
      <c r="AY20" s="766"/>
      <c r="AZ20" s="766"/>
      <c r="BA20" s="766"/>
      <c r="BB20" s="766"/>
      <c r="BC20" s="767"/>
      <c r="BD20" s="767"/>
      <c r="BE20" s="767"/>
      <c r="BF20" s="767"/>
      <c r="BG20" s="767"/>
      <c r="BH20" s="767"/>
      <c r="BO20" s="52" t="s">
        <v>130</v>
      </c>
      <c r="BP20" s="196" t="str">
        <f>IF(COUNTIF(AD16:AD47,"×")&gt;1,"×",IF(COUNTIF(AD16:AD47,"○")=32,"○","◎"))</f>
        <v>○</v>
      </c>
      <c r="BQ20" s="769"/>
      <c r="BR20" s="771"/>
      <c r="BS20" s="763"/>
      <c r="BT20" s="764"/>
      <c r="BU20" s="764"/>
      <c r="BV20" s="764"/>
      <c r="BW20" s="764"/>
    </row>
    <row r="21" spans="1:75" ht="24.95" customHeight="1">
      <c r="A21" s="38">
        <v>6</v>
      </c>
      <c r="B21" s="313"/>
      <c r="C21" s="313"/>
      <c r="D21" s="313"/>
      <c r="E21" s="314"/>
      <c r="F21" s="315"/>
      <c r="G21" s="316"/>
      <c r="H21" s="316"/>
      <c r="I21" s="45">
        <f t="shared" si="0"/>
        <v>0</v>
      </c>
      <c r="J21" s="317"/>
      <c r="K21" s="45">
        <f t="shared" si="1"/>
        <v>0</v>
      </c>
      <c r="L21" s="44" t="str">
        <f>IF(AD21="◎",COUNTIF($AD$16:AD21,"◎"),"")</f>
        <v/>
      </c>
      <c r="W21" s="234" t="str">
        <f>IF(B21="既設病床",はじめに入力してください!$K$12,IF(B21="新設病床",はじめに入力してください!$K$13,IF(B21="共通使用",1,"")))</f>
        <v/>
      </c>
      <c r="AC21" s="49" t="s">
        <v>69</v>
      </c>
      <c r="AD21" s="231" t="str">
        <f t="shared" si="2"/>
        <v>○</v>
      </c>
      <c r="AE21" s="35" t="str">
        <f t="shared" si="3"/>
        <v>申請しない場合は入力不要です。</v>
      </c>
      <c r="AF21" s="234" t="str">
        <f t="shared" si="4"/>
        <v>○</v>
      </c>
      <c r="AG21" s="234" t="str">
        <f t="shared" si="5"/>
        <v>○</v>
      </c>
      <c r="AH21" s="234" t="str">
        <f t="shared" si="6"/>
        <v>○</v>
      </c>
      <c r="AI21" s="231" t="str">
        <f t="shared" si="7"/>
        <v>○</v>
      </c>
      <c r="AJ21" s="14" t="str">
        <f t="shared" si="8"/>
        <v/>
      </c>
      <c r="AK21" s="41">
        <v>6</v>
      </c>
      <c r="AY21" s="766"/>
      <c r="AZ21" s="766"/>
      <c r="BA21" s="766"/>
      <c r="BB21" s="766"/>
      <c r="BC21" s="767"/>
      <c r="BD21" s="767"/>
      <c r="BE21" s="767"/>
      <c r="BF21" s="767"/>
      <c r="BG21" s="767"/>
      <c r="BH21" s="767"/>
      <c r="BO21" s="59" t="s">
        <v>127</v>
      </c>
      <c r="BP21" s="60"/>
      <c r="BQ21" s="60"/>
      <c r="BR21" s="55"/>
      <c r="BS21" s="55"/>
      <c r="BT21" s="197"/>
      <c r="BU21" s="197"/>
      <c r="BV21" s="197"/>
      <c r="BW21" s="197"/>
    </row>
    <row r="22" spans="1:75" ht="24.95" customHeight="1">
      <c r="A22" s="38">
        <v>7</v>
      </c>
      <c r="B22" s="313"/>
      <c r="C22" s="313"/>
      <c r="D22" s="313"/>
      <c r="E22" s="314"/>
      <c r="F22" s="315"/>
      <c r="G22" s="316"/>
      <c r="H22" s="316"/>
      <c r="I22" s="45">
        <f t="shared" si="0"/>
        <v>0</v>
      </c>
      <c r="J22" s="317"/>
      <c r="K22" s="45">
        <f t="shared" si="1"/>
        <v>0</v>
      </c>
      <c r="L22" s="44" t="str">
        <f>IF(AD22="◎",COUNTIF($AD$16:AD22,"◎"),"")</f>
        <v/>
      </c>
      <c r="W22" s="234" t="str">
        <f>IF(B22="既設病床",はじめに入力してください!$K$12,IF(B22="新設病床",はじめに入力してください!$K$13,IF(B22="共通使用",1,"")))</f>
        <v/>
      </c>
      <c r="AC22" s="49" t="s">
        <v>69</v>
      </c>
      <c r="AD22" s="231" t="str">
        <f t="shared" si="2"/>
        <v>○</v>
      </c>
      <c r="AE22" s="35" t="str">
        <f t="shared" si="3"/>
        <v>申請しない場合は入力不要です。</v>
      </c>
      <c r="AF22" s="234" t="str">
        <f t="shared" si="4"/>
        <v>○</v>
      </c>
      <c r="AG22" s="234" t="str">
        <f t="shared" si="5"/>
        <v>○</v>
      </c>
      <c r="AH22" s="234" t="str">
        <f t="shared" si="6"/>
        <v>○</v>
      </c>
      <c r="AI22" s="231" t="str">
        <f t="shared" si="7"/>
        <v>○</v>
      </c>
      <c r="AJ22" s="14" t="str">
        <f t="shared" si="8"/>
        <v/>
      </c>
      <c r="AK22" s="41">
        <v>7</v>
      </c>
      <c r="AY22" s="767"/>
      <c r="AZ22" s="767"/>
      <c r="BA22" s="767"/>
      <c r="BB22" s="767"/>
      <c r="BC22" s="767"/>
      <c r="BD22" s="767"/>
      <c r="BE22" s="767"/>
      <c r="BF22" s="767"/>
      <c r="BG22" s="767"/>
      <c r="BH22" s="767"/>
      <c r="BS22" s="55"/>
      <c r="BT22" s="197"/>
      <c r="BU22" s="197"/>
      <c r="BV22" s="197"/>
      <c r="BW22" s="197"/>
    </row>
    <row r="23" spans="1:75" ht="24.95" customHeight="1">
      <c r="A23" s="38">
        <v>8</v>
      </c>
      <c r="B23" s="313"/>
      <c r="C23" s="313"/>
      <c r="D23" s="313"/>
      <c r="E23" s="314"/>
      <c r="F23" s="315"/>
      <c r="G23" s="316"/>
      <c r="H23" s="316"/>
      <c r="I23" s="45">
        <f t="shared" si="0"/>
        <v>0</v>
      </c>
      <c r="J23" s="317"/>
      <c r="K23" s="45">
        <f t="shared" si="1"/>
        <v>0</v>
      </c>
      <c r="L23" s="44" t="str">
        <f>IF(AD23="◎",COUNTIF($AD$16:AD23,"◎"),"")</f>
        <v/>
      </c>
      <c r="T23" s="197"/>
      <c r="U23" s="197"/>
      <c r="V23" s="197"/>
      <c r="W23" s="234" t="str">
        <f>IF(B23="既設病床",はじめに入力してください!$K$12,IF(B23="新設病床",はじめに入力してください!$K$13,IF(B23="共通使用",1,"")))</f>
        <v/>
      </c>
      <c r="AC23" s="49" t="s">
        <v>69</v>
      </c>
      <c r="AD23" s="231" t="str">
        <f t="shared" si="2"/>
        <v>○</v>
      </c>
      <c r="AE23" s="35" t="str">
        <f t="shared" si="3"/>
        <v>申請しない場合は入力不要です。</v>
      </c>
      <c r="AF23" s="234" t="str">
        <f t="shared" si="4"/>
        <v>○</v>
      </c>
      <c r="AG23" s="234" t="str">
        <f t="shared" si="5"/>
        <v>○</v>
      </c>
      <c r="AH23" s="234" t="str">
        <f t="shared" si="6"/>
        <v>○</v>
      </c>
      <c r="AI23" s="231" t="str">
        <f t="shared" si="7"/>
        <v>○</v>
      </c>
      <c r="AJ23" s="14" t="str">
        <f t="shared" si="8"/>
        <v/>
      </c>
      <c r="AK23" s="41">
        <v>8</v>
      </c>
      <c r="AY23" s="762"/>
      <c r="AZ23" s="767"/>
      <c r="BA23" s="767"/>
      <c r="BB23" s="767"/>
      <c r="BC23" s="767"/>
      <c r="BD23" s="767"/>
      <c r="BE23" s="767"/>
      <c r="BF23" s="767"/>
      <c r="BG23" s="767"/>
      <c r="BH23" s="767"/>
      <c r="BS23" s="55"/>
      <c r="BT23" s="197"/>
      <c r="BU23" s="197"/>
      <c r="BV23" s="197"/>
      <c r="BW23" s="197"/>
    </row>
    <row r="24" spans="1:75" ht="24.95" customHeight="1">
      <c r="A24" s="38">
        <v>9</v>
      </c>
      <c r="B24" s="313"/>
      <c r="C24" s="313"/>
      <c r="D24" s="313"/>
      <c r="E24" s="314"/>
      <c r="F24" s="315"/>
      <c r="G24" s="316"/>
      <c r="H24" s="316"/>
      <c r="I24" s="45">
        <f t="shared" si="0"/>
        <v>0</v>
      </c>
      <c r="J24" s="317"/>
      <c r="K24" s="45">
        <f t="shared" si="1"/>
        <v>0</v>
      </c>
      <c r="L24" s="44" t="str">
        <f>IF(AD24="◎",COUNTIF($AD$16:AD24,"◎"),"")</f>
        <v/>
      </c>
      <c r="W24" s="234" t="str">
        <f>IF(B24="既設病床",はじめに入力してください!$K$12,IF(B24="新設病床",はじめに入力してください!$K$13,IF(B24="共通使用",1,"")))</f>
        <v/>
      </c>
      <c r="AC24" s="49" t="s">
        <v>69</v>
      </c>
      <c r="AD24" s="231" t="str">
        <f t="shared" si="2"/>
        <v>○</v>
      </c>
      <c r="AE24" s="35" t="str">
        <f t="shared" si="3"/>
        <v>申請しない場合は入力不要です。</v>
      </c>
      <c r="AF24" s="234" t="str">
        <f t="shared" si="4"/>
        <v>○</v>
      </c>
      <c r="AG24" s="234" t="str">
        <f t="shared" si="5"/>
        <v>○</v>
      </c>
      <c r="AH24" s="234" t="str">
        <f t="shared" si="6"/>
        <v>○</v>
      </c>
      <c r="AI24" s="231" t="str">
        <f t="shared" si="7"/>
        <v>○</v>
      </c>
      <c r="AJ24" s="14" t="str">
        <f t="shared" si="8"/>
        <v/>
      </c>
      <c r="AK24" s="41">
        <v>9</v>
      </c>
    </row>
    <row r="25" spans="1:75" ht="24.95" customHeight="1">
      <c r="A25" s="38">
        <v>10</v>
      </c>
      <c r="B25" s="313"/>
      <c r="C25" s="313"/>
      <c r="D25" s="313"/>
      <c r="E25" s="314"/>
      <c r="F25" s="315"/>
      <c r="G25" s="316"/>
      <c r="H25" s="316"/>
      <c r="I25" s="45">
        <f t="shared" si="0"/>
        <v>0</v>
      </c>
      <c r="J25" s="317"/>
      <c r="K25" s="45">
        <f t="shared" si="1"/>
        <v>0</v>
      </c>
      <c r="L25" s="44" t="str">
        <f>IF(AD25="◎",COUNTIF($AD$16:AD25,"◎"),"")</f>
        <v/>
      </c>
      <c r="W25" s="234" t="str">
        <f>IF(B25="既設病床",はじめに入力してください!$K$12,IF(B25="新設病床",はじめに入力してください!$K$13,IF(B25="共通使用",1,"")))</f>
        <v/>
      </c>
      <c r="AC25" s="49" t="s">
        <v>69</v>
      </c>
      <c r="AD25" s="231" t="str">
        <f t="shared" si="2"/>
        <v>○</v>
      </c>
      <c r="AE25" s="35" t="str">
        <f t="shared" si="3"/>
        <v>申請しない場合は入力不要です。</v>
      </c>
      <c r="AF25" s="234" t="str">
        <f t="shared" si="4"/>
        <v>○</v>
      </c>
      <c r="AG25" s="234" t="str">
        <f t="shared" si="5"/>
        <v>○</v>
      </c>
      <c r="AH25" s="234" t="str">
        <f t="shared" si="6"/>
        <v>○</v>
      </c>
      <c r="AI25" s="231" t="str">
        <f t="shared" si="7"/>
        <v>○</v>
      </c>
      <c r="AJ25" s="14" t="str">
        <f t="shared" si="8"/>
        <v/>
      </c>
      <c r="AK25" s="41">
        <v>10</v>
      </c>
    </row>
    <row r="26" spans="1:75" ht="24.95" customHeight="1">
      <c r="A26" s="38">
        <v>11</v>
      </c>
      <c r="B26" s="313"/>
      <c r="C26" s="313"/>
      <c r="D26" s="313"/>
      <c r="E26" s="314"/>
      <c r="F26" s="315"/>
      <c r="G26" s="316"/>
      <c r="H26" s="316"/>
      <c r="I26" s="45">
        <f t="shared" si="0"/>
        <v>0</v>
      </c>
      <c r="J26" s="317"/>
      <c r="K26" s="45">
        <f t="shared" si="1"/>
        <v>0</v>
      </c>
      <c r="L26" s="44" t="str">
        <f>IF(AD26="◎",COUNTIF($AD$16:AD26,"◎"),"")</f>
        <v/>
      </c>
      <c r="W26" s="234" t="str">
        <f>IF(B26="既設病床",はじめに入力してください!$K$12,IF(B26="新設病床",はじめに入力してください!$K$13,IF(B26="共通使用",1,"")))</f>
        <v/>
      </c>
      <c r="AC26" s="49" t="s">
        <v>69</v>
      </c>
      <c r="AD26" s="231" t="str">
        <f t="shared" si="2"/>
        <v>○</v>
      </c>
      <c r="AE26" s="35" t="str">
        <f t="shared" si="3"/>
        <v>申請しない場合は入力不要です。</v>
      </c>
      <c r="AF26" s="234" t="str">
        <f t="shared" si="4"/>
        <v>○</v>
      </c>
      <c r="AG26" s="234" t="str">
        <f t="shared" si="5"/>
        <v>○</v>
      </c>
      <c r="AH26" s="234" t="str">
        <f t="shared" si="6"/>
        <v>○</v>
      </c>
      <c r="AI26" s="231" t="str">
        <f t="shared" si="7"/>
        <v>○</v>
      </c>
      <c r="AJ26" s="14" t="str">
        <f t="shared" si="8"/>
        <v/>
      </c>
      <c r="AK26" s="41">
        <v>11</v>
      </c>
    </row>
    <row r="27" spans="1:75" ht="24.95" customHeight="1">
      <c r="A27" s="38">
        <v>12</v>
      </c>
      <c r="B27" s="313"/>
      <c r="C27" s="313"/>
      <c r="D27" s="313"/>
      <c r="E27" s="314"/>
      <c r="F27" s="315"/>
      <c r="G27" s="316"/>
      <c r="H27" s="316"/>
      <c r="I27" s="45">
        <f t="shared" si="0"/>
        <v>0</v>
      </c>
      <c r="J27" s="317"/>
      <c r="K27" s="45">
        <f t="shared" si="1"/>
        <v>0</v>
      </c>
      <c r="L27" s="44" t="str">
        <f>IF(AD27="◎",COUNTIF($AD$16:AD27,"◎"),"")</f>
        <v/>
      </c>
      <c r="W27" s="234" t="str">
        <f>IF(B27="既設病床",はじめに入力してください!$K$12,IF(B27="新設病床",はじめに入力してください!$K$13,IF(B27="共通使用",1,"")))</f>
        <v/>
      </c>
      <c r="AC27" s="49" t="s">
        <v>69</v>
      </c>
      <c r="AD27" s="231" t="str">
        <f t="shared" si="2"/>
        <v>○</v>
      </c>
      <c r="AE27" s="35" t="str">
        <f t="shared" si="3"/>
        <v>申請しない場合は入力不要です。</v>
      </c>
      <c r="AF27" s="234" t="str">
        <f t="shared" si="4"/>
        <v>○</v>
      </c>
      <c r="AG27" s="234" t="str">
        <f t="shared" si="5"/>
        <v>○</v>
      </c>
      <c r="AH27" s="234" t="str">
        <f t="shared" si="6"/>
        <v>○</v>
      </c>
      <c r="AI27" s="231" t="str">
        <f t="shared" si="7"/>
        <v>○</v>
      </c>
      <c r="AJ27" s="14" t="str">
        <f t="shared" si="8"/>
        <v/>
      </c>
      <c r="AK27" s="41">
        <v>12</v>
      </c>
    </row>
    <row r="28" spans="1:75" ht="24.95" customHeight="1">
      <c r="A28" s="38">
        <v>13</v>
      </c>
      <c r="B28" s="313"/>
      <c r="C28" s="313"/>
      <c r="D28" s="313"/>
      <c r="E28" s="314"/>
      <c r="F28" s="315"/>
      <c r="G28" s="316"/>
      <c r="H28" s="316"/>
      <c r="I28" s="45">
        <f t="shared" si="0"/>
        <v>0</v>
      </c>
      <c r="J28" s="317"/>
      <c r="K28" s="45">
        <f t="shared" si="1"/>
        <v>0</v>
      </c>
      <c r="L28" s="44" t="str">
        <f>IF(AD28="◎",COUNTIF($AD$16:AD28,"◎"),"")</f>
        <v/>
      </c>
      <c r="W28" s="234" t="str">
        <f>IF(B28="既設病床",はじめに入力してください!$K$12,IF(B28="新設病床",はじめに入力してください!$K$13,IF(B28="共通使用",1,"")))</f>
        <v/>
      </c>
      <c r="AC28" s="49" t="s">
        <v>69</v>
      </c>
      <c r="AD28" s="231" t="str">
        <f t="shared" si="2"/>
        <v>○</v>
      </c>
      <c r="AE28" s="35" t="str">
        <f t="shared" si="3"/>
        <v>申請しない場合は入力不要です。</v>
      </c>
      <c r="AF28" s="234" t="str">
        <f t="shared" si="4"/>
        <v>○</v>
      </c>
      <c r="AG28" s="234" t="str">
        <f t="shared" si="5"/>
        <v>○</v>
      </c>
      <c r="AH28" s="234" t="str">
        <f t="shared" si="6"/>
        <v>○</v>
      </c>
      <c r="AI28" s="231" t="str">
        <f t="shared" si="7"/>
        <v>○</v>
      </c>
      <c r="AJ28" s="14" t="str">
        <f t="shared" si="8"/>
        <v/>
      </c>
      <c r="AK28" s="41">
        <v>13</v>
      </c>
    </row>
    <row r="29" spans="1:75" ht="24.95" customHeight="1">
      <c r="A29" s="38">
        <v>14</v>
      </c>
      <c r="B29" s="313"/>
      <c r="C29" s="313"/>
      <c r="D29" s="313"/>
      <c r="E29" s="314"/>
      <c r="F29" s="315"/>
      <c r="G29" s="316"/>
      <c r="H29" s="316"/>
      <c r="I29" s="45">
        <f t="shared" si="0"/>
        <v>0</v>
      </c>
      <c r="J29" s="317"/>
      <c r="K29" s="45">
        <f t="shared" si="1"/>
        <v>0</v>
      </c>
      <c r="L29" s="44" t="str">
        <f>IF(AD29="◎",COUNTIF($AD$16:AD29,"◎"),"")</f>
        <v/>
      </c>
      <c r="W29" s="234" t="str">
        <f>IF(B29="既設病床",はじめに入力してください!$K$12,IF(B29="新設病床",はじめに入力してください!$K$13,IF(B29="共通使用",1,"")))</f>
        <v/>
      </c>
      <c r="AC29" s="49" t="s">
        <v>69</v>
      </c>
      <c r="AD29" s="231" t="str">
        <f t="shared" si="2"/>
        <v>○</v>
      </c>
      <c r="AE29" s="35" t="str">
        <f t="shared" si="3"/>
        <v>申請しない場合は入力不要です。</v>
      </c>
      <c r="AF29" s="234" t="str">
        <f t="shared" si="4"/>
        <v>○</v>
      </c>
      <c r="AG29" s="234" t="str">
        <f t="shared" si="5"/>
        <v>○</v>
      </c>
      <c r="AH29" s="234" t="str">
        <f t="shared" si="6"/>
        <v>○</v>
      </c>
      <c r="AI29" s="231" t="str">
        <f t="shared" si="7"/>
        <v>○</v>
      </c>
      <c r="AJ29" s="14" t="str">
        <f t="shared" si="8"/>
        <v/>
      </c>
      <c r="AK29" s="41">
        <v>14</v>
      </c>
    </row>
    <row r="30" spans="1:75" ht="24.95" customHeight="1">
      <c r="A30" s="38">
        <v>15</v>
      </c>
      <c r="B30" s="313"/>
      <c r="C30" s="313"/>
      <c r="D30" s="313"/>
      <c r="E30" s="314"/>
      <c r="F30" s="315"/>
      <c r="G30" s="316"/>
      <c r="H30" s="316"/>
      <c r="I30" s="45">
        <f t="shared" si="0"/>
        <v>0</v>
      </c>
      <c r="J30" s="317"/>
      <c r="K30" s="45">
        <f t="shared" si="1"/>
        <v>0</v>
      </c>
      <c r="L30" s="44" t="str">
        <f>IF(AD30="◎",COUNTIF($AD$16:AD30,"◎"),"")</f>
        <v/>
      </c>
      <c r="W30" s="234" t="str">
        <f>IF(B30="既設病床",はじめに入力してください!$K$12,IF(B30="新設病床",はじめに入力してください!$K$13,IF(B30="共通使用",1,"")))</f>
        <v/>
      </c>
      <c r="AC30" s="49" t="s">
        <v>69</v>
      </c>
      <c r="AD30" s="231" t="str">
        <f t="shared" si="2"/>
        <v>○</v>
      </c>
      <c r="AE30" s="35" t="str">
        <f t="shared" si="3"/>
        <v>申請しない場合は入力不要です。</v>
      </c>
      <c r="AF30" s="234" t="str">
        <f t="shared" si="4"/>
        <v>○</v>
      </c>
      <c r="AG30" s="234" t="str">
        <f t="shared" si="5"/>
        <v>○</v>
      </c>
      <c r="AH30" s="234" t="str">
        <f t="shared" si="6"/>
        <v>○</v>
      </c>
      <c r="AI30" s="231" t="str">
        <f t="shared" si="7"/>
        <v>○</v>
      </c>
      <c r="AJ30" s="14" t="str">
        <f t="shared" si="8"/>
        <v/>
      </c>
      <c r="AK30" s="41">
        <v>15</v>
      </c>
    </row>
    <row r="31" spans="1:75" ht="24.95" customHeight="1">
      <c r="A31" s="38">
        <v>16</v>
      </c>
      <c r="B31" s="313"/>
      <c r="C31" s="313"/>
      <c r="D31" s="313"/>
      <c r="E31" s="314"/>
      <c r="F31" s="315"/>
      <c r="G31" s="316"/>
      <c r="H31" s="316"/>
      <c r="I31" s="45">
        <f t="shared" si="0"/>
        <v>0</v>
      </c>
      <c r="J31" s="317"/>
      <c r="K31" s="45">
        <f t="shared" si="1"/>
        <v>0</v>
      </c>
      <c r="L31" s="44" t="str">
        <f>IF(AD31="◎",COUNTIF($AD$16:AD31,"◎"),"")</f>
        <v/>
      </c>
      <c r="W31" s="234" t="str">
        <f>IF(B31="既設病床",はじめに入力してください!$K$12,IF(B31="新設病床",はじめに入力してください!$K$13,IF(B31="共通使用",1,"")))</f>
        <v/>
      </c>
      <c r="AC31" s="49" t="s">
        <v>69</v>
      </c>
      <c r="AD31" s="231" t="str">
        <f t="shared" si="2"/>
        <v>○</v>
      </c>
      <c r="AE31" s="35" t="str">
        <f t="shared" si="3"/>
        <v>申請しない場合は入力不要です。</v>
      </c>
      <c r="AF31" s="234" t="str">
        <f t="shared" si="4"/>
        <v>○</v>
      </c>
      <c r="AG31" s="234" t="str">
        <f t="shared" si="5"/>
        <v>○</v>
      </c>
      <c r="AH31" s="234" t="str">
        <f t="shared" si="6"/>
        <v>○</v>
      </c>
      <c r="AI31" s="231" t="str">
        <f t="shared" si="7"/>
        <v>○</v>
      </c>
      <c r="AJ31" s="14" t="str">
        <f t="shared" si="8"/>
        <v/>
      </c>
      <c r="AK31" s="41">
        <v>16</v>
      </c>
    </row>
    <row r="32" spans="1:75" ht="24.95" customHeight="1">
      <c r="A32" s="38">
        <v>17</v>
      </c>
      <c r="B32" s="313"/>
      <c r="C32" s="313"/>
      <c r="D32" s="313"/>
      <c r="E32" s="314"/>
      <c r="F32" s="315"/>
      <c r="G32" s="316"/>
      <c r="H32" s="316"/>
      <c r="I32" s="45">
        <f t="shared" si="0"/>
        <v>0</v>
      </c>
      <c r="J32" s="317"/>
      <c r="K32" s="45">
        <f t="shared" si="1"/>
        <v>0</v>
      </c>
      <c r="L32" s="44" t="str">
        <f>IF(AD32="◎",COUNTIF($AD$16:AD32,"◎"),"")</f>
        <v/>
      </c>
      <c r="W32" s="234" t="str">
        <f>IF(B32="既設病床",はじめに入力してください!$K$12,IF(B32="新設病床",はじめに入力してください!$K$13,IF(B32="共通使用",1,"")))</f>
        <v/>
      </c>
      <c r="AC32" s="49" t="s">
        <v>69</v>
      </c>
      <c r="AD32" s="231" t="str">
        <f t="shared" si="2"/>
        <v>○</v>
      </c>
      <c r="AE32" s="35" t="str">
        <f t="shared" si="3"/>
        <v>申請しない場合は入力不要です。</v>
      </c>
      <c r="AF32" s="234" t="str">
        <f t="shared" si="4"/>
        <v>○</v>
      </c>
      <c r="AG32" s="234" t="str">
        <f t="shared" si="5"/>
        <v>○</v>
      </c>
      <c r="AH32" s="234" t="str">
        <f t="shared" si="6"/>
        <v>○</v>
      </c>
      <c r="AI32" s="231" t="str">
        <f t="shared" si="7"/>
        <v>○</v>
      </c>
      <c r="AJ32" s="14" t="str">
        <f t="shared" si="8"/>
        <v/>
      </c>
      <c r="AK32" s="41">
        <v>17</v>
      </c>
    </row>
    <row r="33" spans="1:37" ht="24.95" customHeight="1">
      <c r="A33" s="38">
        <v>18</v>
      </c>
      <c r="B33" s="313"/>
      <c r="C33" s="313"/>
      <c r="D33" s="313"/>
      <c r="E33" s="314"/>
      <c r="F33" s="315"/>
      <c r="G33" s="316"/>
      <c r="H33" s="316"/>
      <c r="I33" s="45">
        <f t="shared" si="0"/>
        <v>0</v>
      </c>
      <c r="J33" s="317"/>
      <c r="K33" s="45">
        <f t="shared" si="1"/>
        <v>0</v>
      </c>
      <c r="L33" s="44" t="str">
        <f>IF(AD33="◎",COUNTIF($AD$16:AD33,"◎"),"")</f>
        <v/>
      </c>
      <c r="W33" s="234" t="str">
        <f>IF(B33="既設病床",はじめに入力してください!$K$12,IF(B33="新設病床",はじめに入力してください!$K$13,IF(B33="共通使用",1,"")))</f>
        <v/>
      </c>
      <c r="AC33" s="49" t="s">
        <v>69</v>
      </c>
      <c r="AD33" s="231" t="str">
        <f t="shared" si="2"/>
        <v>○</v>
      </c>
      <c r="AE33" s="35" t="str">
        <f t="shared" si="3"/>
        <v>申請しない場合は入力不要です。</v>
      </c>
      <c r="AF33" s="234" t="str">
        <f t="shared" si="4"/>
        <v>○</v>
      </c>
      <c r="AG33" s="234" t="str">
        <f t="shared" si="5"/>
        <v>○</v>
      </c>
      <c r="AH33" s="234" t="str">
        <f t="shared" si="6"/>
        <v>○</v>
      </c>
      <c r="AI33" s="231" t="str">
        <f t="shared" si="7"/>
        <v>○</v>
      </c>
      <c r="AJ33" s="14" t="str">
        <f t="shared" si="8"/>
        <v/>
      </c>
      <c r="AK33" s="41">
        <v>18</v>
      </c>
    </row>
    <row r="34" spans="1:37" ht="24.95" customHeight="1">
      <c r="A34" s="38">
        <v>19</v>
      </c>
      <c r="B34" s="313"/>
      <c r="C34" s="313"/>
      <c r="D34" s="313"/>
      <c r="E34" s="314"/>
      <c r="F34" s="315"/>
      <c r="G34" s="316"/>
      <c r="H34" s="316"/>
      <c r="I34" s="45">
        <f t="shared" si="0"/>
        <v>0</v>
      </c>
      <c r="J34" s="317"/>
      <c r="K34" s="45">
        <f t="shared" si="1"/>
        <v>0</v>
      </c>
      <c r="L34" s="44" t="str">
        <f>IF(AD34="◎",COUNTIF($AD$16:AD34,"◎"),"")</f>
        <v/>
      </c>
      <c r="W34" s="234" t="str">
        <f>IF(B34="既設病床",はじめに入力してください!$K$12,IF(B34="新設病床",はじめに入力してください!$K$13,IF(B34="共通使用",1,"")))</f>
        <v/>
      </c>
      <c r="AC34" s="49" t="s">
        <v>69</v>
      </c>
      <c r="AD34" s="231" t="str">
        <f t="shared" si="2"/>
        <v>○</v>
      </c>
      <c r="AE34" s="35" t="str">
        <f t="shared" si="3"/>
        <v>申請しない場合は入力不要です。</v>
      </c>
      <c r="AF34" s="234" t="str">
        <f t="shared" si="4"/>
        <v>○</v>
      </c>
      <c r="AG34" s="234" t="str">
        <f t="shared" si="5"/>
        <v>○</v>
      </c>
      <c r="AH34" s="234" t="str">
        <f t="shared" si="6"/>
        <v>○</v>
      </c>
      <c r="AI34" s="231" t="str">
        <f t="shared" si="7"/>
        <v>○</v>
      </c>
      <c r="AJ34" s="14" t="str">
        <f t="shared" si="8"/>
        <v/>
      </c>
      <c r="AK34" s="41">
        <v>19</v>
      </c>
    </row>
    <row r="35" spans="1:37" ht="24.95" customHeight="1">
      <c r="A35" s="38">
        <v>20</v>
      </c>
      <c r="B35" s="313"/>
      <c r="C35" s="313"/>
      <c r="D35" s="313"/>
      <c r="E35" s="314"/>
      <c r="F35" s="315"/>
      <c r="G35" s="316"/>
      <c r="H35" s="316"/>
      <c r="I35" s="45">
        <f t="shared" si="0"/>
        <v>0</v>
      </c>
      <c r="J35" s="317"/>
      <c r="K35" s="45">
        <f t="shared" si="1"/>
        <v>0</v>
      </c>
      <c r="L35" s="44" t="str">
        <f>IF(AD35="◎",COUNTIF($AD$16:AD35,"◎"),"")</f>
        <v/>
      </c>
      <c r="W35" s="234" t="str">
        <f>IF(B35="既設病床",はじめに入力してください!$K$12,IF(B35="新設病床",はじめに入力してください!$K$13,IF(B35="共通使用",1,"")))</f>
        <v/>
      </c>
      <c r="AC35" s="49" t="s">
        <v>69</v>
      </c>
      <c r="AD35" s="231" t="str">
        <f t="shared" si="2"/>
        <v>○</v>
      </c>
      <c r="AE35" s="35" t="str">
        <f t="shared" si="3"/>
        <v>申請しない場合は入力不要です。</v>
      </c>
      <c r="AF35" s="234" t="str">
        <f t="shared" si="4"/>
        <v>○</v>
      </c>
      <c r="AG35" s="234" t="str">
        <f t="shared" si="5"/>
        <v>○</v>
      </c>
      <c r="AH35" s="234" t="str">
        <f t="shared" si="6"/>
        <v>○</v>
      </c>
      <c r="AI35" s="231" t="str">
        <f t="shared" si="7"/>
        <v>○</v>
      </c>
      <c r="AJ35" s="14" t="str">
        <f t="shared" si="8"/>
        <v/>
      </c>
      <c r="AK35" s="41">
        <v>20</v>
      </c>
    </row>
    <row r="36" spans="1:37" ht="24.95" customHeight="1">
      <c r="A36" s="38">
        <v>21</v>
      </c>
      <c r="B36" s="313"/>
      <c r="C36" s="313"/>
      <c r="D36" s="313"/>
      <c r="E36" s="314"/>
      <c r="F36" s="315"/>
      <c r="G36" s="316"/>
      <c r="H36" s="316"/>
      <c r="I36" s="45">
        <f t="shared" si="0"/>
        <v>0</v>
      </c>
      <c r="J36" s="317"/>
      <c r="K36" s="45">
        <f t="shared" si="1"/>
        <v>0</v>
      </c>
      <c r="L36" s="44" t="str">
        <f>IF(AD36="◎",COUNTIF($AD$16:AD36,"◎"),"")</f>
        <v/>
      </c>
      <c r="W36" s="234" t="str">
        <f>IF(B36="既設病床",はじめに入力してください!$K$12,IF(B36="新設病床",はじめに入力してください!$K$13,IF(B36="共通使用",1,"")))</f>
        <v/>
      </c>
      <c r="AC36" s="49" t="s">
        <v>69</v>
      </c>
      <c r="AD36" s="231" t="str">
        <f t="shared" si="2"/>
        <v>○</v>
      </c>
      <c r="AE36" s="35" t="str">
        <f t="shared" si="3"/>
        <v>申請しない場合は入力不要です。</v>
      </c>
      <c r="AF36" s="234" t="str">
        <f t="shared" si="4"/>
        <v>○</v>
      </c>
      <c r="AG36" s="234" t="str">
        <f t="shared" si="5"/>
        <v>○</v>
      </c>
      <c r="AH36" s="234" t="str">
        <f t="shared" si="6"/>
        <v>○</v>
      </c>
      <c r="AI36" s="231" t="str">
        <f t="shared" si="7"/>
        <v>○</v>
      </c>
      <c r="AJ36" s="14" t="str">
        <f t="shared" si="8"/>
        <v/>
      </c>
      <c r="AK36" s="41">
        <v>21</v>
      </c>
    </row>
    <row r="37" spans="1:37" ht="24.95" customHeight="1">
      <c r="A37" s="38">
        <v>22</v>
      </c>
      <c r="B37" s="313"/>
      <c r="C37" s="313"/>
      <c r="D37" s="313"/>
      <c r="E37" s="314"/>
      <c r="F37" s="315"/>
      <c r="G37" s="316"/>
      <c r="H37" s="316"/>
      <c r="I37" s="45">
        <f t="shared" si="0"/>
        <v>0</v>
      </c>
      <c r="J37" s="317"/>
      <c r="K37" s="45">
        <f t="shared" si="1"/>
        <v>0</v>
      </c>
      <c r="L37" s="44" t="str">
        <f>IF(AD37="◎",COUNTIF($AD$16:AD37,"◎"),"")</f>
        <v/>
      </c>
      <c r="W37" s="234" t="str">
        <f>IF(B37="既設病床",はじめに入力してください!$K$12,IF(B37="新設病床",はじめに入力してください!$K$13,IF(B37="共通使用",1,"")))</f>
        <v/>
      </c>
      <c r="AC37" s="49" t="s">
        <v>69</v>
      </c>
      <c r="AD37" s="231" t="str">
        <f t="shared" si="2"/>
        <v>○</v>
      </c>
      <c r="AE37" s="35" t="str">
        <f t="shared" si="3"/>
        <v>申請しない場合は入力不要です。</v>
      </c>
      <c r="AF37" s="234" t="str">
        <f t="shared" si="4"/>
        <v>○</v>
      </c>
      <c r="AG37" s="234" t="str">
        <f t="shared" si="5"/>
        <v>○</v>
      </c>
      <c r="AH37" s="234" t="str">
        <f t="shared" si="6"/>
        <v>○</v>
      </c>
      <c r="AI37" s="231" t="str">
        <f t="shared" si="7"/>
        <v>○</v>
      </c>
      <c r="AJ37" s="14" t="str">
        <f t="shared" si="8"/>
        <v/>
      </c>
      <c r="AK37" s="41">
        <v>22</v>
      </c>
    </row>
    <row r="38" spans="1:37" ht="24.95" customHeight="1">
      <c r="A38" s="38">
        <v>23</v>
      </c>
      <c r="B38" s="313"/>
      <c r="C38" s="313"/>
      <c r="D38" s="313"/>
      <c r="E38" s="314"/>
      <c r="F38" s="315"/>
      <c r="G38" s="316"/>
      <c r="H38" s="316"/>
      <c r="I38" s="45">
        <f t="shared" si="0"/>
        <v>0</v>
      </c>
      <c r="J38" s="317"/>
      <c r="K38" s="45">
        <f t="shared" si="1"/>
        <v>0</v>
      </c>
      <c r="L38" s="44" t="str">
        <f>IF(AD38="◎",COUNTIF($AD$16:AD38,"◎"),"")</f>
        <v/>
      </c>
      <c r="W38" s="234" t="str">
        <f>IF(B38="既設病床",はじめに入力してください!$K$12,IF(B38="新設病床",はじめに入力してください!$K$13,IF(B38="共通使用",1,"")))</f>
        <v/>
      </c>
      <c r="AC38" s="49" t="s">
        <v>69</v>
      </c>
      <c r="AD38" s="231" t="str">
        <f t="shared" si="2"/>
        <v>○</v>
      </c>
      <c r="AE38" s="35" t="str">
        <f t="shared" si="3"/>
        <v>申請しない場合は入力不要です。</v>
      </c>
      <c r="AF38" s="234" t="str">
        <f t="shared" si="4"/>
        <v>○</v>
      </c>
      <c r="AG38" s="234" t="str">
        <f t="shared" si="5"/>
        <v>○</v>
      </c>
      <c r="AH38" s="234" t="str">
        <f t="shared" si="6"/>
        <v>○</v>
      </c>
      <c r="AI38" s="231" t="str">
        <f t="shared" si="7"/>
        <v>○</v>
      </c>
      <c r="AJ38" s="14" t="str">
        <f t="shared" si="8"/>
        <v/>
      </c>
      <c r="AK38" s="41">
        <v>23</v>
      </c>
    </row>
    <row r="39" spans="1:37" ht="24.95" customHeight="1">
      <c r="A39" s="38">
        <v>24</v>
      </c>
      <c r="B39" s="313"/>
      <c r="C39" s="313"/>
      <c r="D39" s="313"/>
      <c r="E39" s="314"/>
      <c r="F39" s="315"/>
      <c r="G39" s="316"/>
      <c r="H39" s="316"/>
      <c r="I39" s="45">
        <f t="shared" si="0"/>
        <v>0</v>
      </c>
      <c r="J39" s="317"/>
      <c r="K39" s="45">
        <f t="shared" si="1"/>
        <v>0</v>
      </c>
      <c r="L39" s="44" t="str">
        <f>IF(AD39="◎",COUNTIF($AD$16:AD39,"◎"),"")</f>
        <v/>
      </c>
      <c r="W39" s="234" t="str">
        <f>IF(B39="既設病床",はじめに入力してください!$K$12,IF(B39="新設病床",はじめに入力してください!$K$13,IF(B39="共通使用",1,"")))</f>
        <v/>
      </c>
      <c r="AC39" s="49" t="s">
        <v>69</v>
      </c>
      <c r="AD39" s="231" t="str">
        <f t="shared" si="2"/>
        <v>○</v>
      </c>
      <c r="AE39" s="35" t="str">
        <f t="shared" si="3"/>
        <v>申請しない場合は入力不要です。</v>
      </c>
      <c r="AF39" s="234" t="str">
        <f t="shared" si="4"/>
        <v>○</v>
      </c>
      <c r="AG39" s="234" t="str">
        <f t="shared" si="5"/>
        <v>○</v>
      </c>
      <c r="AH39" s="234" t="str">
        <f t="shared" si="6"/>
        <v>○</v>
      </c>
      <c r="AI39" s="231" t="str">
        <f t="shared" si="7"/>
        <v>○</v>
      </c>
      <c r="AJ39" s="14" t="str">
        <f t="shared" si="8"/>
        <v/>
      </c>
      <c r="AK39" s="41">
        <v>24</v>
      </c>
    </row>
    <row r="40" spans="1:37" ht="24.95" customHeight="1">
      <c r="A40" s="38">
        <v>25</v>
      </c>
      <c r="B40" s="313"/>
      <c r="C40" s="313"/>
      <c r="D40" s="313"/>
      <c r="E40" s="314"/>
      <c r="F40" s="315"/>
      <c r="G40" s="316"/>
      <c r="H40" s="316"/>
      <c r="I40" s="45">
        <f t="shared" si="0"/>
        <v>0</v>
      </c>
      <c r="J40" s="317"/>
      <c r="K40" s="45">
        <f t="shared" si="1"/>
        <v>0</v>
      </c>
      <c r="L40" s="44" t="str">
        <f>IF(AD40="◎",COUNTIF($AD$16:AD40,"◎"),"")</f>
        <v/>
      </c>
      <c r="W40" s="234" t="str">
        <f>IF(B40="既設病床",はじめに入力してください!$K$12,IF(B40="新設病床",はじめに入力してください!$K$13,IF(B40="共通使用",1,"")))</f>
        <v/>
      </c>
      <c r="AC40" s="49" t="s">
        <v>69</v>
      </c>
      <c r="AD40" s="231" t="str">
        <f t="shared" si="2"/>
        <v>○</v>
      </c>
      <c r="AE40" s="35" t="str">
        <f t="shared" si="3"/>
        <v>申請しない場合は入力不要です。</v>
      </c>
      <c r="AF40" s="234" t="str">
        <f t="shared" si="4"/>
        <v>○</v>
      </c>
      <c r="AG40" s="234" t="str">
        <f t="shared" si="5"/>
        <v>○</v>
      </c>
      <c r="AH40" s="234" t="str">
        <f t="shared" si="6"/>
        <v>○</v>
      </c>
      <c r="AI40" s="231" t="str">
        <f t="shared" si="7"/>
        <v>○</v>
      </c>
      <c r="AJ40" s="14" t="str">
        <f t="shared" si="8"/>
        <v/>
      </c>
      <c r="AK40" s="41">
        <v>25</v>
      </c>
    </row>
    <row r="41" spans="1:37" ht="24.95" customHeight="1">
      <c r="A41" s="38">
        <v>26</v>
      </c>
      <c r="B41" s="313"/>
      <c r="C41" s="313"/>
      <c r="D41" s="313"/>
      <c r="E41" s="314"/>
      <c r="F41" s="315"/>
      <c r="G41" s="316"/>
      <c r="H41" s="316"/>
      <c r="I41" s="45">
        <f t="shared" si="0"/>
        <v>0</v>
      </c>
      <c r="J41" s="317"/>
      <c r="K41" s="45">
        <f t="shared" si="1"/>
        <v>0</v>
      </c>
      <c r="L41" s="44" t="str">
        <f>IF(AD41="◎",COUNTIF($AD$16:AD41,"◎"),"")</f>
        <v/>
      </c>
      <c r="W41" s="234" t="str">
        <f>IF(B41="既設病床",はじめに入力してください!$K$12,IF(B41="新設病床",はじめに入力してください!$K$13,IF(B41="共通使用",1,"")))</f>
        <v/>
      </c>
      <c r="AC41" s="49" t="s">
        <v>69</v>
      </c>
      <c r="AD41" s="231" t="str">
        <f t="shared" si="2"/>
        <v>○</v>
      </c>
      <c r="AE41" s="35" t="str">
        <f t="shared" si="3"/>
        <v>申請しない場合は入力不要です。</v>
      </c>
      <c r="AF41" s="234" t="str">
        <f t="shared" si="4"/>
        <v>○</v>
      </c>
      <c r="AG41" s="234" t="str">
        <f t="shared" si="5"/>
        <v>○</v>
      </c>
      <c r="AH41" s="234" t="str">
        <f t="shared" si="6"/>
        <v>○</v>
      </c>
      <c r="AI41" s="231" t="str">
        <f t="shared" si="7"/>
        <v>○</v>
      </c>
      <c r="AJ41" s="14" t="str">
        <f t="shared" si="8"/>
        <v/>
      </c>
      <c r="AK41" s="41">
        <v>26</v>
      </c>
    </row>
    <row r="42" spans="1:37" ht="24.95" customHeight="1">
      <c r="A42" s="38">
        <v>27</v>
      </c>
      <c r="B42" s="313"/>
      <c r="C42" s="313"/>
      <c r="D42" s="313"/>
      <c r="E42" s="314"/>
      <c r="F42" s="315"/>
      <c r="G42" s="316"/>
      <c r="H42" s="316"/>
      <c r="I42" s="45">
        <f t="shared" si="0"/>
        <v>0</v>
      </c>
      <c r="J42" s="317"/>
      <c r="K42" s="45">
        <f t="shared" si="1"/>
        <v>0</v>
      </c>
      <c r="L42" s="44" t="str">
        <f>IF(AD42="◎",COUNTIF($AD$16:AD42,"◎"),"")</f>
        <v/>
      </c>
      <c r="W42" s="234" t="str">
        <f>IF(B42="既設病床",はじめに入力してください!$K$12,IF(B42="新設病床",はじめに入力してください!$K$13,IF(B42="共通使用",1,"")))</f>
        <v/>
      </c>
      <c r="AC42" s="49" t="s">
        <v>69</v>
      </c>
      <c r="AD42" s="231" t="str">
        <f t="shared" si="2"/>
        <v>○</v>
      </c>
      <c r="AE42" s="35" t="str">
        <f t="shared" si="3"/>
        <v>申請しない場合は入力不要です。</v>
      </c>
      <c r="AF42" s="234" t="str">
        <f t="shared" si="4"/>
        <v>○</v>
      </c>
      <c r="AG42" s="234" t="str">
        <f t="shared" si="5"/>
        <v>○</v>
      </c>
      <c r="AH42" s="234" t="str">
        <f t="shared" si="6"/>
        <v>○</v>
      </c>
      <c r="AI42" s="231" t="str">
        <f t="shared" si="7"/>
        <v>○</v>
      </c>
      <c r="AJ42" s="14" t="str">
        <f t="shared" si="8"/>
        <v/>
      </c>
      <c r="AK42" s="41">
        <v>27</v>
      </c>
    </row>
    <row r="43" spans="1:37" ht="24.95" customHeight="1">
      <c r="A43" s="38">
        <v>28</v>
      </c>
      <c r="B43" s="313"/>
      <c r="C43" s="313"/>
      <c r="D43" s="313"/>
      <c r="E43" s="314"/>
      <c r="F43" s="315"/>
      <c r="G43" s="316"/>
      <c r="H43" s="316"/>
      <c r="I43" s="45">
        <f t="shared" si="0"/>
        <v>0</v>
      </c>
      <c r="J43" s="317"/>
      <c r="K43" s="45">
        <f t="shared" si="1"/>
        <v>0</v>
      </c>
      <c r="L43" s="44" t="str">
        <f>IF(AD43="◎",COUNTIF($AD$16:AD43,"◎"),"")</f>
        <v/>
      </c>
      <c r="W43" s="234" t="str">
        <f>IF(B43="既設病床",はじめに入力してください!$K$12,IF(B43="新設病床",はじめに入力してください!$K$13,IF(B43="共通使用",1,"")))</f>
        <v/>
      </c>
      <c r="AC43" s="49" t="s">
        <v>69</v>
      </c>
      <c r="AD43" s="231" t="str">
        <f t="shared" si="2"/>
        <v>○</v>
      </c>
      <c r="AE43" s="35" t="str">
        <f t="shared" si="3"/>
        <v>申請しない場合は入力不要です。</v>
      </c>
      <c r="AF43" s="234" t="str">
        <f t="shared" si="4"/>
        <v>○</v>
      </c>
      <c r="AG43" s="234" t="str">
        <f t="shared" si="5"/>
        <v>○</v>
      </c>
      <c r="AH43" s="234" t="str">
        <f t="shared" si="6"/>
        <v>○</v>
      </c>
      <c r="AI43" s="231" t="str">
        <f t="shared" si="7"/>
        <v>○</v>
      </c>
      <c r="AJ43" s="14" t="str">
        <f t="shared" si="8"/>
        <v/>
      </c>
      <c r="AK43" s="41">
        <v>28</v>
      </c>
    </row>
    <row r="44" spans="1:37" ht="24.95" customHeight="1">
      <c r="A44" s="38">
        <v>29</v>
      </c>
      <c r="B44" s="313"/>
      <c r="C44" s="313"/>
      <c r="D44" s="313"/>
      <c r="E44" s="314"/>
      <c r="F44" s="315"/>
      <c r="G44" s="316"/>
      <c r="H44" s="316"/>
      <c r="I44" s="45">
        <f t="shared" si="0"/>
        <v>0</v>
      </c>
      <c r="J44" s="317"/>
      <c r="K44" s="45">
        <f t="shared" si="1"/>
        <v>0</v>
      </c>
      <c r="L44" s="44" t="str">
        <f>IF(AD44="◎",COUNTIF($AD$16:AD44,"◎"),"")</f>
        <v/>
      </c>
      <c r="W44" s="234" t="str">
        <f>IF(B44="既設病床",はじめに入力してください!$K$12,IF(B44="新設病床",はじめに入力してください!$K$13,IF(B44="共通使用",1,"")))</f>
        <v/>
      </c>
      <c r="AC44" s="49" t="s">
        <v>69</v>
      </c>
      <c r="AD44" s="231" t="str">
        <f t="shared" si="2"/>
        <v>○</v>
      </c>
      <c r="AE44" s="35" t="str">
        <f t="shared" si="3"/>
        <v>申請しない場合は入力不要です。</v>
      </c>
      <c r="AF44" s="234" t="str">
        <f t="shared" si="4"/>
        <v>○</v>
      </c>
      <c r="AG44" s="234" t="str">
        <f t="shared" si="5"/>
        <v>○</v>
      </c>
      <c r="AH44" s="234" t="str">
        <f t="shared" si="6"/>
        <v>○</v>
      </c>
      <c r="AI44" s="231" t="str">
        <f t="shared" si="7"/>
        <v>○</v>
      </c>
      <c r="AJ44" s="14" t="str">
        <f t="shared" si="8"/>
        <v/>
      </c>
      <c r="AK44" s="41">
        <v>29</v>
      </c>
    </row>
    <row r="45" spans="1:37" ht="24.95" customHeight="1">
      <c r="A45" s="38">
        <v>30</v>
      </c>
      <c r="B45" s="313"/>
      <c r="C45" s="313"/>
      <c r="D45" s="313"/>
      <c r="E45" s="314"/>
      <c r="F45" s="315"/>
      <c r="G45" s="316"/>
      <c r="H45" s="316"/>
      <c r="I45" s="45">
        <f t="shared" si="0"/>
        <v>0</v>
      </c>
      <c r="J45" s="317"/>
      <c r="K45" s="45">
        <f t="shared" si="1"/>
        <v>0</v>
      </c>
      <c r="L45" s="44" t="str">
        <f>IF(AD45="◎",COUNTIF($AD$16:AD45,"◎"),"")</f>
        <v/>
      </c>
      <c r="W45" s="234" t="str">
        <f>IF(B45="既設病床",はじめに入力してください!$K$12,IF(B45="新設病床",はじめに入力してください!$K$13,IF(B45="共通使用",1,"")))</f>
        <v/>
      </c>
      <c r="AC45" s="49" t="s">
        <v>69</v>
      </c>
      <c r="AD45" s="231" t="str">
        <f t="shared" si="2"/>
        <v>○</v>
      </c>
      <c r="AE45" s="35" t="str">
        <f t="shared" si="3"/>
        <v>申請しない場合は入力不要です。</v>
      </c>
      <c r="AF45" s="234" t="str">
        <f t="shared" si="4"/>
        <v>○</v>
      </c>
      <c r="AG45" s="234" t="str">
        <f t="shared" si="5"/>
        <v>○</v>
      </c>
      <c r="AH45" s="234" t="str">
        <f t="shared" si="6"/>
        <v>○</v>
      </c>
      <c r="AI45" s="231" t="str">
        <f t="shared" si="7"/>
        <v>○</v>
      </c>
      <c r="AJ45" s="14" t="str">
        <f t="shared" si="8"/>
        <v/>
      </c>
      <c r="AK45" s="41">
        <v>30</v>
      </c>
    </row>
    <row r="46" spans="1:37" ht="24.95" customHeight="1">
      <c r="A46" s="38">
        <v>31</v>
      </c>
      <c r="B46" s="313"/>
      <c r="C46" s="313"/>
      <c r="D46" s="313"/>
      <c r="E46" s="314"/>
      <c r="F46" s="315"/>
      <c r="G46" s="316"/>
      <c r="H46" s="316"/>
      <c r="I46" s="45">
        <f t="shared" si="0"/>
        <v>0</v>
      </c>
      <c r="J46" s="317"/>
      <c r="K46" s="45">
        <f t="shared" si="1"/>
        <v>0</v>
      </c>
      <c r="L46" s="44" t="str">
        <f>IF(AD46="◎",COUNTIF($AD$16:AD46,"◎"),"")</f>
        <v/>
      </c>
      <c r="W46" s="234" t="str">
        <f>IF(B46="既設病床",はじめに入力してください!$K$12,IF(B46="新設病床",はじめに入力してください!$K$13,IF(B46="共通使用",1,"")))</f>
        <v/>
      </c>
      <c r="AC46" s="49" t="s">
        <v>69</v>
      </c>
      <c r="AD46" s="231" t="str">
        <f t="shared" si="2"/>
        <v>○</v>
      </c>
      <c r="AE46" s="35" t="str">
        <f t="shared" si="3"/>
        <v>申請しない場合は入力不要です。</v>
      </c>
      <c r="AF46" s="234" t="str">
        <f t="shared" si="4"/>
        <v>○</v>
      </c>
      <c r="AG46" s="234" t="str">
        <f t="shared" si="5"/>
        <v>○</v>
      </c>
      <c r="AH46" s="234" t="str">
        <f t="shared" si="6"/>
        <v>○</v>
      </c>
      <c r="AI46" s="231" t="str">
        <f t="shared" si="7"/>
        <v>○</v>
      </c>
      <c r="AJ46" s="14" t="str">
        <f t="shared" si="8"/>
        <v/>
      </c>
      <c r="AK46" s="41">
        <v>31</v>
      </c>
    </row>
    <row r="47" spans="1:37" ht="24.95" customHeight="1">
      <c r="A47" s="38">
        <v>32</v>
      </c>
      <c r="B47" s="313"/>
      <c r="C47" s="313"/>
      <c r="D47" s="313"/>
      <c r="E47" s="314"/>
      <c r="F47" s="315"/>
      <c r="G47" s="316"/>
      <c r="H47" s="316"/>
      <c r="I47" s="45">
        <f t="shared" si="0"/>
        <v>0</v>
      </c>
      <c r="J47" s="317"/>
      <c r="K47" s="45">
        <f t="shared" si="1"/>
        <v>0</v>
      </c>
      <c r="L47" s="44" t="str">
        <f>IF(AD47="◎",COUNTIF($AD$16:AD47,"◎"),"")</f>
        <v/>
      </c>
      <c r="W47" s="234" t="str">
        <f>IF(B47="既設病床",はじめに入力してください!$K$12,IF(B47="新設病床",はじめに入力してください!$K$13,IF(B47="共通使用",1,"")))</f>
        <v/>
      </c>
      <c r="AC47" s="49" t="s">
        <v>69</v>
      </c>
      <c r="AD47" s="231" t="str">
        <f t="shared" si="2"/>
        <v>○</v>
      </c>
      <c r="AE47" s="35" t="str">
        <f t="shared" si="3"/>
        <v>申請しない場合は入力不要です。</v>
      </c>
      <c r="AF47" s="234" t="str">
        <f t="shared" si="4"/>
        <v>○</v>
      </c>
      <c r="AG47" s="234" t="str">
        <f t="shared" si="5"/>
        <v>○</v>
      </c>
      <c r="AH47" s="234" t="str">
        <f t="shared" si="6"/>
        <v>○</v>
      </c>
      <c r="AI47" s="231" t="str">
        <f t="shared" si="7"/>
        <v>○</v>
      </c>
      <c r="AJ47" s="14" t="str">
        <f t="shared" si="8"/>
        <v/>
      </c>
      <c r="AK47" s="41">
        <v>32</v>
      </c>
    </row>
    <row r="48" spans="1:37" ht="24.95" customHeight="1">
      <c r="A48" s="38">
        <v>33</v>
      </c>
      <c r="B48" s="313"/>
      <c r="C48" s="313"/>
      <c r="D48" s="313"/>
      <c r="E48" s="314"/>
      <c r="F48" s="315"/>
      <c r="G48" s="316"/>
      <c r="H48" s="316"/>
      <c r="I48" s="45">
        <f t="shared" si="0"/>
        <v>0</v>
      </c>
      <c r="J48" s="317"/>
      <c r="K48" s="45">
        <f t="shared" si="1"/>
        <v>0</v>
      </c>
      <c r="L48" s="44" t="str">
        <f>IF(AD48="◎",COUNTIF($AD$16:AD48,"◎"),"")</f>
        <v/>
      </c>
      <c r="W48" s="234" t="str">
        <f>IF(B48="既設病床",はじめに入力してください!$K$12,IF(B48="新設病床",はじめに入力してください!$K$13,IF(B48="共通使用",1,"")))</f>
        <v/>
      </c>
      <c r="AC48" s="49" t="s">
        <v>69</v>
      </c>
      <c r="AD48" s="231" t="str">
        <f t="shared" si="2"/>
        <v>○</v>
      </c>
      <c r="AE48" s="35" t="str">
        <f t="shared" si="3"/>
        <v>申請しない場合は入力不要です。</v>
      </c>
      <c r="AF48" s="234" t="str">
        <f t="shared" si="4"/>
        <v>○</v>
      </c>
      <c r="AG48" s="234" t="str">
        <f t="shared" si="5"/>
        <v>○</v>
      </c>
      <c r="AH48" s="234" t="str">
        <f t="shared" si="6"/>
        <v>○</v>
      </c>
      <c r="AI48" s="231" t="str">
        <f t="shared" si="7"/>
        <v>○</v>
      </c>
      <c r="AJ48" s="14" t="str">
        <f t="shared" si="8"/>
        <v/>
      </c>
      <c r="AK48" s="41">
        <v>33</v>
      </c>
    </row>
    <row r="49" spans="1:37" ht="24.95" customHeight="1">
      <c r="A49" s="38">
        <v>34</v>
      </c>
      <c r="B49" s="313"/>
      <c r="C49" s="313"/>
      <c r="D49" s="313"/>
      <c r="E49" s="314"/>
      <c r="F49" s="315"/>
      <c r="G49" s="316"/>
      <c r="H49" s="316"/>
      <c r="I49" s="45">
        <f t="shared" si="0"/>
        <v>0</v>
      </c>
      <c r="J49" s="317"/>
      <c r="K49" s="45">
        <f t="shared" si="1"/>
        <v>0</v>
      </c>
      <c r="L49" s="44" t="str">
        <f>IF(AD49="◎",COUNTIF($AD$16:AD49,"◎"),"")</f>
        <v/>
      </c>
      <c r="W49" s="234" t="str">
        <f>IF(B49="既設病床",はじめに入力してください!$K$12,IF(B49="新設病床",はじめに入力してください!$K$13,IF(B49="共通使用",1,"")))</f>
        <v/>
      </c>
      <c r="AC49" s="49" t="s">
        <v>69</v>
      </c>
      <c r="AD49" s="231" t="str">
        <f t="shared" si="2"/>
        <v>○</v>
      </c>
      <c r="AE49" s="35" t="str">
        <f t="shared" si="3"/>
        <v>申請しない場合は入力不要です。</v>
      </c>
      <c r="AF49" s="234" t="str">
        <f t="shared" si="4"/>
        <v>○</v>
      </c>
      <c r="AG49" s="234" t="str">
        <f t="shared" si="5"/>
        <v>○</v>
      </c>
      <c r="AH49" s="234" t="str">
        <f t="shared" si="6"/>
        <v>○</v>
      </c>
      <c r="AI49" s="231" t="str">
        <f t="shared" si="7"/>
        <v>○</v>
      </c>
      <c r="AJ49" s="14" t="str">
        <f t="shared" si="8"/>
        <v/>
      </c>
      <c r="AK49" s="41">
        <v>34</v>
      </c>
    </row>
    <row r="50" spans="1:37" ht="24.95" customHeight="1">
      <c r="A50" s="38">
        <v>35</v>
      </c>
      <c r="B50" s="313"/>
      <c r="C50" s="313"/>
      <c r="D50" s="313"/>
      <c r="E50" s="314"/>
      <c r="F50" s="315"/>
      <c r="G50" s="316"/>
      <c r="H50" s="316"/>
      <c r="I50" s="45">
        <f t="shared" si="0"/>
        <v>0</v>
      </c>
      <c r="J50" s="317"/>
      <c r="K50" s="45">
        <f t="shared" si="1"/>
        <v>0</v>
      </c>
      <c r="L50" s="44" t="str">
        <f>IF(AD50="◎",COUNTIF($AD$16:AD50,"◎"),"")</f>
        <v/>
      </c>
      <c r="W50" s="234" t="str">
        <f>IF(B50="既設病床",はじめに入力してください!$K$12,IF(B50="新設病床",はじめに入力してください!$K$13,IF(B50="共通使用",1,"")))</f>
        <v/>
      </c>
      <c r="AC50" s="49" t="s">
        <v>69</v>
      </c>
      <c r="AD50" s="231" t="str">
        <f t="shared" si="2"/>
        <v>○</v>
      </c>
      <c r="AE50" s="35" t="str">
        <f t="shared" si="3"/>
        <v>申請しない場合は入力不要です。</v>
      </c>
      <c r="AF50" s="234" t="str">
        <f t="shared" si="4"/>
        <v>○</v>
      </c>
      <c r="AG50" s="234" t="str">
        <f t="shared" si="5"/>
        <v>○</v>
      </c>
      <c r="AH50" s="234" t="str">
        <f t="shared" si="6"/>
        <v>○</v>
      </c>
      <c r="AI50" s="231" t="str">
        <f t="shared" si="7"/>
        <v>○</v>
      </c>
      <c r="AJ50" s="14" t="str">
        <f t="shared" si="8"/>
        <v/>
      </c>
      <c r="AK50" s="41">
        <v>35</v>
      </c>
    </row>
    <row r="51" spans="1:37" ht="24.95" customHeight="1">
      <c r="A51" s="38">
        <v>36</v>
      </c>
      <c r="B51" s="313"/>
      <c r="C51" s="313"/>
      <c r="D51" s="313"/>
      <c r="E51" s="314"/>
      <c r="F51" s="315"/>
      <c r="G51" s="316"/>
      <c r="H51" s="316"/>
      <c r="I51" s="45">
        <f t="shared" si="0"/>
        <v>0</v>
      </c>
      <c r="J51" s="317"/>
      <c r="K51" s="45">
        <f t="shared" si="1"/>
        <v>0</v>
      </c>
      <c r="L51" s="44" t="str">
        <f>IF(AD51="◎",COUNTIF($AD$16:AD51,"◎"),"")</f>
        <v/>
      </c>
      <c r="W51" s="234" t="str">
        <f>IF(B51="既設病床",はじめに入力してください!$K$12,IF(B51="新設病床",はじめに入力してください!$K$13,IF(B51="共通使用",1,"")))</f>
        <v/>
      </c>
      <c r="AC51" s="49" t="s">
        <v>69</v>
      </c>
      <c r="AD51" s="231" t="str">
        <f t="shared" si="2"/>
        <v>○</v>
      </c>
      <c r="AE51" s="35" t="str">
        <f t="shared" si="3"/>
        <v>申請しない場合は入力不要です。</v>
      </c>
      <c r="AF51" s="234" t="str">
        <f t="shared" si="4"/>
        <v>○</v>
      </c>
      <c r="AG51" s="234" t="str">
        <f t="shared" si="5"/>
        <v>○</v>
      </c>
      <c r="AH51" s="234" t="str">
        <f t="shared" si="6"/>
        <v>○</v>
      </c>
      <c r="AI51" s="231" t="str">
        <f t="shared" si="7"/>
        <v>○</v>
      </c>
      <c r="AJ51" s="14" t="str">
        <f t="shared" si="8"/>
        <v/>
      </c>
      <c r="AK51" s="41">
        <v>36</v>
      </c>
    </row>
    <row r="52" spans="1:37" ht="24.95" customHeight="1">
      <c r="A52" s="38">
        <v>37</v>
      </c>
      <c r="B52" s="313"/>
      <c r="C52" s="313"/>
      <c r="D52" s="313"/>
      <c r="E52" s="314"/>
      <c r="F52" s="315"/>
      <c r="G52" s="316"/>
      <c r="H52" s="316"/>
      <c r="I52" s="45">
        <f t="shared" si="0"/>
        <v>0</v>
      </c>
      <c r="J52" s="317"/>
      <c r="K52" s="45">
        <f t="shared" si="1"/>
        <v>0</v>
      </c>
      <c r="L52" s="44" t="str">
        <f>IF(AD52="◎",COUNTIF($AD$16:AD52,"◎"),"")</f>
        <v/>
      </c>
      <c r="W52" s="234" t="str">
        <f>IF(B52="既設病床",はじめに入力してください!$K$12,IF(B52="新設病床",はじめに入力してください!$K$13,IF(B52="共通使用",1,"")))</f>
        <v/>
      </c>
      <c r="AC52" s="49" t="s">
        <v>69</v>
      </c>
      <c r="AD52" s="231" t="str">
        <f t="shared" si="2"/>
        <v>○</v>
      </c>
      <c r="AE52" s="35" t="str">
        <f t="shared" si="3"/>
        <v>申請しない場合は入力不要です。</v>
      </c>
      <c r="AF52" s="234" t="str">
        <f t="shared" si="4"/>
        <v>○</v>
      </c>
      <c r="AG52" s="234" t="str">
        <f t="shared" si="5"/>
        <v>○</v>
      </c>
      <c r="AH52" s="234" t="str">
        <f t="shared" si="6"/>
        <v>○</v>
      </c>
      <c r="AI52" s="231" t="str">
        <f t="shared" si="7"/>
        <v>○</v>
      </c>
      <c r="AJ52" s="14" t="str">
        <f t="shared" si="8"/>
        <v/>
      </c>
      <c r="AK52" s="41">
        <v>37</v>
      </c>
    </row>
    <row r="53" spans="1:37" ht="24.95" customHeight="1">
      <c r="A53" s="38">
        <v>38</v>
      </c>
      <c r="B53" s="313"/>
      <c r="C53" s="313"/>
      <c r="D53" s="313"/>
      <c r="E53" s="314"/>
      <c r="F53" s="315"/>
      <c r="G53" s="316"/>
      <c r="H53" s="316"/>
      <c r="I53" s="45">
        <f t="shared" si="0"/>
        <v>0</v>
      </c>
      <c r="J53" s="317"/>
      <c r="K53" s="45">
        <f t="shared" si="1"/>
        <v>0</v>
      </c>
      <c r="L53" s="44" t="str">
        <f>IF(AD53="◎",COUNTIF($AD$16:AD53,"◎"),"")</f>
        <v/>
      </c>
      <c r="W53" s="234" t="str">
        <f>IF(B53="既設病床",はじめに入力してください!$K$12,IF(B53="新設病床",はじめに入力してください!$K$13,IF(B53="共通使用",1,"")))</f>
        <v/>
      </c>
      <c r="AC53" s="49" t="s">
        <v>69</v>
      </c>
      <c r="AD53" s="231" t="str">
        <f t="shared" si="2"/>
        <v>○</v>
      </c>
      <c r="AE53" s="35" t="str">
        <f t="shared" si="3"/>
        <v>申請しない場合は入力不要です。</v>
      </c>
      <c r="AF53" s="234" t="str">
        <f t="shared" si="4"/>
        <v>○</v>
      </c>
      <c r="AG53" s="234" t="str">
        <f t="shared" si="5"/>
        <v>○</v>
      </c>
      <c r="AH53" s="234" t="str">
        <f t="shared" si="6"/>
        <v>○</v>
      </c>
      <c r="AI53" s="231" t="str">
        <f t="shared" si="7"/>
        <v>○</v>
      </c>
      <c r="AJ53" s="14" t="str">
        <f t="shared" si="8"/>
        <v/>
      </c>
      <c r="AK53" s="41">
        <v>38</v>
      </c>
    </row>
    <row r="54" spans="1:37" ht="24.95" customHeight="1">
      <c r="A54" s="38">
        <v>39</v>
      </c>
      <c r="B54" s="313"/>
      <c r="C54" s="313"/>
      <c r="D54" s="313"/>
      <c r="E54" s="314"/>
      <c r="F54" s="315"/>
      <c r="G54" s="316"/>
      <c r="H54" s="316"/>
      <c r="I54" s="45">
        <f t="shared" si="0"/>
        <v>0</v>
      </c>
      <c r="J54" s="317"/>
      <c r="K54" s="45">
        <f t="shared" si="1"/>
        <v>0</v>
      </c>
      <c r="L54" s="44" t="str">
        <f>IF(AD54="◎",COUNTIF($AD$16:AD54,"◎"),"")</f>
        <v/>
      </c>
      <c r="W54" s="234" t="str">
        <f>IF(B54="既設病床",はじめに入力してください!$K$12,IF(B54="新設病床",はじめに入力してください!$K$13,IF(B54="共通使用",1,"")))</f>
        <v/>
      </c>
      <c r="AC54" s="49" t="s">
        <v>69</v>
      </c>
      <c r="AD54" s="231" t="str">
        <f t="shared" si="2"/>
        <v>○</v>
      </c>
      <c r="AE54" s="35" t="str">
        <f t="shared" si="3"/>
        <v>申請しない場合は入力不要です。</v>
      </c>
      <c r="AF54" s="234" t="str">
        <f t="shared" si="4"/>
        <v>○</v>
      </c>
      <c r="AG54" s="234" t="str">
        <f t="shared" si="5"/>
        <v>○</v>
      </c>
      <c r="AH54" s="234" t="str">
        <f t="shared" si="6"/>
        <v>○</v>
      </c>
      <c r="AI54" s="231" t="str">
        <f t="shared" si="7"/>
        <v>○</v>
      </c>
      <c r="AJ54" s="14" t="str">
        <f t="shared" si="8"/>
        <v/>
      </c>
      <c r="AK54" s="41">
        <v>39</v>
      </c>
    </row>
    <row r="55" spans="1:37" ht="24.95" customHeight="1">
      <c r="A55" s="38">
        <v>40</v>
      </c>
      <c r="B55" s="313"/>
      <c r="C55" s="313"/>
      <c r="D55" s="313"/>
      <c r="E55" s="314"/>
      <c r="F55" s="315"/>
      <c r="G55" s="316"/>
      <c r="H55" s="316"/>
      <c r="I55" s="45">
        <f t="shared" si="0"/>
        <v>0</v>
      </c>
      <c r="J55" s="317"/>
      <c r="K55" s="45">
        <f t="shared" si="1"/>
        <v>0</v>
      </c>
      <c r="L55" s="44" t="str">
        <f>IF(AD55="◎",COUNTIF($AD$16:AD55,"◎"),"")</f>
        <v/>
      </c>
      <c r="W55" s="234" t="str">
        <f>IF(B55="既設病床",はじめに入力してください!$K$12,IF(B55="新設病床",はじめに入力してください!$K$13,IF(B55="共通使用",1,"")))</f>
        <v/>
      </c>
      <c r="AC55" s="49" t="s">
        <v>69</v>
      </c>
      <c r="AD55" s="231" t="str">
        <f t="shared" si="2"/>
        <v>○</v>
      </c>
      <c r="AE55" s="35" t="str">
        <f t="shared" si="3"/>
        <v>申請しない場合は入力不要です。</v>
      </c>
      <c r="AF55" s="234" t="str">
        <f t="shared" si="4"/>
        <v>○</v>
      </c>
      <c r="AG55" s="234" t="str">
        <f t="shared" si="5"/>
        <v>○</v>
      </c>
      <c r="AH55" s="234" t="str">
        <f t="shared" si="6"/>
        <v>○</v>
      </c>
      <c r="AI55" s="231" t="str">
        <f t="shared" si="7"/>
        <v>○</v>
      </c>
      <c r="AJ55" s="14" t="str">
        <f t="shared" si="8"/>
        <v/>
      </c>
      <c r="AK55" s="41">
        <v>40</v>
      </c>
    </row>
    <row r="56" spans="1:37" ht="24.95" customHeight="1">
      <c r="A56" s="38">
        <v>41</v>
      </c>
      <c r="B56" s="313"/>
      <c r="C56" s="313"/>
      <c r="D56" s="313"/>
      <c r="E56" s="314"/>
      <c r="F56" s="315"/>
      <c r="G56" s="316"/>
      <c r="H56" s="316"/>
      <c r="I56" s="45">
        <f t="shared" si="0"/>
        <v>0</v>
      </c>
      <c r="J56" s="317"/>
      <c r="K56" s="45">
        <f t="shared" si="1"/>
        <v>0</v>
      </c>
      <c r="L56" s="44" t="str">
        <f>IF(AD56="◎",COUNTIF($AD$16:AD56,"◎"),"")</f>
        <v/>
      </c>
      <c r="W56" s="234" t="str">
        <f>IF(B56="既設病床",はじめに入力してください!$K$12,IF(B56="新設病床",はじめに入力してください!$K$13,IF(B56="共通使用",1,"")))</f>
        <v/>
      </c>
      <c r="AC56" s="49" t="s">
        <v>69</v>
      </c>
      <c r="AD56" s="231" t="str">
        <f t="shared" si="2"/>
        <v>○</v>
      </c>
      <c r="AE56" s="35" t="str">
        <f t="shared" si="3"/>
        <v>申請しない場合は入力不要です。</v>
      </c>
      <c r="AF56" s="234" t="str">
        <f t="shared" si="4"/>
        <v>○</v>
      </c>
      <c r="AG56" s="234" t="str">
        <f t="shared" si="5"/>
        <v>○</v>
      </c>
      <c r="AH56" s="234" t="str">
        <f t="shared" si="6"/>
        <v>○</v>
      </c>
      <c r="AI56" s="231" t="str">
        <f t="shared" si="7"/>
        <v>○</v>
      </c>
      <c r="AJ56" s="14" t="str">
        <f t="shared" si="8"/>
        <v/>
      </c>
      <c r="AK56" s="41">
        <v>41</v>
      </c>
    </row>
    <row r="57" spans="1:37" ht="24.95" customHeight="1">
      <c r="A57" s="38">
        <v>42</v>
      </c>
      <c r="B57" s="313"/>
      <c r="C57" s="313"/>
      <c r="D57" s="313"/>
      <c r="E57" s="314"/>
      <c r="F57" s="315"/>
      <c r="G57" s="316"/>
      <c r="H57" s="316"/>
      <c r="I57" s="45">
        <f t="shared" si="0"/>
        <v>0</v>
      </c>
      <c r="J57" s="317"/>
      <c r="K57" s="45">
        <f t="shared" si="1"/>
        <v>0</v>
      </c>
      <c r="L57" s="44" t="str">
        <f>IF(AD57="◎",COUNTIF($AD$16:AD57,"◎"),"")</f>
        <v/>
      </c>
      <c r="W57" s="234" t="str">
        <f>IF(B57="既設病床",はじめに入力してください!$K$12,IF(B57="新設病床",はじめに入力してください!$K$13,IF(B57="共通使用",1,"")))</f>
        <v/>
      </c>
      <c r="AC57" s="49" t="s">
        <v>69</v>
      </c>
      <c r="AD57" s="231" t="str">
        <f t="shared" si="2"/>
        <v>○</v>
      </c>
      <c r="AE57" s="35" t="str">
        <f t="shared" si="3"/>
        <v>申請しない場合は入力不要です。</v>
      </c>
      <c r="AF57" s="234" t="str">
        <f t="shared" si="4"/>
        <v>○</v>
      </c>
      <c r="AG57" s="234" t="str">
        <f t="shared" si="5"/>
        <v>○</v>
      </c>
      <c r="AH57" s="234" t="str">
        <f t="shared" si="6"/>
        <v>○</v>
      </c>
      <c r="AI57" s="231" t="str">
        <f t="shared" si="7"/>
        <v>○</v>
      </c>
      <c r="AJ57" s="14" t="str">
        <f t="shared" si="8"/>
        <v/>
      </c>
      <c r="AK57" s="41">
        <v>42</v>
      </c>
    </row>
    <row r="58" spans="1:37" ht="24.95" customHeight="1">
      <c r="A58" s="38">
        <v>43</v>
      </c>
      <c r="B58" s="313"/>
      <c r="C58" s="313"/>
      <c r="D58" s="313"/>
      <c r="E58" s="314"/>
      <c r="F58" s="315"/>
      <c r="G58" s="316"/>
      <c r="H58" s="316"/>
      <c r="I58" s="45">
        <f t="shared" si="0"/>
        <v>0</v>
      </c>
      <c r="J58" s="317"/>
      <c r="K58" s="45">
        <f t="shared" si="1"/>
        <v>0</v>
      </c>
      <c r="L58" s="44" t="str">
        <f>IF(AD58="◎",COUNTIF($AD$16:AD58,"◎"),"")</f>
        <v/>
      </c>
      <c r="W58" s="234" t="str">
        <f>IF(B58="既設病床",はじめに入力してください!$K$12,IF(B58="新設病床",はじめに入力してください!$K$13,IF(B58="共通使用",1,"")))</f>
        <v/>
      </c>
      <c r="AC58" s="49" t="s">
        <v>69</v>
      </c>
      <c r="AD58" s="231" t="str">
        <f t="shared" si="2"/>
        <v>○</v>
      </c>
      <c r="AE58" s="35" t="str">
        <f t="shared" si="3"/>
        <v>申請しない場合は入力不要です。</v>
      </c>
      <c r="AF58" s="234" t="str">
        <f t="shared" si="4"/>
        <v>○</v>
      </c>
      <c r="AG58" s="234" t="str">
        <f t="shared" si="5"/>
        <v>○</v>
      </c>
      <c r="AH58" s="234" t="str">
        <f t="shared" si="6"/>
        <v>○</v>
      </c>
      <c r="AI58" s="231" t="str">
        <f t="shared" si="7"/>
        <v>○</v>
      </c>
      <c r="AJ58" s="14" t="str">
        <f t="shared" si="8"/>
        <v/>
      </c>
      <c r="AK58" s="41">
        <v>43</v>
      </c>
    </row>
    <row r="59" spans="1:37" ht="24.95" customHeight="1">
      <c r="A59" s="38">
        <v>44</v>
      </c>
      <c r="B59" s="313"/>
      <c r="C59" s="313"/>
      <c r="D59" s="313"/>
      <c r="E59" s="314"/>
      <c r="F59" s="315"/>
      <c r="G59" s="316"/>
      <c r="H59" s="316"/>
      <c r="I59" s="45">
        <f t="shared" si="0"/>
        <v>0</v>
      </c>
      <c r="J59" s="317"/>
      <c r="K59" s="45">
        <f t="shared" si="1"/>
        <v>0</v>
      </c>
      <c r="L59" s="44" t="str">
        <f>IF(AD59="◎",COUNTIF($AD$16:AD59,"◎"),"")</f>
        <v/>
      </c>
      <c r="W59" s="234" t="str">
        <f>IF(B59="既設病床",はじめに入力してください!$K$12,IF(B59="新設病床",はじめに入力してください!$K$13,IF(B59="共通使用",1,"")))</f>
        <v/>
      </c>
      <c r="AC59" s="49" t="s">
        <v>69</v>
      </c>
      <c r="AD59" s="231" t="str">
        <f t="shared" si="2"/>
        <v>○</v>
      </c>
      <c r="AE59" s="35" t="str">
        <f t="shared" si="3"/>
        <v>申請しない場合は入力不要です。</v>
      </c>
      <c r="AF59" s="234" t="str">
        <f t="shared" si="4"/>
        <v>○</v>
      </c>
      <c r="AG59" s="234" t="str">
        <f t="shared" si="5"/>
        <v>○</v>
      </c>
      <c r="AH59" s="234" t="str">
        <f t="shared" si="6"/>
        <v>○</v>
      </c>
      <c r="AI59" s="231" t="str">
        <f t="shared" si="7"/>
        <v>○</v>
      </c>
      <c r="AJ59" s="14" t="str">
        <f t="shared" si="8"/>
        <v/>
      </c>
      <c r="AK59" s="41">
        <v>44</v>
      </c>
    </row>
    <row r="60" spans="1:37" ht="24.95" customHeight="1">
      <c r="A60" s="38">
        <v>45</v>
      </c>
      <c r="B60" s="313"/>
      <c r="C60" s="313"/>
      <c r="D60" s="313"/>
      <c r="E60" s="314"/>
      <c r="F60" s="315"/>
      <c r="G60" s="316"/>
      <c r="H60" s="316"/>
      <c r="I60" s="45">
        <f t="shared" si="0"/>
        <v>0</v>
      </c>
      <c r="J60" s="317"/>
      <c r="K60" s="45">
        <f t="shared" si="1"/>
        <v>0</v>
      </c>
      <c r="L60" s="44" t="str">
        <f>IF(AD60="◎",COUNTIF($AD$16:AD60,"◎"),"")</f>
        <v/>
      </c>
      <c r="W60" s="234" t="str">
        <f>IF(B60="既設病床",はじめに入力してください!$K$12,IF(B60="新設病床",はじめに入力してください!$K$13,IF(B60="共通使用",1,"")))</f>
        <v/>
      </c>
      <c r="AC60" s="49" t="s">
        <v>69</v>
      </c>
      <c r="AD60" s="231" t="str">
        <f t="shared" si="2"/>
        <v>○</v>
      </c>
      <c r="AE60" s="35" t="str">
        <f t="shared" si="3"/>
        <v>申請しない場合は入力不要です。</v>
      </c>
      <c r="AF60" s="234" t="str">
        <f t="shared" si="4"/>
        <v>○</v>
      </c>
      <c r="AG60" s="234" t="str">
        <f t="shared" si="5"/>
        <v>○</v>
      </c>
      <c r="AH60" s="234" t="str">
        <f t="shared" si="6"/>
        <v>○</v>
      </c>
      <c r="AI60" s="231" t="str">
        <f t="shared" si="7"/>
        <v>○</v>
      </c>
      <c r="AJ60" s="14" t="str">
        <f t="shared" si="8"/>
        <v/>
      </c>
      <c r="AK60" s="41">
        <v>45</v>
      </c>
    </row>
    <row r="61" spans="1:37" ht="24.95" customHeight="1">
      <c r="A61" s="38">
        <v>46</v>
      </c>
      <c r="B61" s="313"/>
      <c r="C61" s="313"/>
      <c r="D61" s="313"/>
      <c r="E61" s="314"/>
      <c r="F61" s="315"/>
      <c r="G61" s="316"/>
      <c r="H61" s="316"/>
      <c r="I61" s="45">
        <f t="shared" si="0"/>
        <v>0</v>
      </c>
      <c r="J61" s="317"/>
      <c r="K61" s="45">
        <f t="shared" si="1"/>
        <v>0</v>
      </c>
      <c r="L61" s="44" t="str">
        <f>IF(AD61="◎",COUNTIF($AD$16:AD61,"◎"),"")</f>
        <v/>
      </c>
      <c r="W61" s="234" t="str">
        <f>IF(B61="既設病床",はじめに入力してください!$K$12,IF(B61="新設病床",はじめに入力してください!$K$13,IF(B61="共通使用",1,"")))</f>
        <v/>
      </c>
      <c r="AC61" s="49" t="s">
        <v>69</v>
      </c>
      <c r="AD61" s="231" t="str">
        <f t="shared" si="2"/>
        <v>○</v>
      </c>
      <c r="AE61" s="35" t="str">
        <f t="shared" si="3"/>
        <v>申請しない場合は入力不要です。</v>
      </c>
      <c r="AF61" s="234" t="str">
        <f t="shared" si="4"/>
        <v>○</v>
      </c>
      <c r="AG61" s="234" t="str">
        <f t="shared" si="5"/>
        <v>○</v>
      </c>
      <c r="AH61" s="234" t="str">
        <f t="shared" si="6"/>
        <v>○</v>
      </c>
      <c r="AI61" s="231" t="str">
        <f t="shared" si="7"/>
        <v>○</v>
      </c>
      <c r="AJ61" s="14" t="str">
        <f t="shared" si="8"/>
        <v/>
      </c>
      <c r="AK61" s="41">
        <v>46</v>
      </c>
    </row>
    <row r="62" spans="1:37" ht="24.95" customHeight="1">
      <c r="A62" s="38">
        <v>47</v>
      </c>
      <c r="B62" s="313"/>
      <c r="C62" s="313"/>
      <c r="D62" s="313"/>
      <c r="E62" s="314"/>
      <c r="F62" s="315"/>
      <c r="G62" s="316"/>
      <c r="H62" s="316"/>
      <c r="I62" s="45">
        <f t="shared" si="0"/>
        <v>0</v>
      </c>
      <c r="J62" s="317"/>
      <c r="K62" s="45">
        <f t="shared" si="1"/>
        <v>0</v>
      </c>
      <c r="L62" s="44" t="str">
        <f>IF(AD62="◎",COUNTIF($AD$16:AD62,"◎"),"")</f>
        <v/>
      </c>
      <c r="W62" s="234" t="str">
        <f>IF(B62="既設病床",はじめに入力してください!$K$12,IF(B62="新設病床",はじめに入力してください!$K$13,IF(B62="共通使用",1,"")))</f>
        <v/>
      </c>
      <c r="AC62" s="49" t="s">
        <v>69</v>
      </c>
      <c r="AD62" s="231" t="str">
        <f t="shared" si="2"/>
        <v>○</v>
      </c>
      <c r="AE62" s="35" t="str">
        <f t="shared" si="3"/>
        <v>申請しない場合は入力不要です。</v>
      </c>
      <c r="AF62" s="234" t="str">
        <f t="shared" si="4"/>
        <v>○</v>
      </c>
      <c r="AG62" s="234" t="str">
        <f t="shared" si="5"/>
        <v>○</v>
      </c>
      <c r="AH62" s="234" t="str">
        <f t="shared" si="6"/>
        <v>○</v>
      </c>
      <c r="AI62" s="231" t="str">
        <f t="shared" si="7"/>
        <v>○</v>
      </c>
      <c r="AJ62" s="14" t="str">
        <f t="shared" si="8"/>
        <v/>
      </c>
      <c r="AK62" s="41">
        <v>47</v>
      </c>
    </row>
    <row r="63" spans="1:37" ht="24.95" customHeight="1">
      <c r="A63" s="38">
        <v>48</v>
      </c>
      <c r="B63" s="313"/>
      <c r="C63" s="313"/>
      <c r="D63" s="313"/>
      <c r="E63" s="314"/>
      <c r="F63" s="315"/>
      <c r="G63" s="316"/>
      <c r="H63" s="316"/>
      <c r="I63" s="45">
        <f t="shared" si="0"/>
        <v>0</v>
      </c>
      <c r="J63" s="317"/>
      <c r="K63" s="45">
        <f t="shared" si="1"/>
        <v>0</v>
      </c>
      <c r="L63" s="44" t="str">
        <f>IF(AD63="◎",COUNTIF($AD$16:AD63,"◎"),"")</f>
        <v/>
      </c>
      <c r="W63" s="234" t="str">
        <f>IF(B63="既設病床",はじめに入力してください!$K$12,IF(B63="新設病床",はじめに入力してください!$K$13,IF(B63="共通使用",1,"")))</f>
        <v/>
      </c>
      <c r="AC63" s="49" t="s">
        <v>69</v>
      </c>
      <c r="AD63" s="231" t="str">
        <f t="shared" si="2"/>
        <v>○</v>
      </c>
      <c r="AE63" s="35" t="str">
        <f t="shared" si="3"/>
        <v>申請しない場合は入力不要です。</v>
      </c>
      <c r="AF63" s="234" t="str">
        <f t="shared" si="4"/>
        <v>○</v>
      </c>
      <c r="AG63" s="234" t="str">
        <f t="shared" si="5"/>
        <v>○</v>
      </c>
      <c r="AH63" s="234" t="str">
        <f t="shared" si="6"/>
        <v>○</v>
      </c>
      <c r="AI63" s="231" t="str">
        <f t="shared" si="7"/>
        <v>○</v>
      </c>
      <c r="AJ63" s="14" t="str">
        <f t="shared" si="8"/>
        <v/>
      </c>
      <c r="AK63" s="41">
        <v>48</v>
      </c>
    </row>
    <row r="64" spans="1:37" ht="24.95" customHeight="1">
      <c r="A64" s="38">
        <v>49</v>
      </c>
      <c r="B64" s="313"/>
      <c r="C64" s="313"/>
      <c r="D64" s="313"/>
      <c r="E64" s="314"/>
      <c r="F64" s="315"/>
      <c r="G64" s="316"/>
      <c r="H64" s="316"/>
      <c r="I64" s="45">
        <f t="shared" si="0"/>
        <v>0</v>
      </c>
      <c r="J64" s="317"/>
      <c r="K64" s="45">
        <f t="shared" si="1"/>
        <v>0</v>
      </c>
      <c r="L64" s="44" t="str">
        <f>IF(AD64="◎",COUNTIF($AD$16:AD64,"◎"),"")</f>
        <v/>
      </c>
      <c r="W64" s="234" t="str">
        <f>IF(B64="既設病床",はじめに入力してください!$K$12,IF(B64="新設病床",はじめに入力してください!$K$13,IF(B64="共通使用",1,"")))</f>
        <v/>
      </c>
      <c r="AC64" s="49" t="s">
        <v>69</v>
      </c>
      <c r="AD64" s="231" t="str">
        <f t="shared" si="2"/>
        <v>○</v>
      </c>
      <c r="AE64" s="35" t="str">
        <f t="shared" si="3"/>
        <v>申請しない場合は入力不要です。</v>
      </c>
      <c r="AF64" s="234" t="str">
        <f t="shared" si="4"/>
        <v>○</v>
      </c>
      <c r="AG64" s="234" t="str">
        <f t="shared" si="5"/>
        <v>○</v>
      </c>
      <c r="AH64" s="234" t="str">
        <f t="shared" si="6"/>
        <v>○</v>
      </c>
      <c r="AI64" s="231" t="str">
        <f t="shared" si="7"/>
        <v>○</v>
      </c>
      <c r="AJ64" s="14" t="str">
        <f t="shared" si="8"/>
        <v/>
      </c>
      <c r="AK64" s="41">
        <v>49</v>
      </c>
    </row>
    <row r="65" spans="1:37" ht="24.95" customHeight="1">
      <c r="A65" s="38">
        <v>50</v>
      </c>
      <c r="B65" s="313"/>
      <c r="C65" s="313"/>
      <c r="D65" s="313"/>
      <c r="E65" s="314"/>
      <c r="F65" s="315"/>
      <c r="G65" s="316"/>
      <c r="H65" s="316"/>
      <c r="I65" s="45">
        <f t="shared" si="0"/>
        <v>0</v>
      </c>
      <c r="J65" s="317"/>
      <c r="K65" s="45">
        <f t="shared" si="1"/>
        <v>0</v>
      </c>
      <c r="L65" s="44" t="str">
        <f>IF(AD65="◎",COUNTIF($AD$16:AD65,"◎"),"")</f>
        <v/>
      </c>
      <c r="W65" s="234" t="str">
        <f>IF(B65="既設病床",はじめに入力してください!$K$12,IF(B65="新設病床",はじめに入力してください!$K$13,IF(B65="共通使用",1,"")))</f>
        <v/>
      </c>
      <c r="AC65" s="49" t="s">
        <v>69</v>
      </c>
      <c r="AD65" s="231" t="str">
        <f t="shared" si="2"/>
        <v>○</v>
      </c>
      <c r="AE65" s="35" t="str">
        <f t="shared" si="3"/>
        <v>申請しない場合は入力不要です。</v>
      </c>
      <c r="AF65" s="234" t="str">
        <f t="shared" si="4"/>
        <v>○</v>
      </c>
      <c r="AG65" s="234" t="str">
        <f t="shared" si="5"/>
        <v>○</v>
      </c>
      <c r="AH65" s="234" t="str">
        <f t="shared" si="6"/>
        <v>○</v>
      </c>
      <c r="AI65" s="231" t="str">
        <f t="shared" si="7"/>
        <v>○</v>
      </c>
      <c r="AJ65" s="14" t="str">
        <f t="shared" si="8"/>
        <v/>
      </c>
      <c r="AK65" s="41">
        <v>50</v>
      </c>
    </row>
    <row r="66" spans="1:37" ht="24.95" customHeight="1">
      <c r="A66" s="38">
        <v>51</v>
      </c>
      <c r="B66" s="313"/>
      <c r="C66" s="313"/>
      <c r="D66" s="313"/>
      <c r="E66" s="314"/>
      <c r="F66" s="315"/>
      <c r="G66" s="316"/>
      <c r="H66" s="316"/>
      <c r="I66" s="45">
        <f t="shared" si="0"/>
        <v>0</v>
      </c>
      <c r="J66" s="317"/>
      <c r="K66" s="45">
        <f t="shared" si="1"/>
        <v>0</v>
      </c>
      <c r="L66" s="44" t="str">
        <f>IF(AD66="◎",COUNTIF($AD$16:AD66,"◎"),"")</f>
        <v/>
      </c>
      <c r="W66" s="234" t="str">
        <f>IF(B66="既設病床",はじめに入力してください!$K$12,IF(B66="新設病床",はじめに入力してください!$K$13,IF(B66="共通使用",1,"")))</f>
        <v/>
      </c>
      <c r="AC66" s="49" t="s">
        <v>69</v>
      </c>
      <c r="AD66" s="231" t="str">
        <f t="shared" si="2"/>
        <v>○</v>
      </c>
      <c r="AE66" s="35" t="str">
        <f t="shared" si="3"/>
        <v>申請しない場合は入力不要です。</v>
      </c>
      <c r="AF66" s="234" t="str">
        <f t="shared" si="4"/>
        <v>○</v>
      </c>
      <c r="AG66" s="234" t="str">
        <f t="shared" si="5"/>
        <v>○</v>
      </c>
      <c r="AH66" s="234" t="str">
        <f t="shared" si="6"/>
        <v>○</v>
      </c>
      <c r="AI66" s="231" t="str">
        <f t="shared" si="7"/>
        <v>○</v>
      </c>
      <c r="AJ66" s="14" t="str">
        <f t="shared" si="8"/>
        <v/>
      </c>
      <c r="AK66" s="41">
        <v>51</v>
      </c>
    </row>
    <row r="67" spans="1:37" ht="24.95" customHeight="1">
      <c r="A67" s="38">
        <v>52</v>
      </c>
      <c r="B67" s="313"/>
      <c r="C67" s="313"/>
      <c r="D67" s="313"/>
      <c r="E67" s="314"/>
      <c r="F67" s="315"/>
      <c r="G67" s="316"/>
      <c r="H67" s="316"/>
      <c r="I67" s="45">
        <f t="shared" si="0"/>
        <v>0</v>
      </c>
      <c r="J67" s="317"/>
      <c r="K67" s="45">
        <f t="shared" si="1"/>
        <v>0</v>
      </c>
      <c r="L67" s="44" t="str">
        <f>IF(AD67="◎",COUNTIF($AD$16:AD67,"◎"),"")</f>
        <v/>
      </c>
      <c r="W67" s="234" t="str">
        <f>IF(B67="既設病床",はじめに入力してください!$K$12,IF(B67="新設病床",はじめに入力してください!$K$13,IF(B67="共通使用",1,"")))</f>
        <v/>
      </c>
      <c r="AC67" s="49" t="s">
        <v>69</v>
      </c>
      <c r="AD67" s="231" t="str">
        <f t="shared" si="2"/>
        <v>○</v>
      </c>
      <c r="AE67" s="35" t="str">
        <f t="shared" si="3"/>
        <v>申請しない場合は入力不要です。</v>
      </c>
      <c r="AF67" s="234" t="str">
        <f t="shared" si="4"/>
        <v>○</v>
      </c>
      <c r="AG67" s="234" t="str">
        <f t="shared" si="5"/>
        <v>○</v>
      </c>
      <c r="AH67" s="234" t="str">
        <f t="shared" si="6"/>
        <v>○</v>
      </c>
      <c r="AI67" s="231" t="str">
        <f t="shared" si="7"/>
        <v>○</v>
      </c>
      <c r="AJ67" s="14" t="str">
        <f t="shared" si="8"/>
        <v/>
      </c>
      <c r="AK67" s="41">
        <v>52</v>
      </c>
    </row>
    <row r="68" spans="1:37" ht="24.95" customHeight="1">
      <c r="A68" s="38">
        <v>53</v>
      </c>
      <c r="B68" s="313"/>
      <c r="C68" s="313"/>
      <c r="D68" s="313"/>
      <c r="E68" s="314"/>
      <c r="F68" s="315"/>
      <c r="G68" s="316"/>
      <c r="H68" s="316"/>
      <c r="I68" s="45">
        <f t="shared" si="0"/>
        <v>0</v>
      </c>
      <c r="J68" s="317"/>
      <c r="K68" s="45">
        <f t="shared" si="1"/>
        <v>0</v>
      </c>
      <c r="L68" s="44" t="str">
        <f>IF(AD68="◎",COUNTIF($AD$16:AD68,"◎"),"")</f>
        <v/>
      </c>
      <c r="W68" s="234" t="str">
        <f>IF(B68="既設病床",はじめに入力してください!$K$12,IF(B68="新設病床",はじめに入力してください!$K$13,IF(B68="共通使用",1,"")))</f>
        <v/>
      </c>
      <c r="AC68" s="49" t="s">
        <v>69</v>
      </c>
      <c r="AD68" s="231" t="str">
        <f t="shared" si="2"/>
        <v>○</v>
      </c>
      <c r="AE68" s="35" t="str">
        <f t="shared" si="3"/>
        <v>申請しない場合は入力不要です。</v>
      </c>
      <c r="AF68" s="234" t="str">
        <f t="shared" si="4"/>
        <v>○</v>
      </c>
      <c r="AG68" s="234" t="str">
        <f t="shared" si="5"/>
        <v>○</v>
      </c>
      <c r="AH68" s="234" t="str">
        <f t="shared" si="6"/>
        <v>○</v>
      </c>
      <c r="AI68" s="231" t="str">
        <f t="shared" si="7"/>
        <v>○</v>
      </c>
      <c r="AJ68" s="14" t="str">
        <f t="shared" si="8"/>
        <v/>
      </c>
      <c r="AK68" s="41">
        <v>53</v>
      </c>
    </row>
    <row r="69" spans="1:37" ht="24.95" customHeight="1">
      <c r="A69" s="38">
        <v>54</v>
      </c>
      <c r="B69" s="313"/>
      <c r="C69" s="313"/>
      <c r="D69" s="313"/>
      <c r="E69" s="314"/>
      <c r="F69" s="315"/>
      <c r="G69" s="316"/>
      <c r="H69" s="316"/>
      <c r="I69" s="45">
        <f t="shared" si="0"/>
        <v>0</v>
      </c>
      <c r="J69" s="317"/>
      <c r="K69" s="45">
        <f t="shared" si="1"/>
        <v>0</v>
      </c>
      <c r="L69" s="44" t="str">
        <f>IF(AD69="◎",COUNTIF($AD$16:AD69,"◎"),"")</f>
        <v/>
      </c>
      <c r="W69" s="234" t="str">
        <f>IF(B69="既設病床",はじめに入力してください!$K$12,IF(B69="新設病床",はじめに入力してください!$K$13,IF(B69="共通使用",1,"")))</f>
        <v/>
      </c>
      <c r="AC69" s="49" t="s">
        <v>69</v>
      </c>
      <c r="AD69" s="231" t="str">
        <f t="shared" si="2"/>
        <v>○</v>
      </c>
      <c r="AE69" s="35" t="str">
        <f t="shared" si="3"/>
        <v>申請しない場合は入力不要です。</v>
      </c>
      <c r="AF69" s="234" t="str">
        <f t="shared" si="4"/>
        <v>○</v>
      </c>
      <c r="AG69" s="234" t="str">
        <f t="shared" si="5"/>
        <v>○</v>
      </c>
      <c r="AH69" s="234" t="str">
        <f t="shared" si="6"/>
        <v>○</v>
      </c>
      <c r="AI69" s="231" t="str">
        <f t="shared" si="7"/>
        <v>○</v>
      </c>
      <c r="AJ69" s="14" t="str">
        <f t="shared" si="8"/>
        <v/>
      </c>
      <c r="AK69" s="41">
        <v>54</v>
      </c>
    </row>
    <row r="70" spans="1:37" ht="24.95" customHeight="1">
      <c r="A70" s="38">
        <v>55</v>
      </c>
      <c r="B70" s="313"/>
      <c r="C70" s="313"/>
      <c r="D70" s="313"/>
      <c r="E70" s="314"/>
      <c r="F70" s="315"/>
      <c r="G70" s="316"/>
      <c r="H70" s="316"/>
      <c r="I70" s="45">
        <f t="shared" si="0"/>
        <v>0</v>
      </c>
      <c r="J70" s="317"/>
      <c r="K70" s="45">
        <f t="shared" si="1"/>
        <v>0</v>
      </c>
      <c r="L70" s="44" t="str">
        <f>IF(AD70="◎",COUNTIF($AD$16:AD70,"◎"),"")</f>
        <v/>
      </c>
      <c r="W70" s="234" t="str">
        <f>IF(B70="既設病床",はじめに入力してください!$K$12,IF(B70="新設病床",はじめに入力してください!$K$13,IF(B70="共通使用",1,"")))</f>
        <v/>
      </c>
      <c r="AC70" s="49" t="s">
        <v>69</v>
      </c>
      <c r="AD70" s="231" t="str">
        <f t="shared" si="2"/>
        <v>○</v>
      </c>
      <c r="AE70" s="35" t="str">
        <f t="shared" si="3"/>
        <v>申請しない場合は入力不要です。</v>
      </c>
      <c r="AF70" s="234" t="str">
        <f t="shared" si="4"/>
        <v>○</v>
      </c>
      <c r="AG70" s="234" t="str">
        <f t="shared" si="5"/>
        <v>○</v>
      </c>
      <c r="AH70" s="234" t="str">
        <f t="shared" si="6"/>
        <v>○</v>
      </c>
      <c r="AI70" s="231" t="str">
        <f t="shared" si="7"/>
        <v>○</v>
      </c>
      <c r="AJ70" s="14" t="str">
        <f t="shared" si="8"/>
        <v/>
      </c>
      <c r="AK70" s="41">
        <v>55</v>
      </c>
    </row>
    <row r="71" spans="1:37" ht="24.95" customHeight="1">
      <c r="A71" s="38">
        <v>56</v>
      </c>
      <c r="B71" s="313"/>
      <c r="C71" s="313"/>
      <c r="D71" s="313"/>
      <c r="E71" s="314"/>
      <c r="F71" s="315"/>
      <c r="G71" s="316"/>
      <c r="H71" s="316"/>
      <c r="I71" s="45">
        <f t="shared" si="0"/>
        <v>0</v>
      </c>
      <c r="J71" s="317"/>
      <c r="K71" s="45">
        <f t="shared" si="1"/>
        <v>0</v>
      </c>
      <c r="L71" s="44" t="str">
        <f>IF(AD71="◎",COUNTIF($AD$16:AD71,"◎"),"")</f>
        <v/>
      </c>
      <c r="W71" s="234" t="str">
        <f>IF(B71="既設病床",はじめに入力してください!$K$12,IF(B71="新設病床",はじめに入力してください!$K$13,IF(B71="共通使用",1,"")))</f>
        <v/>
      </c>
      <c r="AC71" s="49" t="s">
        <v>69</v>
      </c>
      <c r="AD71" s="231" t="str">
        <f t="shared" si="2"/>
        <v>○</v>
      </c>
      <c r="AE71" s="35" t="str">
        <f t="shared" si="3"/>
        <v>申請しない場合は入力不要です。</v>
      </c>
      <c r="AF71" s="234" t="str">
        <f t="shared" si="4"/>
        <v>○</v>
      </c>
      <c r="AG71" s="234" t="str">
        <f t="shared" si="5"/>
        <v>○</v>
      </c>
      <c r="AH71" s="234" t="str">
        <f t="shared" si="6"/>
        <v>○</v>
      </c>
      <c r="AI71" s="231" t="str">
        <f t="shared" si="7"/>
        <v>○</v>
      </c>
      <c r="AJ71" s="14" t="str">
        <f t="shared" si="8"/>
        <v/>
      </c>
      <c r="AK71" s="41">
        <v>56</v>
      </c>
    </row>
    <row r="72" spans="1:37" ht="24.95" customHeight="1">
      <c r="A72" s="38">
        <v>57</v>
      </c>
      <c r="B72" s="313"/>
      <c r="C72" s="313"/>
      <c r="D72" s="313"/>
      <c r="E72" s="314"/>
      <c r="F72" s="315"/>
      <c r="G72" s="316"/>
      <c r="H72" s="316"/>
      <c r="I72" s="45">
        <f t="shared" si="0"/>
        <v>0</v>
      </c>
      <c r="J72" s="317"/>
      <c r="K72" s="45">
        <f t="shared" si="1"/>
        <v>0</v>
      </c>
      <c r="L72" s="44" t="str">
        <f>IF(AD72="◎",COUNTIF($AD$16:AD72,"◎"),"")</f>
        <v/>
      </c>
      <c r="W72" s="234" t="str">
        <f>IF(B72="既設病床",はじめに入力してください!$K$12,IF(B72="新設病床",はじめに入力してください!$K$13,IF(B72="共通使用",1,"")))</f>
        <v/>
      </c>
      <c r="AC72" s="49" t="s">
        <v>69</v>
      </c>
      <c r="AD72" s="231" t="str">
        <f t="shared" si="2"/>
        <v>○</v>
      </c>
      <c r="AE72" s="35" t="str">
        <f t="shared" si="3"/>
        <v>申請しない場合は入力不要です。</v>
      </c>
      <c r="AF72" s="234" t="str">
        <f t="shared" si="4"/>
        <v>○</v>
      </c>
      <c r="AG72" s="234" t="str">
        <f t="shared" si="5"/>
        <v>○</v>
      </c>
      <c r="AH72" s="234" t="str">
        <f t="shared" si="6"/>
        <v>○</v>
      </c>
      <c r="AI72" s="231" t="str">
        <f t="shared" si="7"/>
        <v>○</v>
      </c>
      <c r="AJ72" s="14" t="str">
        <f t="shared" si="8"/>
        <v/>
      </c>
      <c r="AK72" s="41">
        <v>57</v>
      </c>
    </row>
    <row r="73" spans="1:37" ht="24.95" customHeight="1">
      <c r="A73" s="38">
        <v>58</v>
      </c>
      <c r="B73" s="313"/>
      <c r="C73" s="313"/>
      <c r="D73" s="313"/>
      <c r="E73" s="314"/>
      <c r="F73" s="315"/>
      <c r="G73" s="316"/>
      <c r="H73" s="316"/>
      <c r="I73" s="45">
        <f t="shared" si="0"/>
        <v>0</v>
      </c>
      <c r="J73" s="317"/>
      <c r="K73" s="45">
        <f t="shared" si="1"/>
        <v>0</v>
      </c>
      <c r="L73" s="44" t="str">
        <f>IF(AD73="◎",COUNTIF($AD$16:AD73,"◎"),"")</f>
        <v/>
      </c>
      <c r="W73" s="234" t="str">
        <f>IF(B73="既設病床",はじめに入力してください!$K$12,IF(B73="新設病床",はじめに入力してください!$K$13,IF(B73="共通使用",1,"")))</f>
        <v/>
      </c>
      <c r="AC73" s="49" t="s">
        <v>69</v>
      </c>
      <c r="AD73" s="231" t="str">
        <f t="shared" si="2"/>
        <v>○</v>
      </c>
      <c r="AE73" s="35" t="str">
        <f t="shared" si="3"/>
        <v>申請しない場合は入力不要です。</v>
      </c>
      <c r="AF73" s="234" t="str">
        <f t="shared" si="4"/>
        <v>○</v>
      </c>
      <c r="AG73" s="234" t="str">
        <f t="shared" si="5"/>
        <v>○</v>
      </c>
      <c r="AH73" s="234" t="str">
        <f t="shared" si="6"/>
        <v>○</v>
      </c>
      <c r="AI73" s="231" t="str">
        <f t="shared" si="7"/>
        <v>○</v>
      </c>
      <c r="AJ73" s="14" t="str">
        <f t="shared" si="8"/>
        <v/>
      </c>
      <c r="AK73" s="41">
        <v>58</v>
      </c>
    </row>
    <row r="74" spans="1:37" ht="24.95" customHeight="1">
      <c r="A74" s="38">
        <v>59</v>
      </c>
      <c r="B74" s="313"/>
      <c r="C74" s="313"/>
      <c r="D74" s="313"/>
      <c r="E74" s="314"/>
      <c r="F74" s="315"/>
      <c r="G74" s="316"/>
      <c r="H74" s="316"/>
      <c r="I74" s="45">
        <f t="shared" si="0"/>
        <v>0</v>
      </c>
      <c r="J74" s="317"/>
      <c r="K74" s="45">
        <f t="shared" si="1"/>
        <v>0</v>
      </c>
      <c r="L74" s="44" t="str">
        <f>IF(AD74="◎",COUNTIF($AD$16:AD74,"◎"),"")</f>
        <v/>
      </c>
      <c r="W74" s="234" t="str">
        <f>IF(B74="既設病床",はじめに入力してください!$K$12,IF(B74="新設病床",はじめに入力してください!$K$13,IF(B74="共通使用",1,"")))</f>
        <v/>
      </c>
      <c r="AC74" s="49" t="s">
        <v>69</v>
      </c>
      <c r="AD74" s="231" t="str">
        <f t="shared" si="2"/>
        <v>○</v>
      </c>
      <c r="AE74" s="35" t="str">
        <f t="shared" si="3"/>
        <v>申請しない場合は入力不要です。</v>
      </c>
      <c r="AF74" s="234" t="str">
        <f t="shared" si="4"/>
        <v>○</v>
      </c>
      <c r="AG74" s="234" t="str">
        <f t="shared" si="5"/>
        <v>○</v>
      </c>
      <c r="AH74" s="234" t="str">
        <f t="shared" si="6"/>
        <v>○</v>
      </c>
      <c r="AI74" s="231" t="str">
        <f t="shared" si="7"/>
        <v>○</v>
      </c>
      <c r="AJ74" s="14" t="str">
        <f t="shared" si="8"/>
        <v/>
      </c>
      <c r="AK74" s="41">
        <v>59</v>
      </c>
    </row>
    <row r="75" spans="1:37" ht="24.95" customHeight="1">
      <c r="A75" s="38">
        <v>60</v>
      </c>
      <c r="B75" s="313"/>
      <c r="C75" s="313"/>
      <c r="D75" s="313"/>
      <c r="E75" s="314"/>
      <c r="F75" s="315"/>
      <c r="G75" s="316"/>
      <c r="H75" s="316"/>
      <c r="I75" s="45">
        <f t="shared" si="0"/>
        <v>0</v>
      </c>
      <c r="J75" s="317"/>
      <c r="K75" s="45">
        <f t="shared" si="1"/>
        <v>0</v>
      </c>
      <c r="L75" s="44" t="str">
        <f>IF(AD75="◎",COUNTIF($AD$16:AD75,"◎"),"")</f>
        <v/>
      </c>
      <c r="W75" s="234" t="str">
        <f>IF(B75="既設病床",はじめに入力してください!$K$12,IF(B75="新設病床",はじめに入力してください!$K$13,IF(B75="共通使用",1,"")))</f>
        <v/>
      </c>
      <c r="AC75" s="49" t="s">
        <v>69</v>
      </c>
      <c r="AD75" s="231" t="str">
        <f t="shared" si="2"/>
        <v>○</v>
      </c>
      <c r="AE75" s="35" t="str">
        <f t="shared" si="3"/>
        <v>申請しない場合は入力不要です。</v>
      </c>
      <c r="AF75" s="234" t="str">
        <f t="shared" si="4"/>
        <v>○</v>
      </c>
      <c r="AG75" s="234" t="str">
        <f t="shared" si="5"/>
        <v>○</v>
      </c>
      <c r="AH75" s="234" t="str">
        <f t="shared" si="6"/>
        <v>○</v>
      </c>
      <c r="AI75" s="231" t="str">
        <f t="shared" si="7"/>
        <v>○</v>
      </c>
      <c r="AJ75" s="14" t="str">
        <f t="shared" si="8"/>
        <v/>
      </c>
      <c r="AK75" s="41">
        <v>60</v>
      </c>
    </row>
  </sheetData>
  <sheetProtection algorithmName="SHA-512" hashValue="V5hPbuGHZUrTl2nOPmIO/LrWYn4oZAw7pAcCBLRU2b5YS8XLMt81rNDQbttTtNYeCbS2pb8w7fq5ktkSQXOJ1w==" saltValue="yfDbuuld27FkqcJV/gO5sg==" spinCount="100000" sheet="1" insertRows="0"/>
  <mergeCells count="29">
    <mergeCell ref="AD7:AD13"/>
    <mergeCell ref="AE7:AG13"/>
    <mergeCell ref="B8:L8"/>
    <mergeCell ref="B9:C9"/>
    <mergeCell ref="H9:I9"/>
    <mergeCell ref="K9:L9"/>
    <mergeCell ref="B10:C10"/>
    <mergeCell ref="H10:I11"/>
    <mergeCell ref="K10:L11"/>
    <mergeCell ref="B11:C11"/>
    <mergeCell ref="B13:L13"/>
    <mergeCell ref="J10:J11"/>
    <mergeCell ref="F2:G2"/>
    <mergeCell ref="H2:L2"/>
    <mergeCell ref="B3:L6"/>
    <mergeCell ref="AD5:AD6"/>
    <mergeCell ref="AE5:AG6"/>
    <mergeCell ref="B14:D14"/>
    <mergeCell ref="E14:F14"/>
    <mergeCell ref="G14:J14"/>
    <mergeCell ref="K14:K15"/>
    <mergeCell ref="L14:L15"/>
    <mergeCell ref="AY18:BC18"/>
    <mergeCell ref="BD18:BH18"/>
    <mergeCell ref="BS18:BW20"/>
    <mergeCell ref="AY19:BC23"/>
    <mergeCell ref="BD19:BH23"/>
    <mergeCell ref="BQ19:BQ20"/>
    <mergeCell ref="BR19:BR20"/>
  </mergeCells>
  <phoneticPr fontId="1"/>
  <conditionalFormatting sqref="AY19">
    <cfRule type="containsText" dxfId="69" priority="12" operator="containsText" text="（補助対象員数）">
      <formula>NOT(ISERROR(SEARCH("（補助対象員数）",AY19)))</formula>
    </cfRule>
  </conditionalFormatting>
  <conditionalFormatting sqref="BD19:BG23">
    <cfRule type="containsText" dxfId="68" priority="9" operator="containsText" text="要修正">
      <formula>NOT(ISERROR(SEARCH("要修正",BD19)))</formula>
    </cfRule>
  </conditionalFormatting>
  <conditionalFormatting sqref="AY19:BC23">
    <cfRule type="containsText" dxfId="67" priority="8" operator="containsText" text="【未入力有】">
      <formula>NOT(ISERROR(SEARCH("【未入力有】",AY19)))</formula>
    </cfRule>
  </conditionalFormatting>
  <conditionalFormatting sqref="BP19:BQ20">
    <cfRule type="containsText" dxfId="66" priority="7" operator="containsText" text="×">
      <formula>NOT(ISERROR(SEARCH("×",BP19)))</formula>
    </cfRule>
  </conditionalFormatting>
  <conditionalFormatting sqref="BR19:BR20">
    <cfRule type="containsText" dxfId="65" priority="6" operator="containsText" text="要修正">
      <formula>NOT(ISERROR(SEARCH("要修正",BR19)))</formula>
    </cfRule>
  </conditionalFormatting>
  <conditionalFormatting sqref="AD7:AD13">
    <cfRule type="containsText" dxfId="64" priority="5" operator="containsText" text="×">
      <formula>NOT(ISERROR(SEARCH("×",AD7)))</formula>
    </cfRule>
  </conditionalFormatting>
  <conditionalFormatting sqref="AE7:AE13">
    <cfRule type="containsText" dxfId="63" priority="4" operator="containsText" text="要修正">
      <formula>NOT(ISERROR(SEARCH("要修正",AE7)))</formula>
    </cfRule>
  </conditionalFormatting>
  <conditionalFormatting sqref="AF16:AF75">
    <cfRule type="containsText" dxfId="62" priority="3" operator="containsText" text="【不備の点】">
      <formula>NOT(ISERROR(SEARCH("【不備の点】",AF16)))</formula>
    </cfRule>
  </conditionalFormatting>
  <conditionalFormatting sqref="AE16:AE75">
    <cfRule type="containsText" dxfId="61" priority="2" operator="containsText" text="【不備の点】">
      <formula>NOT(ISERROR(SEARCH("【不備の点】",AE16)))</formula>
    </cfRule>
  </conditionalFormatting>
  <conditionalFormatting sqref="AD16:AD75">
    <cfRule type="containsText" dxfId="60" priority="1" operator="containsText" text="×">
      <formula>NOT(ISERROR(SEARCH("×",AD16)))</formula>
    </cfRule>
  </conditionalFormatting>
  <dataValidations xWindow="336" yWindow="548" count="8">
    <dataValidation type="list" allowBlank="1" showInputMessage="1" showErrorMessage="1" promptTitle="装置、付属備品の別を選択" prompt="当該行に記載する品目が_x000a_・「装置」（本体）_x000a_・「付属備品」_x000a_の別をプルダウンから選択してください。" sqref="D16:D75">
      <formula1>"装置,付属備品"</formula1>
    </dataValidation>
    <dataValidation allowBlank="1" showInputMessage="1" showErrorMessage="1" promptTitle="規格及び数量の入力" prompt="補助対象経費を計上する際、いずれも入力してください。" sqref="E16:F75"/>
    <dataValidation allowBlank="1" showInputMessage="1" showErrorMessage="1" promptTitle="単価の入力" prompt="税抜額または税込額のいずれかを入力してください。_x000a_入力しない方は「0」は入力せず、空欄としてください。" sqref="G16:H75"/>
    <dataValidation allowBlank="1" showInputMessage="1" showErrorMessage="1" promptTitle="添付書類番号" prompt="種類、規格、数量、単価が全て適切に入力され、右の「判定」が「◎」と表示されると自動で番号が表示されます。" sqref="L16:L75"/>
    <dataValidation allowBlank="1" showInputMessage="1" showErrorMessage="1" promptTitle="金額の表示" prompt="数式が入力されているため、自動計算されます。" sqref="K16:K75 I16:I75"/>
    <dataValidation type="list" allowBlank="1" showInputMessage="1" showErrorMessage="1" promptTitle="補助対象の該当非該当" prompt="血液浄化装置の設備整備に係る経費が対象となります。_x000a_医療用消耗品等のランニングコストといった装置自体の整備と直接に関係しないものは補助対象外なので「対象外」を選択してください。_x000a_審査において確認、対象外と認めたものについては対象外として補正をお願いする場合があります。" sqref="J16:J75">
      <formula1>"補助対象,補助対象外"</formula1>
    </dataValidation>
    <dataValidation allowBlank="1" showInputMessage="1" showErrorMessage="1" promptTitle="補助対象金額" prompt="見積書金額×（見積書金額-割引額）/見積書金額_x000a_で算出されます。" sqref="K10:L11"/>
    <dataValidation allowBlank="1" showInputMessage="1" showErrorMessage="1" promptTitle="割引額がある場合は入力" prompt="割引がない場合は「0円」のままとしてください。" sqref="J10:J11"/>
  </dataValidations>
  <printOptions horizontalCentered="1"/>
  <pageMargins left="0.59055118110236227" right="0.39370078740157483" top="0.39370078740157483" bottom="0.39370078740157483" header="0.31496062992125984" footer="0.31496062992125984"/>
  <pageSetup paperSize="9" scale="53" fitToWidth="0" orientation="portrait" r:id="rId1"/>
  <drawing r:id="rId2"/>
  <legacyDrawing r:id="rId3"/>
  <extLst>
    <ext xmlns:x14="http://schemas.microsoft.com/office/spreadsheetml/2009/9/main" uri="{CCE6A557-97BC-4b89-ADB6-D9C93CAAB3DF}">
      <x14:dataValidations xmlns:xm="http://schemas.microsoft.com/office/excel/2006/main" xWindow="336" yWindow="548" count="2">
        <x14:dataValidation type="list" allowBlank="1" showInputMessage="1" showErrorMessage="1" promptTitle="配備する病床の「新設」「既設」の別を選択" prompt="ベッドに必ずしも紐付けるものではありませんが、１病床１台で紐付けした場合、配備する病床が_x000a_・令和３年度までにコロナ対応病床として指定済のものか_x000a_・令和４年度に指定を受けた・指定予定か_x000a_いずれかを選択してください。">
          <x14:formula1>
            <xm:f>はじめに入力してください!$AO$41:$AO$43</xm:f>
          </x14:formula1>
          <xm:sqref>B16:B75</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不足する病床に番号付けをした場合の番号を選択してください。_x000a_（例）_x000a_　既存の設備２台_x000a_　既設病床２床、新設病床３床の場合_x000a_→既存の設備２台は、既設病床１～２に配備_x000a_　３台申請する場合は「新設病床１」～「新設病床３」を選択して品目等必要情報を入力">
          <x14:formula1>
            <xm:f>OFFSET( はじめに入力してください!$AO$41, 0, MATCH(B16,はじめに入力してください!$AP$40:$AR$40,0), COUNTA(OFFSET(はじめに入力してください!$AO$41,0,MATCH(B16,はじめに入力してください!$AP$40:$AR$40,0),W16,1)),1)</xm:f>
          </x14:formula1>
          <xm:sqref>C16:C75</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BW65"/>
  <sheetViews>
    <sheetView showGridLines="0" view="pageBreakPreview" zoomScale="50" zoomScaleNormal="100" zoomScaleSheetLayoutView="50" workbookViewId="0">
      <pane xSplit="1" ySplit="15" topLeftCell="B16" activePane="bottomRight" state="frozen"/>
      <selection activeCell="N3" sqref="N3:Q3"/>
      <selection pane="topRight" activeCell="N3" sqref="N3:Q3"/>
      <selection pane="bottomLeft" activeCell="N3" sqref="N3:Q3"/>
      <selection pane="bottomRight" activeCell="AJ10" sqref="AJ10"/>
    </sheetView>
  </sheetViews>
  <sheetFormatPr defaultColWidth="9" defaultRowHeight="20.100000000000001" customHeight="1"/>
  <cols>
    <col min="1" max="1" width="5.625" style="38" customWidth="1"/>
    <col min="2" max="4" width="11.625" style="38" customWidth="1"/>
    <col min="5" max="5" width="26.5" style="39" customWidth="1"/>
    <col min="6" max="7" width="11.625" style="40" customWidth="1"/>
    <col min="8" max="9" width="12.625" style="40" customWidth="1"/>
    <col min="10" max="10" width="12.625" style="25" customWidth="1"/>
    <col min="11" max="12" width="12.625" style="40" customWidth="1"/>
    <col min="13" max="13" width="2.625" style="40" customWidth="1"/>
    <col min="14" max="15" width="30.625" style="41" customWidth="1"/>
    <col min="16" max="16" width="40.625" style="41" customWidth="1"/>
    <col min="17" max="18" width="30.625" style="41" hidden="1" customWidth="1"/>
    <col min="19" max="22" width="12.625" style="41" hidden="1" customWidth="1"/>
    <col min="23" max="23" width="0" style="200" hidden="1" customWidth="1"/>
    <col min="24" max="24" width="10.375" style="41" hidden="1" customWidth="1"/>
    <col min="25" max="28" width="9" style="41"/>
    <col min="29" max="29" width="3.625" style="49" customWidth="1"/>
    <col min="30" max="30" width="9.75" style="41" bestFit="1" customWidth="1"/>
    <col min="31" max="31" width="85.625" style="201" customWidth="1"/>
    <col min="32" max="35" width="10.625" style="41" customWidth="1"/>
    <col min="36" max="36" width="60.625" style="41" customWidth="1"/>
    <col min="37" max="52" width="9" style="41"/>
    <col min="53" max="53" width="20.625" style="41" customWidth="1"/>
    <col min="54" max="55" width="9" style="41"/>
    <col min="56" max="56" width="35.625" style="41" customWidth="1"/>
    <col min="57" max="16384" width="9" style="41"/>
  </cols>
  <sheetData>
    <row r="1" spans="1:37" ht="9.9499999999999993" customHeight="1"/>
    <row r="2" spans="1:37" ht="30" customHeight="1">
      <c r="B2" s="199" t="s">
        <v>228</v>
      </c>
      <c r="C2" s="36"/>
      <c r="D2" s="36"/>
      <c r="F2" s="772" t="s">
        <v>208</v>
      </c>
      <c r="G2" s="773"/>
      <c r="H2" s="772" t="str">
        <f>表紙!L9&amp;IF(はじめに入力してください!L20="","","※"&amp;はじめに入力してください!AE20)</f>
        <v/>
      </c>
      <c r="I2" s="774"/>
      <c r="J2" s="774"/>
      <c r="K2" s="774"/>
      <c r="L2" s="773"/>
    </row>
    <row r="3" spans="1:37" ht="20.100000000000001" customHeight="1">
      <c r="B3" s="775" t="str">
        <f>人工呼吸器明細!B3</f>
        <v>　まとめて「一式」と記載はせず、見積書、納品書等に記載の設備・付属備品ごとに分けて記載するようにしてください。
　整備する設備の配備先（既設又は新設病床、病床に番号付与した場合いずれの病床に充てるのか左部分「配備先・内容」欄で選択してください。
　配備先の病床の別及び、当該品目が「装置」か「付属備品」の別をプルダウンから選択してください。</v>
      </c>
      <c r="C3" s="755"/>
      <c r="D3" s="755"/>
      <c r="E3" s="755"/>
      <c r="F3" s="755"/>
      <c r="G3" s="755"/>
      <c r="H3" s="755"/>
      <c r="I3" s="755"/>
      <c r="J3" s="755"/>
      <c r="K3" s="755"/>
      <c r="L3" s="755"/>
      <c r="S3" s="55"/>
      <c r="T3" s="55"/>
      <c r="U3" s="55"/>
      <c r="V3" s="55"/>
    </row>
    <row r="4" spans="1:37" ht="20.100000000000001" customHeight="1">
      <c r="B4" s="755"/>
      <c r="C4" s="755"/>
      <c r="D4" s="755"/>
      <c r="E4" s="755"/>
      <c r="F4" s="755"/>
      <c r="G4" s="755"/>
      <c r="H4" s="755"/>
      <c r="I4" s="755"/>
      <c r="J4" s="755"/>
      <c r="K4" s="755"/>
      <c r="L4" s="755"/>
      <c r="S4" s="55"/>
      <c r="T4" s="55"/>
      <c r="U4" s="55"/>
      <c r="V4" s="55"/>
    </row>
    <row r="5" spans="1:37" ht="20.100000000000001" customHeight="1">
      <c r="B5" s="755"/>
      <c r="C5" s="755"/>
      <c r="D5" s="755"/>
      <c r="E5" s="755"/>
      <c r="F5" s="755"/>
      <c r="G5" s="755"/>
      <c r="H5" s="755"/>
      <c r="I5" s="755"/>
      <c r="J5" s="755"/>
      <c r="K5" s="755"/>
      <c r="L5" s="755"/>
      <c r="S5" s="55"/>
      <c r="T5" s="55"/>
      <c r="U5" s="55"/>
      <c r="V5" s="55"/>
      <c r="AD5" s="776" t="s">
        <v>122</v>
      </c>
      <c r="AE5" s="735" t="s">
        <v>121</v>
      </c>
      <c r="AF5" s="736"/>
      <c r="AG5" s="737"/>
    </row>
    <row r="6" spans="1:37" ht="20.100000000000001" customHeight="1">
      <c r="B6" s="755"/>
      <c r="C6" s="755"/>
      <c r="D6" s="755"/>
      <c r="E6" s="755"/>
      <c r="F6" s="755"/>
      <c r="G6" s="755"/>
      <c r="H6" s="755"/>
      <c r="I6" s="755"/>
      <c r="J6" s="755"/>
      <c r="K6" s="755"/>
      <c r="L6" s="755"/>
      <c r="S6" s="55"/>
      <c r="T6" s="55"/>
      <c r="U6" s="55"/>
      <c r="V6" s="55"/>
      <c r="AD6" s="777"/>
      <c r="AE6" s="738"/>
      <c r="AF6" s="739"/>
      <c r="AG6" s="740"/>
    </row>
    <row r="7" spans="1:37" ht="9.9499999999999993" customHeight="1">
      <c r="B7" s="56"/>
      <c r="C7" s="56"/>
      <c r="D7" s="56"/>
      <c r="E7" s="57"/>
      <c r="F7" s="58"/>
      <c r="G7" s="41"/>
      <c r="H7" s="41"/>
      <c r="I7" s="41"/>
      <c r="J7" s="200"/>
      <c r="K7" s="41"/>
      <c r="L7" s="41"/>
      <c r="S7" s="55"/>
      <c r="T7" s="55"/>
      <c r="U7" s="55"/>
      <c r="V7" s="55"/>
      <c r="AD7" s="768" t="str">
        <f xml:space="preserve">
IF(AND(COUNTA(D9)=0,COUNTIF(AD16:AD65,"○")=50),"○",
IF(AND(COUNTA(D9)=0,COUNTIF(AD16:AD65,"×")&gt;=1),"×",
IF(AND(COUNTA(D9)=0,COUNTIF(AD16:AD65,"×")=0,COUNTIF(AD16:AD65,"◎")&gt;=1),"×",
IF(AND(COUNTA(D9)=1,COUNTIF(AD16:AD65,"○")=50),"×",
IF(AND(COUNTA(D9)=1,COUNTIF(AD16:AD65,"×")&gt;=1),"×",
IF(AND(COUNTA(D9)=1,COUNTIF(AD16:AD65,"×")=0,COUNTIF(AD16:AD65,"◎")&gt;=1),"◎"))))))</f>
        <v>○</v>
      </c>
      <c r="AE7" s="741" t="str">
        <f xml:space="preserve">
IF(COUNTA(D9)=0,"【１．配備計画】既存配備の血液浄化装置台数が未入力です。"&amp;CHAR(10)&amp;CHAR(10),
IF(COUNTA(D9)=1,"【１．配備計画】適切に入力がされました。 "&amp;CHAR(10)&amp;CHAR(10)))
&amp;
IF(AD7="◎","【装置情報】適切に入力がされました。",
IF(AD7="○","",
IF(AD7="×","【２．装置情報】【要修正】以下の点につき御確認ください。"&amp;CHAR(10)&amp;AJ16&amp;AJ17&amp;AJ18&amp;AJ19&amp;AJ20&amp;AJ21&amp;AJ22&amp;AJ23&amp;AJ24&amp;AJ25&amp;AJ26&amp;AJ27&amp;AJ28&amp;AJ29&amp;AJ30&amp;AJ31&amp;AJ32&amp;AJ33&amp;AJ34&amp;AJ35&amp;AJ36&amp;AJ37&amp;AJ38&amp;AJ39&amp;AJ40&amp;AJ41&amp;AJ42&amp;AJ43&amp;AJ44&amp;AJ45&amp;AJ46&amp;AJ47&amp;AJ48&amp;AJ49&amp;AJ50&amp;AJ51&amp;AJ52&amp;AJ53&amp;AJ54&amp;AJ55&amp;AJ56&amp;AJ57&amp;AJ58&amp;AJ59&amp;AJ60&amp;AJ61&amp;AJ62&amp;AJ63&amp;AJ64&amp;AJ65
)))</f>
        <v xml:space="preserve">【１．配備計画】既存配備の血液浄化装置台数が未入力です。
</v>
      </c>
      <c r="AF7" s="736"/>
      <c r="AG7" s="737"/>
    </row>
    <row r="8" spans="1:37" ht="20.100000000000001" customHeight="1">
      <c r="B8" s="754" t="s">
        <v>221</v>
      </c>
      <c r="C8" s="755"/>
      <c r="D8" s="755"/>
      <c r="E8" s="755"/>
      <c r="F8" s="755"/>
      <c r="G8" s="755"/>
      <c r="H8" s="755"/>
      <c r="I8" s="755"/>
      <c r="J8" s="755"/>
      <c r="K8" s="755"/>
      <c r="L8" s="755"/>
      <c r="S8" s="55"/>
      <c r="T8" s="55"/>
      <c r="U8" s="55"/>
      <c r="V8" s="55"/>
      <c r="AD8" s="778"/>
      <c r="AE8" s="742"/>
      <c r="AF8" s="743"/>
      <c r="AG8" s="744"/>
    </row>
    <row r="9" spans="1:37" ht="20.100000000000001" customHeight="1">
      <c r="B9" s="748" t="s">
        <v>226</v>
      </c>
      <c r="C9" s="749"/>
      <c r="D9" s="318"/>
      <c r="E9" s="232" t="s">
        <v>209</v>
      </c>
      <c r="F9" s="202">
        <f>はじめに入力してください!K12</f>
        <v>0</v>
      </c>
      <c r="H9" s="709" t="s">
        <v>613</v>
      </c>
      <c r="I9" s="710"/>
      <c r="J9" s="50" t="s">
        <v>614</v>
      </c>
      <c r="K9" s="781" t="s">
        <v>212</v>
      </c>
      <c r="L9" s="782"/>
      <c r="S9" s="55"/>
      <c r="T9" s="55"/>
      <c r="U9" s="55"/>
      <c r="V9" s="55"/>
      <c r="AD9" s="779"/>
      <c r="AE9" s="745"/>
      <c r="AF9" s="743"/>
      <c r="AG9" s="744"/>
      <c r="AJ9" s="203"/>
    </row>
    <row r="10" spans="1:37" ht="20.100000000000001" customHeight="1" thickBot="1">
      <c r="B10" s="750" t="s">
        <v>227</v>
      </c>
      <c r="C10" s="751"/>
      <c r="D10" s="204">
        <f>COUNTIF(D16:D65,"装置")</f>
        <v>0</v>
      </c>
      <c r="E10" s="235" t="s">
        <v>210</v>
      </c>
      <c r="F10" s="207">
        <f>はじめに入力してください!K13</f>
        <v>0</v>
      </c>
      <c r="H10" s="756">
        <f>SUM(I16:I65)</f>
        <v>0</v>
      </c>
      <c r="I10" s="757"/>
      <c r="J10" s="716">
        <v>0</v>
      </c>
      <c r="K10" s="711">
        <f>IFERROR(ROUNDUP(SUM(K16:K65)*(H10-J10)/H10,0),0)</f>
        <v>0</v>
      </c>
      <c r="L10" s="712"/>
      <c r="S10" s="55"/>
      <c r="T10" s="55"/>
      <c r="U10" s="55"/>
      <c r="V10" s="55"/>
      <c r="AD10" s="779"/>
      <c r="AE10" s="745"/>
      <c r="AF10" s="743"/>
      <c r="AG10" s="744"/>
    </row>
    <row r="11" spans="1:37" ht="20.100000000000001" customHeight="1" thickTop="1">
      <c r="B11" s="752" t="s">
        <v>218</v>
      </c>
      <c r="C11" s="753"/>
      <c r="D11" s="205">
        <f>SUM(D9:D10)</f>
        <v>0</v>
      </c>
      <c r="E11" s="236" t="s">
        <v>211</v>
      </c>
      <c r="F11" s="208">
        <f>はじめに入力してください!M13</f>
        <v>0</v>
      </c>
      <c r="H11" s="757"/>
      <c r="I11" s="757"/>
      <c r="J11" s="717"/>
      <c r="K11" s="712"/>
      <c r="L11" s="712"/>
      <c r="S11" s="55"/>
      <c r="T11" s="55"/>
      <c r="U11" s="55"/>
      <c r="V11" s="55"/>
      <c r="AD11" s="779"/>
      <c r="AE11" s="745"/>
      <c r="AF11" s="743"/>
      <c r="AG11" s="744"/>
    </row>
    <row r="12" spans="1:37" ht="9.9499999999999993" customHeight="1">
      <c r="B12" s="56"/>
      <c r="C12" s="56"/>
      <c r="D12" s="56"/>
      <c r="E12" s="57"/>
      <c r="F12" s="58"/>
      <c r="G12" s="41"/>
      <c r="H12" s="41"/>
      <c r="I12" s="41"/>
      <c r="J12" s="200"/>
      <c r="K12" s="41"/>
      <c r="L12" s="41"/>
      <c r="S12" s="55"/>
      <c r="T12" s="55"/>
      <c r="U12" s="55"/>
      <c r="V12" s="55"/>
      <c r="AD12" s="779"/>
      <c r="AE12" s="746"/>
      <c r="AF12" s="743"/>
      <c r="AG12" s="744"/>
    </row>
    <row r="13" spans="1:37" ht="80.099999999999994" customHeight="1">
      <c r="B13" s="758" t="str">
        <f>人工呼吸器明細!B13</f>
        <v>２．装置情報（右端に表示の番号を、見積書あるいは納品書の内訳中、該当の部分に記入し記載の箇所を明示してください。）
　見積書等に記載の内訳は補助対象、対象外にかかわらず全て入力し、右上（実支出予定額）と見積金額とが一致するようにしてください。
　補助対象はコロナ病床施設の整備に限られるため医療用消耗品等は補助対象外です。
　記載いただいた補助対象外経費は「補助対象区分」欄で「対象外」を選択してください。（補助対象金額の算定から自動計算で除外されます。）</v>
      </c>
      <c r="C13" s="759"/>
      <c r="D13" s="759"/>
      <c r="E13" s="759"/>
      <c r="F13" s="759"/>
      <c r="G13" s="759"/>
      <c r="H13" s="759"/>
      <c r="I13" s="759"/>
      <c r="J13" s="759"/>
      <c r="K13" s="759"/>
      <c r="L13" s="759"/>
      <c r="S13" s="55"/>
      <c r="T13" s="55"/>
      <c r="U13" s="55"/>
      <c r="V13" s="55"/>
      <c r="AD13" s="780"/>
      <c r="AE13" s="747"/>
      <c r="AF13" s="739"/>
      <c r="AG13" s="740"/>
    </row>
    <row r="14" spans="1:37" ht="24.95" customHeight="1">
      <c r="B14" s="720" t="s">
        <v>206</v>
      </c>
      <c r="C14" s="721"/>
      <c r="D14" s="722"/>
      <c r="E14" s="720" t="s">
        <v>204</v>
      </c>
      <c r="F14" s="722"/>
      <c r="G14" s="723" t="s">
        <v>207</v>
      </c>
      <c r="H14" s="721"/>
      <c r="I14" s="721"/>
      <c r="J14" s="722"/>
      <c r="K14" s="724" t="s">
        <v>202</v>
      </c>
      <c r="L14" s="724" t="s">
        <v>213</v>
      </c>
      <c r="S14" s="55"/>
      <c r="T14" s="55"/>
      <c r="U14" s="55"/>
      <c r="V14" s="55"/>
    </row>
    <row r="15" spans="1:37" ht="24.95" customHeight="1">
      <c r="B15" s="42" t="s">
        <v>191</v>
      </c>
      <c r="C15" s="42" t="s">
        <v>199</v>
      </c>
      <c r="D15" s="42" t="s">
        <v>200</v>
      </c>
      <c r="E15" s="42" t="s">
        <v>55</v>
      </c>
      <c r="F15" s="42" t="s">
        <v>22</v>
      </c>
      <c r="G15" s="42" t="s">
        <v>71</v>
      </c>
      <c r="H15" s="42" t="s">
        <v>72</v>
      </c>
      <c r="I15" s="42" t="s">
        <v>73</v>
      </c>
      <c r="J15" s="42" t="s">
        <v>201</v>
      </c>
      <c r="K15" s="725"/>
      <c r="L15" s="725"/>
      <c r="AD15" s="62" t="s">
        <v>64</v>
      </c>
      <c r="AE15" s="206" t="s">
        <v>74</v>
      </c>
      <c r="AF15" s="63" t="s">
        <v>203</v>
      </c>
      <c r="AG15" s="234" t="s">
        <v>205</v>
      </c>
      <c r="AH15" s="234" t="s">
        <v>91</v>
      </c>
      <c r="AI15" s="231" t="s">
        <v>635</v>
      </c>
      <c r="AJ15" s="52" t="s">
        <v>121</v>
      </c>
      <c r="AK15" s="52" t="str">
        <f>AJ16&amp;AJ17&amp;AJ18&amp;AJ19&amp;AJ20&amp;AJ21&amp;AJ22&amp;AJ23&amp;AJ24&amp;AJ25&amp;AJ26&amp;AJ27&amp;AJ28&amp;AJ29&amp;AJ30&amp;AJ31&amp;AJ32&amp;AJ33&amp;AJ34&amp;AJ35&amp;AJ36&amp;AJ37&amp;AJ38&amp;AJ39&amp;AJ40&amp;AJ41&amp;AJ42&amp;AJ43&amp;AJ44&amp;AJ45&amp;AJ46&amp;AJ47&amp;AJ48&amp;AJ49&amp;AJ50&amp;AJ51&amp;AJ52&amp;AJ53&amp;AJ54&amp;AJ55&amp;AJ56&amp;AJ57&amp;AJ58&amp;AJ59&amp;AJ60&amp;AJ61&amp;AJ62&amp;AJ63&amp;AJ64&amp;AJ65</f>
        <v/>
      </c>
    </row>
    <row r="16" spans="1:37" ht="24.95" customHeight="1">
      <c r="A16" s="38">
        <v>1</v>
      </c>
      <c r="B16" s="313"/>
      <c r="C16" s="313"/>
      <c r="D16" s="313"/>
      <c r="E16" s="314"/>
      <c r="F16" s="315"/>
      <c r="G16" s="316"/>
      <c r="H16" s="316"/>
      <c r="I16" s="45">
        <f>IF(G16="",H16*F16,ROUNDDOWN(F16*G16*1.1,0))</f>
        <v>0</v>
      </c>
      <c r="J16" s="317"/>
      <c r="K16" s="45">
        <f>IF(J16="補助対象",I16,IF(J16="補助対象外",0,0))</f>
        <v>0</v>
      </c>
      <c r="L16" s="44" t="str">
        <f>IF(AD16="◎",COUNTIF($AD$16:AD16,"◎"),"")</f>
        <v/>
      </c>
      <c r="W16" s="234" t="str">
        <f>IF(B16="既設病床",はじめに入力してください!$K$12,IF(B16="新設病床",はじめに入力してください!$K$13,IF(B16="共通使用",1,"")))</f>
        <v/>
      </c>
      <c r="AC16" s="49" t="s">
        <v>69</v>
      </c>
      <c r="AD16" s="231" t="str">
        <f xml:space="preserve">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f>
        <v>○</v>
      </c>
      <c r="AE16" s="35" t="str">
        <f xml:space="preserve">
IF(AND(AF16="○",AG16="○",AH16="○",AI16="○"),"申請しない場合は入力不要です。",
IF(AND(AF16="○",AG16="○",AH16="○",AI16="◎"),"【要修正】【整備先・内容】未入力、【規格・数量】未入力、【単価】未入力"&amp;CHAR(10),
IF(AND(AF16="○",AG16="○",AH16="×",AI16="○"),"【要修正】【整備先・内容】未入力、【規格・数量】未入力、【単価】入力不十分、【補助対象区分】未入力"&amp;CHAR(10),
IF(AND(AF16="○",AG16="○",AH16="×",AI16="◎"),"【要修正】【整備先・内容】未入力、【規格・数量】未入力、【単価】入力不十分"&amp;CHAR(10),
IF(AND(AF16="○",AG16="○",AH16="◎",AI16="○"),"【要修正】【整備先・内容】未入力、【規格・数量】未入力、【補助対象区分】未入力"&amp;CHAR(10),
IF(AND(AF16="○",AG16="○",AH16="◎",AI16="◎"),"【要修正】【整備先・内容】未入力、【規格・数量】未入力"&amp;CHAR(10),
IF(AND(AF16="○",AG16="×",AH16="○",AI16="○"),"【要修正】【整備先・内容】未入力、【規格・数量】入力不十分、【単価】未入力、【補助対象区分】未入力"&amp;CHAR(10),
IF(AND(AF16="○",AG16="×",AH16="○",AI16="◎"),"【要修正】【整備先・内容】未入力、【規格・数量】入力不十分、【単価】未入力"&amp;CHAR(10),
IF(AND(AF16="○",AG16="×",AH16="×",AI16="○"),"【要修正】【整備先・内容】未入力、【規格・数量】入力不十分、【単価】入力不十分、【補助対象区分】未入力"&amp;CHAR(10),
IF(AND(AF16="○",AG16="×",AH16="×",AI16="◎"),"【要修正】【整備先・内容】未入力、【規格・数量】入力不十分、【単価】入力不十分"&amp;CHAR(10),
IF(AND(AF16="○",AG16="×",AH16="◎",AI16="○"),"【要修正】【整備先・内容】未入力、【規格・数量】入力不十分、【補助対象区分】未入力"&amp;CHAR(10),
IF(AND(AF16="○",AG16="×",AH16="◎",AI16="◎"),"【要修正】【整備先・内容】未入力、【規格・数量】入力不十分"&amp;CHAR(10),
IF(AND(AF16="○",AG16="◎",AH16="○",AI16="○"),"【要修正】【整備先・内容】未入力、【単価】未入力、【補助対象区分】未入力"&amp;CHAR(10),
IF(AND(AF16="○",AG16="◎",AH16="○",AI16="◎"),"【要修正】【整備先・内容】未入力、【単価】未入力"&amp;CHAR(10),
IF(AND(AF16="○",AG16="◎",AH16="×",AI16="○"),"【要修正】【整備先・内容】未入力、【単価】入力不十分、【補助対象区分】未入力"&amp;CHAR(10),
IF(AND(AF16="○",AG16="◎",AH16="×",AI16="◎"),"【要修正】【整備先・内容】未入力、【単価】入力不十分"&amp;CHAR(10),
IF(AND(AF16="○",AG16="◎",AH16="◎",AI16="○"),"【要修正】【整備先・内容】未入力、【補助対象区分】未入力"&amp;CHAR(10),
IF(AND(AF16="○",AG16="◎",AH16="◎",AI16="◎"),"【要修正】【整備先・内容】未入力"&amp;CHAR(10),
IF(AND(AF16="×",AG16="○",AH16="○",AI16="○"),"【要修正】【整備先・内容】入力不十分、【規格・数量】未入力、【単価】未入力、【補助対象区分】未入力"&amp;CHAR(10),
IF(AND(AF16="×",AG16="○",AH16="○",AI16="◎"),"【要修正】【整備先・内容】入力不十分、【規格・数量】未入力、【単価】未入力"&amp;CHAR(10),
IF(AND(AF16="×",AG16="○",AH16="×",AI16="○"),"【要修正】【整備先・内容】入力不十分、【規格・数量】未入力、【単価】入力不十分、【補助対象区分】未入力"&amp;CHAR(10),
IF(AND(AF16="×",AG16="○",AH16="×",AI16="◎"),"【要修正】【整備先・内容】入力不十分、【規格・数量】未入力、【単価】入力不十分"&amp;CHAR(10),
IF(AND(AF16="×",AG16="○",AH16="◎",AI16="○"),"【要修正】【整備先・内容】入力不十分、【規格・数量】未入力、【補助対象区分】未入力"&amp;CHAR(10),
IF(AND(AF16="×",AG16="○",AH16="◎",AI16="◎"),"【要修正】【整備先・内容】入力不十分、【規格・数量】未入力"&amp;CHAR(10),
IF(AND(AF16="×",AG16="×",AH16="○",AI16="○"),"【要修正】【整備先・内容】入力不十分、【規格・数量】入力不十分、【単価】未入力、【補助対象区分】未入力"&amp;CHAR(10),
IF(AND(AF16="×",AG16="×",AH16="○",AI16="◎"),"【要修正】【整備先・内容】入力不十分、【規格・数量】入力不十分、【単価】未入力"&amp;CHAR(10),
IF(AND(AF16="×",AG16="×",AH16="×",AI16="○"),"【要修正】【整備先・内容】入力不十分、【規格・数量】入力不十分、【単価】入力不十分、【補助対象区分】未入力"&amp;CHAR(10),
IF(AND(AF16="×",AG16="×",AH16="×",AI16="◎"),"【要修正】【整備先・内容】入力不十分、【規格・数量】入力不十分、【単価】入力不十分"&amp;CHAR(10),
IF(AND(AF16="×",AG16="×",AH16="◎",AI16="○"),"【要修正】【整備先・内容】入力不十分、【規格・数量】入力不十分、【補助対象区分】未入力"&amp;CHAR(10),
IF(AND(AF16="×",AG16="×",AH16="◎",AI16="◎"),"【要修正】【整備先・内容】入力不十分、【規格・数量】入力不十分"&amp;CHAR(10),
IF(AND(AF16="×",AG16="◎",AH16="○",AI16="○"),"【要修正】【整備先・内容】入力不十分、【単価】未入力、【補助対象区分】未入力"&amp;CHAR(10),
IF(AND(AF16="×",AG16="◎",AH16="○",AI16="◎"),"【要修正】【整備先・内容】入力不十分、【単価】未入力"&amp;CHAR(10),
IF(AND(AF16="×",AG16="◎",AH16="×",AI16="○"),"【要修正】【整備先・内容】入力不十分、【単価】入力不十分、【補助対象区分】未入力"&amp;CHAR(10),
IF(AND(AF16="×",AG16="◎",AH16="×",AI16="◎"),"【要修正】【整備先・内容】入力不十分、【単価】入力不十分"&amp;CHAR(10),
IF(AND(AF16="×",AG16="◎",AH16="◎",AI16="○"),"【要修正】【整備先・内容】入力不十分、【補助対象区分】未入力"&amp;CHAR(10),
IF(AND(AF16="×",AG16="◎",AH16="◎",AI16="◎"),"【要修正】【整備先・内容】入力不十分"&amp;CHAR(10),
IF(AND(AF16="◎",AG16="○",AH16="○",AI16="○"),"【要修正】【規格・数量】未入力、【単価】未入力、【補助対象区分】未入力"&amp;CHAR(10),
IF(AND(AF16="◎",AG16="○",AH16="○",AI16="◎"),"【要修正】【規格・数量】未入力、【単価】未入力"&amp;CHAR(10),
IF(AND(AF16="◎",AG16="○",AH16="×",AI16="○"),"【要修正】【規格・数量】未入力、【単価】入力不十分、【補助対象区分】未入力"&amp;CHAR(10),
IF(AND(AF16="◎",AG16="○",AH16="×",AI16="◎"),"【要修正】【規格・数量】未入力、【単価】入力不十分"&amp;CHAR(10),
IF(AND(AF16="◎",AG16="○",AH16="◎",AI16="○"),"【要修正】【規格・数量】未入力、【補助対象区分】未入力"&amp;CHAR(10),
IF(AND(AF16="◎",AG16="○",AH16="◎",AI16="◎"),"【要修正】【規格・数量】未入力"&amp;CHAR(10),
IF(AND(AF16="◎",AG16="×",AH16="○",AI16="○"),"【要修正】【規格・数量】入力不十分、【単価】未入力、【補助対象区分】未入力"&amp;CHAR(10),
IF(AND(AF16="◎",AG16="×",AH16="○",AI16="◎"),"【要修正】【規格・数量】入力不十分、【単価】未入力"&amp;CHAR(10),
IF(AND(AF16="◎",AG16="×",AH16="×",AI16="○"),"【要修正】【規格・数量】入力不十分、【単価】入力不十分、【補助対象区分】未入力"&amp;CHAR(10),
IF(AND(AF16="◎",AG16="×",AH16="×",AI16="◎"),"【要修正】【規格・数量】入力不十分、【単価】入力不十分"&amp;CHAR(10),
IF(AND(AF16="◎",AG16="×",AH16="◎",AI16="○"),"【要修正】【規格・数量】入力不十分、【補助対象区分】未入力"&amp;CHAR(10),
IF(AND(AF16="◎",AG16="×",AH16="◎",AI16="◎"),"【要修正】【規格・数量】入力不十分"&amp;CHAR(10),
IF(AND(AF16="◎",AG16="◎",AH16="○",AI16="○"),"【要修正】【単価】未入力、【補助対象区分】未入力"&amp;CHAR(10),
IF(AND(AF16="◎",AG16="◎",AH16="○",AI16="◎"),"【要修正】【単価】未入力"&amp;CHAR(10),
IF(AND(AF16="◎",AG16="◎",AH16="×",AI16="○"),"【要修正】【単価】入力不十分、【補助対象区分】未入力"&amp;CHAR(10),
IF(AND(AF16="◎",AG16="◎",AH16="×",AI16="◎"),"【要修正】【単価】入力不十分"&amp;CHAR(10),
IF(AND(AF16="◎",AG16="◎",AH16="◎",AI16="○"),"【要修正】【補助対象区分】未入力"&amp;CHAR(10),
IF(AND(AF16="◎",AG16="◎",AH16="◎",AI16="◎"),"適切に入力がされました。",
))))))))))))))))))))))))))))))))))))))))))))))))))))))</f>
        <v>申請しない場合は入力不要です。</v>
      </c>
      <c r="AF16" s="234" t="str">
        <f>IF(COUNTA(B16:D16)=0,"○",IF(AND(COUNTA(B16:D16)&gt;=1,COUNTA(B16:D16)&lt;3),"×",IF(COUNTA(B16:D16)=3,"◎")))</f>
        <v>○</v>
      </c>
      <c r="AG16" s="234" t="str">
        <f>IF(COUNTA(E16,F16,J16)=0,"○",IF(AND(COUNTA(E16,F16,J16)&gt;=1,COUNTA(E16,F16,J16)&lt;3),"×",IF(COUNTA(E16,F16,J16)=3,"◎")))</f>
        <v>○</v>
      </c>
      <c r="AH16" s="234" t="str">
        <f>IF(COUNTA(G16:H16)=0,"○",IF(COUNTA(G16:H16)=1,"◎",IF(COUNTA(G16:H16)=2,"×")))</f>
        <v>○</v>
      </c>
      <c r="AI16" s="231" t="str">
        <f>IF(COUNTA(J16)=0,"○",IF(COUNTA(J16)=1,"◎"))</f>
        <v>○</v>
      </c>
      <c r="AJ16" s="14" t="str">
        <f xml:space="preserve">
IF(AND(AF16="○",AG16="○",AH16="○",AI16="○"),"",
IF(AND(AF16="○",AG16="○",AH16="○",AI16="◎"),"【"&amp;AK16&amp;"行目】【整備先・内容】未入力、【規格・数量】未入力、【単価】未入力"&amp;CHAR(10),
IF(AND(AF16="○",AG16="○",AH16="×",AI16="○"),"【"&amp;AK16&amp;"行目】【整備先・内容】未入力、【規格・数量】未入力、【単価】入力不十分、【補助対象区分】未入力"&amp;CHAR(10),
IF(AND(AF16="○",AG16="○",AH16="×",AI16="◎"),"【"&amp;AK16&amp;"行目】【整備先・内容】未入力、【規格・数量】未入力、【単価】入力不十分"&amp;CHAR(10),
IF(AND(AF16="○",AG16="○",AH16="◎",AI16="○"),"【"&amp;AK16&amp;"行目】【整備先・内容】未入力、【規格・数量】未入力、【補助対象区分】未入力"&amp;CHAR(10),
IF(AND(AF16="○",AG16="○",AH16="◎",AI16="◎"),"【"&amp;AK16&amp;"行目】【整備先・内容】未入力、【規格・数量】未入力"&amp;CHAR(10),
IF(AND(AF16="○",AG16="×",AH16="○",AI16="○"),"【"&amp;AK16&amp;"行目】【整備先・内容】未入力、【規格・数量】入力不十分、【単価】未入力、【補助対象区分】未入力"&amp;CHAR(10),
IF(AND(AF16="○",AG16="×",AH16="○",AI16="◎"),"【"&amp;AK16&amp;"行目】【整備先・内容】未入力、【規格・数量】入力不十分、【単価】未入力"&amp;CHAR(10),
IF(AND(AF16="○",AG16="×",AH16="×",AI16="○"),"【"&amp;AK16&amp;"行目】【整備先・内容】未入力、【規格・数量】入力不十分、【単価】入力不十分、【補助対象区分】未入力"&amp;CHAR(10),
IF(AND(AF16="○",AG16="×",AH16="×",AI16="◎"),"【"&amp;AK16&amp;"行目】【整備先・内容】未入力、【規格・数量】入力不十分、【単価】入力不十分"&amp;CHAR(10),
IF(AND(AF16="○",AG16="×",AH16="◎",AI16="○"),"【"&amp;AK16&amp;"行目】【整備先・内容】未入力、【規格・数量】入力不十分、【補助対象区分】未入力"&amp;CHAR(10),
IF(AND(AF16="○",AG16="×",AH16="◎",AI16="◎"),"【"&amp;AK16&amp;"行目】【整備先・内容】未入力、【規格・数量】入力不十分"&amp;CHAR(10),
IF(AND(AF16="○",AG16="◎",AH16="○",AI16="○"),"【"&amp;AK16&amp;"行目】【整備先・内容】未入力、【単価】未入力、【補助対象区分】未入力"&amp;CHAR(10),
IF(AND(AF16="○",AG16="◎",AH16="○",AI16="◎"),"【"&amp;AK16&amp;"行目】【整備先・内容】未入力、【単価】未入力"&amp;CHAR(10),
IF(AND(AF16="○",AG16="◎",AH16="×",AI16="○"),"【"&amp;AK16&amp;"行目】【整備先・内容】未入力、【単価】入力不十分、【補助対象区分】未入力"&amp;CHAR(10),
IF(AND(AF16="○",AG16="◎",AH16="×",AI16="◎"),"【"&amp;AK16&amp;"行目】【整備先・内容】未入力、【単価】入力不十分"&amp;CHAR(10),
IF(AND(AF16="○",AG16="◎",AH16="◎",AI16="○"),"【"&amp;AK16&amp;"行目】【整備先・内容】未入力、【補助対象区分】未入力"&amp;CHAR(10),
IF(AND(AF16="○",AG16="◎",AH16="◎",AI16="◎"),"【"&amp;AK16&amp;"行目】【整備先・内容】未入力"&amp;CHAR(10),
IF(AND(AF16="×",AG16="○",AH16="○",AI16="○"),"【"&amp;AK16&amp;"行目】【整備先・内容】入力不十分、【規格・数量】未入力、【単価】未入力、【補助対象区分】未入力"&amp;CHAR(10),
IF(AND(AF16="×",AG16="○",AH16="○",AI16="◎"),"【"&amp;AK16&amp;"行目】【整備先・内容】入力不十分、【規格・数量】未入力、【単価】未入力"&amp;CHAR(10),
IF(AND(AF16="×",AG16="○",AH16="×",AI16="○"),"【"&amp;AK16&amp;"行目】【整備先・内容】入力不十分、【規格・数量】未入力、【単価】入力不十分、【補助対象区分】未入力"&amp;CHAR(10),
IF(AND(AF16="×",AG16="○",AH16="×",AI16="◎"),"【"&amp;AK16&amp;"行目】【整備先・内容】入力不十分、【規格・数量】未入力、【単価】入力不十分"&amp;CHAR(10),
IF(AND(AF16="×",AG16="○",AH16="◎",AI16="○"),"【"&amp;AK16&amp;"行目】【整備先・内容】入力不十分、【規格・数量】未入力、【補助対象区分】未入力"&amp;CHAR(10),
IF(AND(AF16="×",AG16="○",AH16="◎",AI16="◎"),"【"&amp;AK16&amp;"行目】【整備先・内容】入力不十分、【規格・数量】未入力"&amp;CHAR(10),
IF(AND(AF16="×",AG16="×",AH16="○",AI16="○"),"【"&amp;AK16&amp;"行目】【整備先・内容】入力不十分、【規格・数量】入力不十分、【単価】未入力、【補助対象区分】未入力"&amp;CHAR(10),
IF(AND(AF16="×",AG16="×",AH16="○",AI16="◎"),"【"&amp;AK16&amp;"行目】【整備先・内容】入力不十分、【規格・数量】入力不十分、【単価】未入力"&amp;CHAR(10),
IF(AND(AF16="×",AG16="×",AH16="×",AI16="○"),"【"&amp;AK16&amp;"行目】【整備先・内容】入力不十分、【規格・数量】入力不十分、【単価】入力不十分、【補助対象区分】未入力"&amp;CHAR(10),
IF(AND(AF16="×",AG16="×",AH16="×",AI16="◎"),"【"&amp;AK16&amp;"行目】【整備先・内容】入力不十分、【規格・数量】入力不十分、【単価】入力不十分"&amp;CHAR(10),
IF(AND(AF16="×",AG16="×",AH16="◎",AI16="○"),"【"&amp;AK16&amp;"行目】【整備先・内容】入力不十分、【規格・数量】入力不十分、【補助対象区分】未入力"&amp;CHAR(10),
IF(AND(AF16="×",AG16="×",AH16="◎",AI16="◎"),"【"&amp;AK16&amp;"行目】【整備先・内容】入力不十分、【規格・数量】入力不十分"&amp;CHAR(10),
IF(AND(AF16="×",AG16="◎",AH16="○",AI16="○"),"【"&amp;AK16&amp;"行目】【整備先・内容】入力不十分、【単価】未入力、【補助対象区分】未入力"&amp;CHAR(10),
IF(AND(AF16="×",AG16="◎",AH16="○",AI16="◎"),"【"&amp;AK16&amp;"行目】【整備先・内容】入力不十分、【単価】未入力"&amp;CHAR(10),
IF(AND(AF16="×",AG16="◎",AH16="×",AI16="○"),"【"&amp;AK16&amp;"行目】【整備先・内容】入力不十分、【単価】入力不十分、【補助対象区分】未入力"&amp;CHAR(10),
IF(AND(AF16="×",AG16="◎",AH16="×",AI16="◎"),"【"&amp;AK16&amp;"行目】【整備先・内容】入力不十分、【単価】入力不十分"&amp;CHAR(10),
IF(AND(AF16="×",AG16="◎",AH16="◎",AI16="○"),"【"&amp;AK16&amp;"行目】【整備先・内容】入力不十分、【補助対象区分】未入力"&amp;CHAR(10),
IF(AND(AF16="×",AG16="◎",AH16="◎",AI16="◎"),"【"&amp;AK16&amp;"行目】【整備先・内容】入力不十分"&amp;CHAR(10),
IF(AND(AF16="◎",AG16="○",AH16="○",AI16="○"),"【"&amp;AK16&amp;"行目】【規格・数量】未入力、【単価】未入力、【補助対象区分】未入力"&amp;CHAR(10),
IF(AND(AF16="◎",AG16="○",AH16="○",AI16="◎"),"【"&amp;AK16&amp;"行目】【規格・数量】未入力、【単価】未入力"&amp;CHAR(10),
IF(AND(AF16="◎",AG16="○",AH16="×",AI16="○"),"【"&amp;AK16&amp;"行目】【規格・数量】未入力、【単価】入力不十分、【補助対象区分】未入力"&amp;CHAR(10),
IF(AND(AF16="◎",AG16="○",AH16="×",AI16="◎"),"【"&amp;AK16&amp;"行目】【規格・数量】未入力、【単価】入力不十分"&amp;CHAR(10),
IF(AND(AF16="◎",AG16="○",AH16="◎",AI16="○"),"【"&amp;AK16&amp;"行目】【規格・数量】未入力、【補助対象区分】未入力"&amp;CHAR(10),
IF(AND(AF16="◎",AG16="○",AH16="◎",AI16="◎"),"【"&amp;AK16&amp;"行目】【規格・数量】未入力"&amp;CHAR(10),
IF(AND(AF16="◎",AG16="×",AH16="○",AI16="○"),"【"&amp;AK16&amp;"行目】【規格・数量】入力不十分、【単価】未入力、【補助対象区分】未入力"&amp;CHAR(10),
IF(AND(AF16="◎",AG16="×",AH16="○",AI16="◎"),"【"&amp;AK16&amp;"行目】【規格・数量】入力不十分、【単価】未入力"&amp;CHAR(10),
IF(AND(AF16="◎",AG16="×",AH16="×",AI16="○"),"【"&amp;AK16&amp;"行目】【規格・数量】入力不十分、【単価】入力不十分、【補助対象区分】未入力"&amp;CHAR(10),
IF(AND(AF16="◎",AG16="×",AH16="×",AI16="◎"),"【"&amp;AK16&amp;"行目】【規格・数量】入力不十分、【単価】入力不十分"&amp;CHAR(10),
IF(AND(AF16="◎",AG16="×",AH16="◎",AI16="○"),"【"&amp;AK16&amp;"行目】【規格・数量】入力不十分、【補助対象区分】未入力"&amp;CHAR(10),
IF(AND(AF16="◎",AG16="×",AH16="◎",AI16="◎"),"【"&amp;AK16&amp;"行目】【規格・数量】入力不十分"&amp;CHAR(10),
IF(AND(AF16="◎",AG16="◎",AH16="○",AI16="○"),"【"&amp;AK16&amp;"行目】【単価】未入力、【補助対象区分】未入力"&amp;CHAR(10),
IF(AND(AF16="◎",AG16="◎",AH16="○",AI16="◎"),"【"&amp;AK16&amp;"行目】【単価】未入力"&amp;CHAR(10),
IF(AND(AF16="◎",AG16="◎",AH16="×",AI16="○"),"【"&amp;AK16&amp;"行目】【単価】入力不十分、【補助対象区分】未入力"&amp;CHAR(10),
IF(AND(AF16="◎",AG16="◎",AH16="×",AI16="◎"),"【"&amp;AK16&amp;"行目】【単価】入力不十分"&amp;CHAR(10),
IF(AND(AF16="◎",AG16="◎",AH16="◎",AI16="○"),"【"&amp;AK16&amp;"行目】【補助対象区分】未入力"&amp;CHAR(10),
IF(AND(AF16="◎",AG16="◎",AH16="◎",AI16="◎"),"",
))))))))))))))))))))))))))))))))))))))))))))))))))))))</f>
        <v/>
      </c>
      <c r="AK16" s="52">
        <v>1</v>
      </c>
    </row>
    <row r="17" spans="1:75" ht="24.95" customHeight="1">
      <c r="A17" s="38">
        <v>2</v>
      </c>
      <c r="B17" s="313"/>
      <c r="C17" s="313"/>
      <c r="D17" s="313"/>
      <c r="E17" s="314"/>
      <c r="F17" s="315"/>
      <c r="G17" s="316"/>
      <c r="H17" s="316"/>
      <c r="I17" s="45">
        <f t="shared" ref="I17:I65" si="0">IF(G17="",H17*F17,ROUNDDOWN(F17*G17*1.1,0))</f>
        <v>0</v>
      </c>
      <c r="J17" s="317"/>
      <c r="K17" s="45">
        <f t="shared" ref="K17:K65" si="1">IF(J17="補助対象",I17,IF(J17="補助対象外",0,0))</f>
        <v>0</v>
      </c>
      <c r="L17" s="44" t="str">
        <f>IF(AD17="◎",COUNTIF($AD$16:AD17,"◎"),"")</f>
        <v/>
      </c>
      <c r="W17" s="234" t="str">
        <f>IF(B17="既設病床",はじめに入力してください!$K$12,IF(B17="新設病床",はじめに入力してください!$K$13,IF(B17="共通使用",1,"")))</f>
        <v/>
      </c>
      <c r="X17" s="41" t="e">
        <f ca="1">OFFSET(#REF!,
0,
MATCH(B17,#REF!,0),
COUNTA(OFFSET(#REF!,0,MATCH(B17,#REF!,0), 150,1)),1)</f>
        <v>#REF!</v>
      </c>
      <c r="AC17" s="49" t="s">
        <v>69</v>
      </c>
      <c r="AD17" s="231" t="str">
        <f t="shared" ref="AD17:AD65" si="2" xml:space="preserve">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f>
        <v>○</v>
      </c>
      <c r="AE17" s="35" t="str">
        <f t="shared" ref="AE17:AE65" si="3" xml:space="preserve">
IF(AND(AF17="○",AG17="○",AH17="○",AI17="○"),"申請しない場合は入力不要です。",
IF(AND(AF17="○",AG17="○",AH17="○",AI17="◎"),"【要修正】【整備先・内容】未入力、【規格・数量】未入力、【単価】未入力"&amp;CHAR(10),
IF(AND(AF17="○",AG17="○",AH17="×",AI17="○"),"【要修正】【整備先・内容】未入力、【規格・数量】未入力、【単価】入力不十分、【補助対象区分】未入力"&amp;CHAR(10),
IF(AND(AF17="○",AG17="○",AH17="×",AI17="◎"),"【要修正】【整備先・内容】未入力、【規格・数量】未入力、【単価】入力不十分"&amp;CHAR(10),
IF(AND(AF17="○",AG17="○",AH17="◎",AI17="○"),"【要修正】【整備先・内容】未入力、【規格・数量】未入力、【補助対象区分】未入力"&amp;CHAR(10),
IF(AND(AF17="○",AG17="○",AH17="◎",AI17="◎"),"【要修正】【整備先・内容】未入力、【規格・数量】未入力"&amp;CHAR(10),
IF(AND(AF17="○",AG17="×",AH17="○",AI17="○"),"【要修正】【整備先・内容】未入力、【規格・数量】入力不十分、【単価】未入力、【補助対象区分】未入力"&amp;CHAR(10),
IF(AND(AF17="○",AG17="×",AH17="○",AI17="◎"),"【要修正】【整備先・内容】未入力、【規格・数量】入力不十分、【単価】未入力"&amp;CHAR(10),
IF(AND(AF17="○",AG17="×",AH17="×",AI17="○"),"【要修正】【整備先・内容】未入力、【規格・数量】入力不十分、【単価】入力不十分、【補助対象区分】未入力"&amp;CHAR(10),
IF(AND(AF17="○",AG17="×",AH17="×",AI17="◎"),"【要修正】【整備先・内容】未入力、【規格・数量】入力不十分、【単価】入力不十分"&amp;CHAR(10),
IF(AND(AF17="○",AG17="×",AH17="◎",AI17="○"),"【要修正】【整備先・内容】未入力、【規格・数量】入力不十分、【補助対象区分】未入力"&amp;CHAR(10),
IF(AND(AF17="○",AG17="×",AH17="◎",AI17="◎"),"【要修正】【整備先・内容】未入力、【規格・数量】入力不十分"&amp;CHAR(10),
IF(AND(AF17="○",AG17="◎",AH17="○",AI17="○"),"【要修正】【整備先・内容】未入力、【単価】未入力、【補助対象区分】未入力"&amp;CHAR(10),
IF(AND(AF17="○",AG17="◎",AH17="○",AI17="◎"),"【要修正】【整備先・内容】未入力、【単価】未入力"&amp;CHAR(10),
IF(AND(AF17="○",AG17="◎",AH17="×",AI17="○"),"【要修正】【整備先・内容】未入力、【単価】入力不十分、【補助対象区分】未入力"&amp;CHAR(10),
IF(AND(AF17="○",AG17="◎",AH17="×",AI17="◎"),"【要修正】【整備先・内容】未入力、【単価】入力不十分"&amp;CHAR(10),
IF(AND(AF17="○",AG17="◎",AH17="◎",AI17="○"),"【要修正】【整備先・内容】未入力、【補助対象区分】未入力"&amp;CHAR(10),
IF(AND(AF17="○",AG17="◎",AH17="◎",AI17="◎"),"【要修正】【整備先・内容】未入力"&amp;CHAR(10),
IF(AND(AF17="×",AG17="○",AH17="○",AI17="○"),"【要修正】【整備先・内容】入力不十分、【規格・数量】未入力、【単価】未入力、【補助対象区分】未入力"&amp;CHAR(10),
IF(AND(AF17="×",AG17="○",AH17="○",AI17="◎"),"【要修正】【整備先・内容】入力不十分、【規格・数量】未入力、【単価】未入力"&amp;CHAR(10),
IF(AND(AF17="×",AG17="○",AH17="×",AI17="○"),"【要修正】【整備先・内容】入力不十分、【規格・数量】未入力、【単価】入力不十分、【補助対象区分】未入力"&amp;CHAR(10),
IF(AND(AF17="×",AG17="○",AH17="×",AI17="◎"),"【要修正】【整備先・内容】入力不十分、【規格・数量】未入力、【単価】入力不十分"&amp;CHAR(10),
IF(AND(AF17="×",AG17="○",AH17="◎",AI17="○"),"【要修正】【整備先・内容】入力不十分、【規格・数量】未入力、【補助対象区分】未入力"&amp;CHAR(10),
IF(AND(AF17="×",AG17="○",AH17="◎",AI17="◎"),"【要修正】【整備先・内容】入力不十分、【規格・数量】未入力"&amp;CHAR(10),
IF(AND(AF17="×",AG17="×",AH17="○",AI17="○"),"【要修正】【整備先・内容】入力不十分、【規格・数量】入力不十分、【単価】未入力、【補助対象区分】未入力"&amp;CHAR(10),
IF(AND(AF17="×",AG17="×",AH17="○",AI17="◎"),"【要修正】【整備先・内容】入力不十分、【規格・数量】入力不十分、【単価】未入力"&amp;CHAR(10),
IF(AND(AF17="×",AG17="×",AH17="×",AI17="○"),"【要修正】【整備先・内容】入力不十分、【規格・数量】入力不十分、【単価】入力不十分、【補助対象区分】未入力"&amp;CHAR(10),
IF(AND(AF17="×",AG17="×",AH17="×",AI17="◎"),"【要修正】【整備先・内容】入力不十分、【規格・数量】入力不十分、【単価】入力不十分"&amp;CHAR(10),
IF(AND(AF17="×",AG17="×",AH17="◎",AI17="○"),"【要修正】【整備先・内容】入力不十分、【規格・数量】入力不十分、【補助対象区分】未入力"&amp;CHAR(10),
IF(AND(AF17="×",AG17="×",AH17="◎",AI17="◎"),"【要修正】【整備先・内容】入力不十分、【規格・数量】入力不十分"&amp;CHAR(10),
IF(AND(AF17="×",AG17="◎",AH17="○",AI17="○"),"【要修正】【整備先・内容】入力不十分、【単価】未入力、【補助対象区分】未入力"&amp;CHAR(10),
IF(AND(AF17="×",AG17="◎",AH17="○",AI17="◎"),"【要修正】【整備先・内容】入力不十分、【単価】未入力"&amp;CHAR(10),
IF(AND(AF17="×",AG17="◎",AH17="×",AI17="○"),"【要修正】【整備先・内容】入力不十分、【単価】入力不十分、【補助対象区分】未入力"&amp;CHAR(10),
IF(AND(AF17="×",AG17="◎",AH17="×",AI17="◎"),"【要修正】【整備先・内容】入力不十分、【単価】入力不十分"&amp;CHAR(10),
IF(AND(AF17="×",AG17="◎",AH17="◎",AI17="○"),"【要修正】【整備先・内容】入力不十分、【補助対象区分】未入力"&amp;CHAR(10),
IF(AND(AF17="×",AG17="◎",AH17="◎",AI17="◎"),"【要修正】【整備先・内容】入力不十分"&amp;CHAR(10),
IF(AND(AF17="◎",AG17="○",AH17="○",AI17="○"),"【要修正】【規格・数量】未入力、【単価】未入力、【補助対象区分】未入力"&amp;CHAR(10),
IF(AND(AF17="◎",AG17="○",AH17="○",AI17="◎"),"【要修正】【規格・数量】未入力、【単価】未入力"&amp;CHAR(10),
IF(AND(AF17="◎",AG17="○",AH17="×",AI17="○"),"【要修正】【規格・数量】未入力、【単価】入力不十分、【補助対象区分】未入力"&amp;CHAR(10),
IF(AND(AF17="◎",AG17="○",AH17="×",AI17="◎"),"【要修正】【規格・数量】未入力、【単価】入力不十分"&amp;CHAR(10),
IF(AND(AF17="◎",AG17="○",AH17="◎",AI17="○"),"【要修正】【規格・数量】未入力、【補助対象区分】未入力"&amp;CHAR(10),
IF(AND(AF17="◎",AG17="○",AH17="◎",AI17="◎"),"【要修正】【規格・数量】未入力"&amp;CHAR(10),
IF(AND(AF17="◎",AG17="×",AH17="○",AI17="○"),"【要修正】【規格・数量】入力不十分、【単価】未入力、【補助対象区分】未入力"&amp;CHAR(10),
IF(AND(AF17="◎",AG17="×",AH17="○",AI17="◎"),"【要修正】【規格・数量】入力不十分、【単価】未入力"&amp;CHAR(10),
IF(AND(AF17="◎",AG17="×",AH17="×",AI17="○"),"【要修正】【規格・数量】入力不十分、【単価】入力不十分、【補助対象区分】未入力"&amp;CHAR(10),
IF(AND(AF17="◎",AG17="×",AH17="×",AI17="◎"),"【要修正】【規格・数量】入力不十分、【単価】入力不十分"&amp;CHAR(10),
IF(AND(AF17="◎",AG17="×",AH17="◎",AI17="○"),"【要修正】【規格・数量】入力不十分、【補助対象区分】未入力"&amp;CHAR(10),
IF(AND(AF17="◎",AG17="×",AH17="◎",AI17="◎"),"【要修正】【規格・数量】入力不十分"&amp;CHAR(10),
IF(AND(AF17="◎",AG17="◎",AH17="○",AI17="○"),"【要修正】【単価】未入力、【補助対象区分】未入力"&amp;CHAR(10),
IF(AND(AF17="◎",AG17="◎",AH17="○",AI17="◎"),"【要修正】【単価】未入力"&amp;CHAR(10),
IF(AND(AF17="◎",AG17="◎",AH17="×",AI17="○"),"【要修正】【単価】入力不十分、【補助対象区分】未入力"&amp;CHAR(10),
IF(AND(AF17="◎",AG17="◎",AH17="×",AI17="◎"),"【要修正】【単価】入力不十分"&amp;CHAR(10),
IF(AND(AF17="◎",AG17="◎",AH17="◎",AI17="○"),"【要修正】【補助対象区分】未入力"&amp;CHAR(10),
IF(AND(AF17="◎",AG17="◎",AH17="◎",AI17="◎"),"適切に入力がされました。",
))))))))))))))))))))))))))))))))))))))))))))))))))))))</f>
        <v>申請しない場合は入力不要です。</v>
      </c>
      <c r="AF17" s="234" t="str">
        <f t="shared" ref="AF17:AF65" si="4">IF(COUNTA(B17:D17)=0,"○",IF(AND(COUNTA(B17:D17)&gt;=1,COUNTA(B17:D17)&lt;3),"×",IF(COUNTA(B17:D17)=3,"◎")))</f>
        <v>○</v>
      </c>
      <c r="AG17" s="234" t="str">
        <f t="shared" ref="AG17:AG65" si="5">IF(COUNTA(E17,F17,J17)=0,"○",IF(AND(COUNTA(E17,F17,J17)&gt;=1,COUNTA(E17,F17,J17)&lt;3),"×",IF(COUNTA(E17,F17,J17)=3,"◎")))</f>
        <v>○</v>
      </c>
      <c r="AH17" s="234" t="str">
        <f t="shared" ref="AH17:AH65" si="6">IF(COUNTA(G17:H17)=0,"○",IF(COUNTA(G17:H17)=1,"◎",IF(COUNTA(G17:H17)=2,"×")))</f>
        <v>○</v>
      </c>
      <c r="AI17" s="231" t="str">
        <f t="shared" ref="AI17:AI65" si="7">IF(COUNTA(J17)=0,"○",IF(COUNTA(J17)=1,"◎"))</f>
        <v>○</v>
      </c>
      <c r="AJ17" s="14" t="str">
        <f t="shared" ref="AJ17:AJ65" si="8" xml:space="preserve">
IF(AND(AF17="○",AG17="○",AH17="○",AI17="○"),"",
IF(AND(AF17="○",AG17="○",AH17="○",AI17="◎"),"【"&amp;AK17&amp;"行目】【整備先・内容】未入力、【規格・数量】未入力、【単価】未入力"&amp;CHAR(10),
IF(AND(AF17="○",AG17="○",AH17="×",AI17="○"),"【"&amp;AK17&amp;"行目】【整備先・内容】未入力、【規格・数量】未入力、【単価】入力不十分、【補助対象区分】未入力"&amp;CHAR(10),
IF(AND(AF17="○",AG17="○",AH17="×",AI17="◎"),"【"&amp;AK17&amp;"行目】【整備先・内容】未入力、【規格・数量】未入力、【単価】入力不十分"&amp;CHAR(10),
IF(AND(AF17="○",AG17="○",AH17="◎",AI17="○"),"【"&amp;AK17&amp;"行目】【整備先・内容】未入力、【規格・数量】未入力、【補助対象区分】未入力"&amp;CHAR(10),
IF(AND(AF17="○",AG17="○",AH17="◎",AI17="◎"),"【"&amp;AK17&amp;"行目】【整備先・内容】未入力、【規格・数量】未入力"&amp;CHAR(10),
IF(AND(AF17="○",AG17="×",AH17="○",AI17="○"),"【"&amp;AK17&amp;"行目】【整備先・内容】未入力、【規格・数量】入力不十分、【単価】未入力、【補助対象区分】未入力"&amp;CHAR(10),
IF(AND(AF17="○",AG17="×",AH17="○",AI17="◎"),"【"&amp;AK17&amp;"行目】【整備先・内容】未入力、【規格・数量】入力不十分、【単価】未入力"&amp;CHAR(10),
IF(AND(AF17="○",AG17="×",AH17="×",AI17="○"),"【"&amp;AK17&amp;"行目】【整備先・内容】未入力、【規格・数量】入力不十分、【単価】入力不十分、【補助対象区分】未入力"&amp;CHAR(10),
IF(AND(AF17="○",AG17="×",AH17="×",AI17="◎"),"【"&amp;AK17&amp;"行目】【整備先・内容】未入力、【規格・数量】入力不十分、【単価】入力不十分"&amp;CHAR(10),
IF(AND(AF17="○",AG17="×",AH17="◎",AI17="○"),"【"&amp;AK17&amp;"行目】【整備先・内容】未入力、【規格・数量】入力不十分、【補助対象区分】未入力"&amp;CHAR(10),
IF(AND(AF17="○",AG17="×",AH17="◎",AI17="◎"),"【"&amp;AK17&amp;"行目】【整備先・内容】未入力、【規格・数量】入力不十分"&amp;CHAR(10),
IF(AND(AF17="○",AG17="◎",AH17="○",AI17="○"),"【"&amp;AK17&amp;"行目】【整備先・内容】未入力、【単価】未入力、【補助対象区分】未入力"&amp;CHAR(10),
IF(AND(AF17="○",AG17="◎",AH17="○",AI17="◎"),"【"&amp;AK17&amp;"行目】【整備先・内容】未入力、【単価】未入力"&amp;CHAR(10),
IF(AND(AF17="○",AG17="◎",AH17="×",AI17="○"),"【"&amp;AK17&amp;"行目】【整備先・内容】未入力、【単価】入力不十分、【補助対象区分】未入力"&amp;CHAR(10),
IF(AND(AF17="○",AG17="◎",AH17="×",AI17="◎"),"【"&amp;AK17&amp;"行目】【整備先・内容】未入力、【単価】入力不十分"&amp;CHAR(10),
IF(AND(AF17="○",AG17="◎",AH17="◎",AI17="○"),"【"&amp;AK17&amp;"行目】【整備先・内容】未入力、【補助対象区分】未入力"&amp;CHAR(10),
IF(AND(AF17="○",AG17="◎",AH17="◎",AI17="◎"),"【"&amp;AK17&amp;"行目】【整備先・内容】未入力"&amp;CHAR(10),
IF(AND(AF17="×",AG17="○",AH17="○",AI17="○"),"【"&amp;AK17&amp;"行目】【整備先・内容】入力不十分、【規格・数量】未入力、【単価】未入力、【補助対象区分】未入力"&amp;CHAR(10),
IF(AND(AF17="×",AG17="○",AH17="○",AI17="◎"),"【"&amp;AK17&amp;"行目】【整備先・内容】入力不十分、【規格・数量】未入力、【単価】未入力"&amp;CHAR(10),
IF(AND(AF17="×",AG17="○",AH17="×",AI17="○"),"【"&amp;AK17&amp;"行目】【整備先・内容】入力不十分、【規格・数量】未入力、【単価】入力不十分、【補助対象区分】未入力"&amp;CHAR(10),
IF(AND(AF17="×",AG17="○",AH17="×",AI17="◎"),"【"&amp;AK17&amp;"行目】【整備先・内容】入力不十分、【規格・数量】未入力、【単価】入力不十分"&amp;CHAR(10),
IF(AND(AF17="×",AG17="○",AH17="◎",AI17="○"),"【"&amp;AK17&amp;"行目】【整備先・内容】入力不十分、【規格・数量】未入力、【補助対象区分】未入力"&amp;CHAR(10),
IF(AND(AF17="×",AG17="○",AH17="◎",AI17="◎"),"【"&amp;AK17&amp;"行目】【整備先・内容】入力不十分、【規格・数量】未入力"&amp;CHAR(10),
IF(AND(AF17="×",AG17="×",AH17="○",AI17="○"),"【"&amp;AK17&amp;"行目】【整備先・内容】入力不十分、【規格・数量】入力不十分、【単価】未入力、【補助対象区分】未入力"&amp;CHAR(10),
IF(AND(AF17="×",AG17="×",AH17="○",AI17="◎"),"【"&amp;AK17&amp;"行目】【整備先・内容】入力不十分、【規格・数量】入力不十分、【単価】未入力"&amp;CHAR(10),
IF(AND(AF17="×",AG17="×",AH17="×",AI17="○"),"【"&amp;AK17&amp;"行目】【整備先・内容】入力不十分、【規格・数量】入力不十分、【単価】入力不十分、【補助対象区分】未入力"&amp;CHAR(10),
IF(AND(AF17="×",AG17="×",AH17="×",AI17="◎"),"【"&amp;AK17&amp;"行目】【整備先・内容】入力不十分、【規格・数量】入力不十分、【単価】入力不十分"&amp;CHAR(10),
IF(AND(AF17="×",AG17="×",AH17="◎",AI17="○"),"【"&amp;AK17&amp;"行目】【整備先・内容】入力不十分、【規格・数量】入力不十分、【補助対象区分】未入力"&amp;CHAR(10),
IF(AND(AF17="×",AG17="×",AH17="◎",AI17="◎"),"【"&amp;AK17&amp;"行目】【整備先・内容】入力不十分、【規格・数量】入力不十分"&amp;CHAR(10),
IF(AND(AF17="×",AG17="◎",AH17="○",AI17="○"),"【"&amp;AK17&amp;"行目】【整備先・内容】入力不十分、【単価】未入力、【補助対象区分】未入力"&amp;CHAR(10),
IF(AND(AF17="×",AG17="◎",AH17="○",AI17="◎"),"【"&amp;AK17&amp;"行目】【整備先・内容】入力不十分、【単価】未入力"&amp;CHAR(10),
IF(AND(AF17="×",AG17="◎",AH17="×",AI17="○"),"【"&amp;AK17&amp;"行目】【整備先・内容】入力不十分、【単価】入力不十分、【補助対象区分】未入力"&amp;CHAR(10),
IF(AND(AF17="×",AG17="◎",AH17="×",AI17="◎"),"【"&amp;AK17&amp;"行目】【整備先・内容】入力不十分、【単価】入力不十分"&amp;CHAR(10),
IF(AND(AF17="×",AG17="◎",AH17="◎",AI17="○"),"【"&amp;AK17&amp;"行目】【整備先・内容】入力不十分、【補助対象区分】未入力"&amp;CHAR(10),
IF(AND(AF17="×",AG17="◎",AH17="◎",AI17="◎"),"【"&amp;AK17&amp;"行目】【整備先・内容】入力不十分"&amp;CHAR(10),
IF(AND(AF17="◎",AG17="○",AH17="○",AI17="○"),"【"&amp;AK17&amp;"行目】【規格・数量】未入力、【単価】未入力、【補助対象区分】未入力"&amp;CHAR(10),
IF(AND(AF17="◎",AG17="○",AH17="○",AI17="◎"),"【"&amp;AK17&amp;"行目】【規格・数量】未入力、【単価】未入力"&amp;CHAR(10),
IF(AND(AF17="◎",AG17="○",AH17="×",AI17="○"),"【"&amp;AK17&amp;"行目】【規格・数量】未入力、【単価】入力不十分、【補助対象区分】未入力"&amp;CHAR(10),
IF(AND(AF17="◎",AG17="○",AH17="×",AI17="◎"),"【"&amp;AK17&amp;"行目】【規格・数量】未入力、【単価】入力不十分"&amp;CHAR(10),
IF(AND(AF17="◎",AG17="○",AH17="◎",AI17="○"),"【"&amp;AK17&amp;"行目】【規格・数量】未入力、【補助対象区分】未入力"&amp;CHAR(10),
IF(AND(AF17="◎",AG17="○",AH17="◎",AI17="◎"),"【"&amp;AK17&amp;"行目】【規格・数量】未入力"&amp;CHAR(10),
IF(AND(AF17="◎",AG17="×",AH17="○",AI17="○"),"【"&amp;AK17&amp;"行目】【規格・数量】入力不十分、【単価】未入力、【補助対象区分】未入力"&amp;CHAR(10),
IF(AND(AF17="◎",AG17="×",AH17="○",AI17="◎"),"【"&amp;AK17&amp;"行目】【規格・数量】入力不十分、【単価】未入力"&amp;CHAR(10),
IF(AND(AF17="◎",AG17="×",AH17="×",AI17="○"),"【"&amp;AK17&amp;"行目】【規格・数量】入力不十分、【単価】入力不十分、【補助対象区分】未入力"&amp;CHAR(10),
IF(AND(AF17="◎",AG17="×",AH17="×",AI17="◎"),"【"&amp;AK17&amp;"行目】【規格・数量】入力不十分、【単価】入力不十分"&amp;CHAR(10),
IF(AND(AF17="◎",AG17="×",AH17="◎",AI17="○"),"【"&amp;AK17&amp;"行目】【規格・数量】入力不十分、【補助対象区分】未入力"&amp;CHAR(10),
IF(AND(AF17="◎",AG17="×",AH17="◎",AI17="◎"),"【"&amp;AK17&amp;"行目】【規格・数量】入力不十分"&amp;CHAR(10),
IF(AND(AF17="◎",AG17="◎",AH17="○",AI17="○"),"【"&amp;AK17&amp;"行目】【単価】未入力、【補助対象区分】未入力"&amp;CHAR(10),
IF(AND(AF17="◎",AG17="◎",AH17="○",AI17="◎"),"【"&amp;AK17&amp;"行目】【単価】未入力"&amp;CHAR(10),
IF(AND(AF17="◎",AG17="◎",AH17="×",AI17="○"),"【"&amp;AK17&amp;"行目】【単価】入力不十分、【補助対象区分】未入力"&amp;CHAR(10),
IF(AND(AF17="◎",AG17="◎",AH17="×",AI17="◎"),"【"&amp;AK17&amp;"行目】【単価】入力不十分"&amp;CHAR(10),
IF(AND(AF17="◎",AG17="◎",AH17="◎",AI17="○"),"【"&amp;AK17&amp;"行目】【補助対象区分】未入力"&amp;CHAR(10),
IF(AND(AF17="◎",AG17="◎",AH17="◎",AI17="◎"),"",
))))))))))))))))))))))))))))))))))))))))))))))))))))))</f>
        <v/>
      </c>
      <c r="AK17" s="52">
        <v>2</v>
      </c>
    </row>
    <row r="18" spans="1:75" ht="24.95" customHeight="1">
      <c r="A18" s="38">
        <v>3</v>
      </c>
      <c r="B18" s="313"/>
      <c r="C18" s="313"/>
      <c r="D18" s="313"/>
      <c r="E18" s="314"/>
      <c r="F18" s="315"/>
      <c r="G18" s="316"/>
      <c r="H18" s="316"/>
      <c r="I18" s="45">
        <f t="shared" si="0"/>
        <v>0</v>
      </c>
      <c r="J18" s="317"/>
      <c r="K18" s="45">
        <f t="shared" si="1"/>
        <v>0</v>
      </c>
      <c r="L18" s="44" t="str">
        <f>IF(AD18="◎",COUNTIF($AD$16:AD18,"◎"),"")</f>
        <v/>
      </c>
      <c r="W18" s="234" t="str">
        <f>IF(B18="既設病床",はじめに入力してください!$K$12,IF(B18="新設病床",はじめに入力してください!$K$13,IF(B18="共通使用",1,"")))</f>
        <v/>
      </c>
      <c r="AC18" s="49" t="s">
        <v>69</v>
      </c>
      <c r="AD18" s="231" t="str">
        <f t="shared" si="2"/>
        <v>○</v>
      </c>
      <c r="AE18" s="35" t="str">
        <f t="shared" si="3"/>
        <v>申請しない場合は入力不要です。</v>
      </c>
      <c r="AF18" s="234" t="str">
        <f t="shared" si="4"/>
        <v>○</v>
      </c>
      <c r="AG18" s="234" t="str">
        <f t="shared" si="5"/>
        <v>○</v>
      </c>
      <c r="AH18" s="234" t="str">
        <f t="shared" si="6"/>
        <v>○</v>
      </c>
      <c r="AI18" s="231" t="str">
        <f t="shared" si="7"/>
        <v>○</v>
      </c>
      <c r="AJ18" s="14" t="str">
        <f t="shared" si="8"/>
        <v/>
      </c>
      <c r="AK18" s="52">
        <v>3</v>
      </c>
      <c r="AY18" s="823"/>
      <c r="AZ18" s="823"/>
      <c r="BA18" s="823"/>
      <c r="BB18" s="823"/>
      <c r="BC18" s="823"/>
      <c r="BD18" s="823"/>
      <c r="BE18" s="823"/>
      <c r="BF18" s="823"/>
      <c r="BG18" s="823"/>
      <c r="BH18" s="823"/>
      <c r="BI18" s="402"/>
      <c r="BJ18" s="402"/>
      <c r="BK18" s="402"/>
      <c r="BL18" s="402"/>
      <c r="BM18" s="402"/>
      <c r="BN18" s="402"/>
      <c r="BO18" s="223"/>
      <c r="BP18" s="223"/>
      <c r="BQ18" s="223"/>
      <c r="BR18" s="223"/>
      <c r="BS18" s="764"/>
      <c r="BT18" s="764"/>
      <c r="BU18" s="764"/>
      <c r="BV18" s="764"/>
      <c r="BW18" s="764"/>
    </row>
    <row r="19" spans="1:75" ht="24.95" customHeight="1">
      <c r="A19" s="38">
        <v>4</v>
      </c>
      <c r="B19" s="313"/>
      <c r="C19" s="313"/>
      <c r="D19" s="313"/>
      <c r="E19" s="314"/>
      <c r="F19" s="315"/>
      <c r="G19" s="316"/>
      <c r="H19" s="316"/>
      <c r="I19" s="45">
        <f t="shared" si="0"/>
        <v>0</v>
      </c>
      <c r="J19" s="317"/>
      <c r="K19" s="45">
        <f t="shared" si="1"/>
        <v>0</v>
      </c>
      <c r="L19" s="44" t="str">
        <f>IF(AD19="◎",COUNTIF($AD$16:AD19,"◎"),"")</f>
        <v/>
      </c>
      <c r="W19" s="234" t="str">
        <f>IF(B19="既設病床",はじめに入力してください!$K$12,IF(B19="新設病床",はじめに入力してください!$K$13,IF(B19="共通使用",1,"")))</f>
        <v/>
      </c>
      <c r="Y19" s="203"/>
      <c r="AC19" s="49" t="s">
        <v>69</v>
      </c>
      <c r="AD19" s="231" t="str">
        <f t="shared" si="2"/>
        <v>○</v>
      </c>
      <c r="AE19" s="35" t="str">
        <f t="shared" si="3"/>
        <v>申請しない場合は入力不要です。</v>
      </c>
      <c r="AF19" s="234" t="str">
        <f t="shared" si="4"/>
        <v>○</v>
      </c>
      <c r="AG19" s="234" t="str">
        <f t="shared" si="5"/>
        <v>○</v>
      </c>
      <c r="AH19" s="234" t="str">
        <f t="shared" si="6"/>
        <v>○</v>
      </c>
      <c r="AI19" s="231" t="str">
        <f t="shared" si="7"/>
        <v>○</v>
      </c>
      <c r="AJ19" s="14" t="str">
        <f t="shared" si="8"/>
        <v/>
      </c>
      <c r="AK19" s="52">
        <v>4</v>
      </c>
      <c r="AY19" s="824"/>
      <c r="AZ19" s="825"/>
      <c r="BA19" s="825"/>
      <c r="BB19" s="825"/>
      <c r="BC19" s="823"/>
      <c r="BD19" s="825"/>
      <c r="BE19" s="823"/>
      <c r="BF19" s="823"/>
      <c r="BG19" s="823"/>
      <c r="BH19" s="823"/>
      <c r="BI19" s="402"/>
      <c r="BJ19" s="402"/>
      <c r="BK19" s="402"/>
      <c r="BL19" s="402"/>
      <c r="BM19" s="402"/>
      <c r="BN19" s="402"/>
      <c r="BO19" s="402"/>
      <c r="BP19" s="223"/>
      <c r="BQ19" s="823"/>
      <c r="BR19" s="764"/>
      <c r="BS19" s="764"/>
      <c r="BT19" s="764"/>
      <c r="BU19" s="764"/>
      <c r="BV19" s="764"/>
      <c r="BW19" s="764"/>
    </row>
    <row r="20" spans="1:75" ht="24.95" customHeight="1">
      <c r="A20" s="38">
        <v>5</v>
      </c>
      <c r="B20" s="313"/>
      <c r="C20" s="313"/>
      <c r="D20" s="313"/>
      <c r="E20" s="314"/>
      <c r="F20" s="315"/>
      <c r="G20" s="316"/>
      <c r="H20" s="316"/>
      <c r="I20" s="45">
        <f t="shared" si="0"/>
        <v>0</v>
      </c>
      <c r="J20" s="317"/>
      <c r="K20" s="45">
        <f t="shared" si="1"/>
        <v>0</v>
      </c>
      <c r="L20" s="44" t="str">
        <f>IF(AD20="◎",COUNTIF($AD$16:AD20,"◎"),"")</f>
        <v/>
      </c>
      <c r="W20" s="234" t="str">
        <f>IF(B20="既設病床",はじめに入力してください!$K$12,IF(B20="新設病床",はじめに入力してください!$K$13,IF(B20="共通使用",1,"")))</f>
        <v/>
      </c>
      <c r="AC20" s="49" t="s">
        <v>69</v>
      </c>
      <c r="AD20" s="231" t="str">
        <f t="shared" si="2"/>
        <v>○</v>
      </c>
      <c r="AE20" s="35" t="str">
        <f t="shared" si="3"/>
        <v>申請しない場合は入力不要です。</v>
      </c>
      <c r="AF20" s="234" t="str">
        <f t="shared" si="4"/>
        <v>○</v>
      </c>
      <c r="AG20" s="234" t="str">
        <f t="shared" si="5"/>
        <v>○</v>
      </c>
      <c r="AH20" s="234" t="str">
        <f t="shared" si="6"/>
        <v>○</v>
      </c>
      <c r="AI20" s="231" t="str">
        <f t="shared" si="7"/>
        <v>○</v>
      </c>
      <c r="AJ20" s="14" t="str">
        <f t="shared" si="8"/>
        <v/>
      </c>
      <c r="AK20" s="52">
        <v>5</v>
      </c>
      <c r="AY20" s="825"/>
      <c r="AZ20" s="825"/>
      <c r="BA20" s="825"/>
      <c r="BB20" s="825"/>
      <c r="BC20" s="823"/>
      <c r="BD20" s="823"/>
      <c r="BE20" s="823"/>
      <c r="BF20" s="823"/>
      <c r="BG20" s="823"/>
      <c r="BH20" s="823"/>
      <c r="BI20" s="402"/>
      <c r="BJ20" s="402"/>
      <c r="BK20" s="402"/>
      <c r="BL20" s="402"/>
      <c r="BM20" s="402"/>
      <c r="BN20" s="402"/>
      <c r="BO20" s="402"/>
      <c r="BP20" s="223"/>
      <c r="BQ20" s="823"/>
      <c r="BR20" s="764"/>
      <c r="BS20" s="764"/>
      <c r="BT20" s="764"/>
      <c r="BU20" s="764"/>
      <c r="BV20" s="764"/>
      <c r="BW20" s="764"/>
    </row>
    <row r="21" spans="1:75" ht="24.95" customHeight="1">
      <c r="A21" s="38">
        <v>6</v>
      </c>
      <c r="B21" s="313"/>
      <c r="C21" s="313"/>
      <c r="D21" s="313"/>
      <c r="E21" s="314"/>
      <c r="F21" s="315"/>
      <c r="G21" s="316"/>
      <c r="H21" s="316"/>
      <c r="I21" s="45">
        <f t="shared" si="0"/>
        <v>0</v>
      </c>
      <c r="J21" s="317"/>
      <c r="K21" s="45">
        <f t="shared" si="1"/>
        <v>0</v>
      </c>
      <c r="L21" s="44" t="str">
        <f>IF(AD21="◎",COUNTIF($AD$16:AD21,"◎"),"")</f>
        <v/>
      </c>
      <c r="W21" s="234" t="str">
        <f>IF(B21="既設病床",はじめに入力してください!$K$12,IF(B21="新設病床",はじめに入力してください!$K$13,IF(B21="共通使用",1,"")))</f>
        <v/>
      </c>
      <c r="AC21" s="49" t="s">
        <v>69</v>
      </c>
      <c r="AD21" s="231" t="str">
        <f t="shared" si="2"/>
        <v>○</v>
      </c>
      <c r="AE21" s="35" t="str">
        <f t="shared" si="3"/>
        <v>申請しない場合は入力不要です。</v>
      </c>
      <c r="AF21" s="234" t="str">
        <f t="shared" si="4"/>
        <v>○</v>
      </c>
      <c r="AG21" s="234" t="str">
        <f t="shared" si="5"/>
        <v>○</v>
      </c>
      <c r="AH21" s="234" t="str">
        <f t="shared" si="6"/>
        <v>○</v>
      </c>
      <c r="AI21" s="231" t="str">
        <f t="shared" si="7"/>
        <v>○</v>
      </c>
      <c r="AJ21" s="14" t="str">
        <f t="shared" si="8"/>
        <v/>
      </c>
      <c r="AK21" s="52">
        <v>6</v>
      </c>
      <c r="AY21" s="825"/>
      <c r="AZ21" s="825"/>
      <c r="BA21" s="825"/>
      <c r="BB21" s="825"/>
      <c r="BC21" s="823"/>
      <c r="BD21" s="823"/>
      <c r="BE21" s="823"/>
      <c r="BF21" s="823"/>
      <c r="BG21" s="823"/>
      <c r="BH21" s="823"/>
      <c r="BI21" s="402"/>
      <c r="BJ21" s="402"/>
      <c r="BK21" s="402"/>
      <c r="BL21" s="402"/>
      <c r="BM21" s="402"/>
      <c r="BN21" s="402"/>
      <c r="BO21" s="59"/>
      <c r="BP21" s="223"/>
      <c r="BQ21" s="223"/>
      <c r="BR21" s="222"/>
      <c r="BS21" s="222"/>
      <c r="BT21" s="222"/>
      <c r="BU21" s="222"/>
      <c r="BV21" s="222"/>
      <c r="BW21" s="222"/>
    </row>
    <row r="22" spans="1:75" ht="24.95" customHeight="1">
      <c r="A22" s="38">
        <v>7</v>
      </c>
      <c r="B22" s="313"/>
      <c r="C22" s="313"/>
      <c r="D22" s="313"/>
      <c r="E22" s="314"/>
      <c r="F22" s="315"/>
      <c r="G22" s="316"/>
      <c r="H22" s="316"/>
      <c r="I22" s="45">
        <f t="shared" si="0"/>
        <v>0</v>
      </c>
      <c r="J22" s="317"/>
      <c r="K22" s="45">
        <f t="shared" si="1"/>
        <v>0</v>
      </c>
      <c r="L22" s="44" t="str">
        <f>IF(AD22="◎",COUNTIF($AD$16:AD22,"◎"),"")</f>
        <v/>
      </c>
      <c r="W22" s="234" t="str">
        <f>IF(B22="既設病床",はじめに入力してください!$K$12,IF(B22="新設病床",はじめに入力してください!$K$13,IF(B22="共通使用",1,"")))</f>
        <v/>
      </c>
      <c r="AC22" s="49" t="s">
        <v>69</v>
      </c>
      <c r="AD22" s="231" t="str">
        <f t="shared" si="2"/>
        <v>○</v>
      </c>
      <c r="AE22" s="35" t="str">
        <f t="shared" si="3"/>
        <v>申請しない場合は入力不要です。</v>
      </c>
      <c r="AF22" s="234" t="str">
        <f t="shared" si="4"/>
        <v>○</v>
      </c>
      <c r="AG22" s="234" t="str">
        <f t="shared" si="5"/>
        <v>○</v>
      </c>
      <c r="AH22" s="234" t="str">
        <f t="shared" si="6"/>
        <v>○</v>
      </c>
      <c r="AI22" s="231" t="str">
        <f t="shared" si="7"/>
        <v>○</v>
      </c>
      <c r="AJ22" s="14" t="str">
        <f t="shared" si="8"/>
        <v/>
      </c>
      <c r="AK22" s="52">
        <v>7</v>
      </c>
      <c r="AY22" s="823"/>
      <c r="AZ22" s="823"/>
      <c r="BA22" s="823"/>
      <c r="BB22" s="823"/>
      <c r="BC22" s="823"/>
      <c r="BD22" s="823"/>
      <c r="BE22" s="823"/>
      <c r="BF22" s="823"/>
      <c r="BG22" s="823"/>
      <c r="BH22" s="823"/>
      <c r="BI22" s="402"/>
      <c r="BJ22" s="402"/>
      <c r="BK22" s="402"/>
      <c r="BL22" s="402"/>
      <c r="BM22" s="402"/>
      <c r="BN22" s="402"/>
      <c r="BO22" s="402"/>
      <c r="BP22" s="402"/>
      <c r="BQ22" s="402"/>
      <c r="BR22" s="402"/>
      <c r="BS22" s="222"/>
      <c r="BT22" s="222"/>
      <c r="BU22" s="222"/>
      <c r="BV22" s="222"/>
      <c r="BW22" s="222"/>
    </row>
    <row r="23" spans="1:75" ht="24.95" customHeight="1">
      <c r="A23" s="38">
        <v>8</v>
      </c>
      <c r="B23" s="313"/>
      <c r="C23" s="313"/>
      <c r="D23" s="313"/>
      <c r="E23" s="314"/>
      <c r="F23" s="315"/>
      <c r="G23" s="316"/>
      <c r="H23" s="316"/>
      <c r="I23" s="45">
        <f t="shared" si="0"/>
        <v>0</v>
      </c>
      <c r="J23" s="317"/>
      <c r="K23" s="45">
        <f t="shared" si="1"/>
        <v>0</v>
      </c>
      <c r="L23" s="44" t="str">
        <f>IF(AD23="◎",COUNTIF($AD$16:AD23,"◎"),"")</f>
        <v/>
      </c>
      <c r="T23" s="197"/>
      <c r="U23" s="197"/>
      <c r="V23" s="197"/>
      <c r="W23" s="234" t="str">
        <f>IF(B23="既設病床",はじめに入力してください!$K$12,IF(B23="新設病床",はじめに入力してください!$K$13,IF(B23="共通使用",1,"")))</f>
        <v/>
      </c>
      <c r="AC23" s="49" t="s">
        <v>69</v>
      </c>
      <c r="AD23" s="231" t="str">
        <f t="shared" si="2"/>
        <v>○</v>
      </c>
      <c r="AE23" s="35" t="str">
        <f t="shared" si="3"/>
        <v>申請しない場合は入力不要です。</v>
      </c>
      <c r="AF23" s="234" t="str">
        <f t="shared" si="4"/>
        <v>○</v>
      </c>
      <c r="AG23" s="234" t="str">
        <f t="shared" si="5"/>
        <v>○</v>
      </c>
      <c r="AH23" s="234" t="str">
        <f t="shared" si="6"/>
        <v>○</v>
      </c>
      <c r="AI23" s="231" t="str">
        <f t="shared" si="7"/>
        <v>○</v>
      </c>
      <c r="AJ23" s="14" t="str">
        <f t="shared" si="8"/>
        <v/>
      </c>
      <c r="AK23" s="52">
        <v>8</v>
      </c>
      <c r="AY23" s="823"/>
      <c r="AZ23" s="823"/>
      <c r="BA23" s="823"/>
      <c r="BB23" s="823"/>
      <c r="BC23" s="823"/>
      <c r="BD23" s="823"/>
      <c r="BE23" s="823"/>
      <c r="BF23" s="823"/>
      <c r="BG23" s="823"/>
      <c r="BH23" s="823"/>
      <c r="BI23" s="402"/>
      <c r="BJ23" s="402"/>
      <c r="BK23" s="402"/>
      <c r="BL23" s="402"/>
      <c r="BM23" s="402"/>
      <c r="BN23" s="402"/>
      <c r="BO23" s="402"/>
      <c r="BP23" s="402"/>
      <c r="BQ23" s="402"/>
      <c r="BR23" s="402"/>
      <c r="BS23" s="222"/>
      <c r="BT23" s="222"/>
      <c r="BU23" s="222"/>
      <c r="BV23" s="222"/>
      <c r="BW23" s="222"/>
    </row>
    <row r="24" spans="1:75" ht="24.95" customHeight="1">
      <c r="A24" s="38">
        <v>9</v>
      </c>
      <c r="B24" s="313"/>
      <c r="C24" s="313"/>
      <c r="D24" s="313"/>
      <c r="E24" s="314"/>
      <c r="F24" s="315"/>
      <c r="G24" s="316"/>
      <c r="H24" s="316"/>
      <c r="I24" s="45">
        <f t="shared" si="0"/>
        <v>0</v>
      </c>
      <c r="J24" s="317"/>
      <c r="K24" s="45">
        <f t="shared" si="1"/>
        <v>0</v>
      </c>
      <c r="L24" s="44" t="str">
        <f>IF(AD24="◎",COUNTIF($AD$16:AD24,"◎"),"")</f>
        <v/>
      </c>
      <c r="W24" s="234" t="str">
        <f>IF(B24="既設病床",はじめに入力してください!$K$12,IF(B24="新設病床",はじめに入力してください!$K$13,IF(B24="共通使用",1,"")))</f>
        <v/>
      </c>
      <c r="AC24" s="49" t="s">
        <v>69</v>
      </c>
      <c r="AD24" s="231" t="str">
        <f t="shared" si="2"/>
        <v>○</v>
      </c>
      <c r="AE24" s="35" t="str">
        <f t="shared" si="3"/>
        <v>申請しない場合は入力不要です。</v>
      </c>
      <c r="AF24" s="234" t="str">
        <f t="shared" si="4"/>
        <v>○</v>
      </c>
      <c r="AG24" s="234" t="str">
        <f t="shared" si="5"/>
        <v>○</v>
      </c>
      <c r="AH24" s="234" t="str">
        <f t="shared" si="6"/>
        <v>○</v>
      </c>
      <c r="AI24" s="231" t="str">
        <f t="shared" si="7"/>
        <v>○</v>
      </c>
      <c r="AJ24" s="14" t="str">
        <f t="shared" si="8"/>
        <v/>
      </c>
      <c r="AK24" s="52">
        <v>9</v>
      </c>
    </row>
    <row r="25" spans="1:75" ht="24.95" customHeight="1">
      <c r="A25" s="38">
        <v>10</v>
      </c>
      <c r="B25" s="313"/>
      <c r="C25" s="313"/>
      <c r="D25" s="313"/>
      <c r="E25" s="314"/>
      <c r="F25" s="315"/>
      <c r="G25" s="316"/>
      <c r="H25" s="316"/>
      <c r="I25" s="45">
        <f t="shared" si="0"/>
        <v>0</v>
      </c>
      <c r="J25" s="317"/>
      <c r="K25" s="45">
        <f t="shared" si="1"/>
        <v>0</v>
      </c>
      <c r="L25" s="44" t="str">
        <f>IF(AD25="◎",COUNTIF($AD$16:AD25,"◎"),"")</f>
        <v/>
      </c>
      <c r="W25" s="234" t="str">
        <f>IF(B25="既設病床",はじめに入力してください!$K$12,IF(B25="新設病床",はじめに入力してください!$K$13,IF(B25="共通使用",1,"")))</f>
        <v/>
      </c>
      <c r="AC25" s="49" t="s">
        <v>69</v>
      </c>
      <c r="AD25" s="231" t="str">
        <f t="shared" si="2"/>
        <v>○</v>
      </c>
      <c r="AE25" s="35" t="str">
        <f t="shared" si="3"/>
        <v>申請しない場合は入力不要です。</v>
      </c>
      <c r="AF25" s="234" t="str">
        <f t="shared" si="4"/>
        <v>○</v>
      </c>
      <c r="AG25" s="234" t="str">
        <f t="shared" si="5"/>
        <v>○</v>
      </c>
      <c r="AH25" s="234" t="str">
        <f t="shared" si="6"/>
        <v>○</v>
      </c>
      <c r="AI25" s="231" t="str">
        <f t="shared" si="7"/>
        <v>○</v>
      </c>
      <c r="AJ25" s="14" t="str">
        <f t="shared" si="8"/>
        <v/>
      </c>
      <c r="AK25" s="52">
        <v>10</v>
      </c>
    </row>
    <row r="26" spans="1:75" ht="24.95" customHeight="1">
      <c r="A26" s="38">
        <v>11</v>
      </c>
      <c r="B26" s="313"/>
      <c r="C26" s="313"/>
      <c r="D26" s="313"/>
      <c r="E26" s="314"/>
      <c r="F26" s="315"/>
      <c r="G26" s="316"/>
      <c r="H26" s="316"/>
      <c r="I26" s="45">
        <f t="shared" si="0"/>
        <v>0</v>
      </c>
      <c r="J26" s="317"/>
      <c r="K26" s="45">
        <f t="shared" si="1"/>
        <v>0</v>
      </c>
      <c r="L26" s="44" t="str">
        <f>IF(AD26="◎",COUNTIF($AD$16:AD26,"◎"),"")</f>
        <v/>
      </c>
      <c r="W26" s="234" t="str">
        <f>IF(B26="既設病床",はじめに入力してください!$K$12,IF(B26="新設病床",はじめに入力してください!$K$13,IF(B26="共通使用",1,"")))</f>
        <v/>
      </c>
      <c r="AC26" s="49" t="s">
        <v>69</v>
      </c>
      <c r="AD26" s="231" t="str">
        <f t="shared" si="2"/>
        <v>○</v>
      </c>
      <c r="AE26" s="35" t="str">
        <f t="shared" si="3"/>
        <v>申請しない場合は入力不要です。</v>
      </c>
      <c r="AF26" s="234" t="str">
        <f t="shared" si="4"/>
        <v>○</v>
      </c>
      <c r="AG26" s="234" t="str">
        <f t="shared" si="5"/>
        <v>○</v>
      </c>
      <c r="AH26" s="234" t="str">
        <f t="shared" si="6"/>
        <v>○</v>
      </c>
      <c r="AI26" s="231" t="str">
        <f t="shared" si="7"/>
        <v>○</v>
      </c>
      <c r="AJ26" s="14" t="str">
        <f t="shared" si="8"/>
        <v/>
      </c>
      <c r="AK26" s="52">
        <v>11</v>
      </c>
    </row>
    <row r="27" spans="1:75" ht="24.95" customHeight="1">
      <c r="A27" s="38">
        <v>12</v>
      </c>
      <c r="B27" s="313"/>
      <c r="C27" s="313"/>
      <c r="D27" s="313"/>
      <c r="E27" s="314"/>
      <c r="F27" s="315"/>
      <c r="G27" s="316"/>
      <c r="H27" s="316"/>
      <c r="I27" s="45">
        <f t="shared" si="0"/>
        <v>0</v>
      </c>
      <c r="J27" s="317"/>
      <c r="K27" s="45">
        <f t="shared" si="1"/>
        <v>0</v>
      </c>
      <c r="L27" s="44" t="str">
        <f>IF(AD27="◎",COUNTIF($AD$16:AD27,"◎"),"")</f>
        <v/>
      </c>
      <c r="W27" s="234" t="str">
        <f>IF(B27="既設病床",はじめに入力してください!$K$12,IF(B27="新設病床",はじめに入力してください!$K$13,IF(B27="共通使用",1,"")))</f>
        <v/>
      </c>
      <c r="AC27" s="49" t="s">
        <v>69</v>
      </c>
      <c r="AD27" s="231" t="str">
        <f t="shared" si="2"/>
        <v>○</v>
      </c>
      <c r="AE27" s="35" t="str">
        <f t="shared" si="3"/>
        <v>申請しない場合は入力不要です。</v>
      </c>
      <c r="AF27" s="234" t="str">
        <f t="shared" si="4"/>
        <v>○</v>
      </c>
      <c r="AG27" s="234" t="str">
        <f t="shared" si="5"/>
        <v>○</v>
      </c>
      <c r="AH27" s="234" t="str">
        <f t="shared" si="6"/>
        <v>○</v>
      </c>
      <c r="AI27" s="231" t="str">
        <f t="shared" si="7"/>
        <v>○</v>
      </c>
      <c r="AJ27" s="14" t="str">
        <f t="shared" si="8"/>
        <v/>
      </c>
      <c r="AK27" s="52">
        <v>12</v>
      </c>
    </row>
    <row r="28" spans="1:75" ht="24.95" customHeight="1">
      <c r="A28" s="38">
        <v>13</v>
      </c>
      <c r="B28" s="313"/>
      <c r="C28" s="313"/>
      <c r="D28" s="313"/>
      <c r="E28" s="314"/>
      <c r="F28" s="315"/>
      <c r="G28" s="316"/>
      <c r="H28" s="316"/>
      <c r="I28" s="45">
        <f t="shared" si="0"/>
        <v>0</v>
      </c>
      <c r="J28" s="317"/>
      <c r="K28" s="45">
        <f t="shared" si="1"/>
        <v>0</v>
      </c>
      <c r="L28" s="44" t="str">
        <f>IF(AD28="◎",COUNTIF($AD$16:AD28,"◎"),"")</f>
        <v/>
      </c>
      <c r="W28" s="234" t="str">
        <f>IF(B28="既設病床",はじめに入力してください!$K$12,IF(B28="新設病床",はじめに入力してください!$K$13,IF(B28="共通使用",1,"")))</f>
        <v/>
      </c>
      <c r="AC28" s="49" t="s">
        <v>69</v>
      </c>
      <c r="AD28" s="231" t="str">
        <f t="shared" si="2"/>
        <v>○</v>
      </c>
      <c r="AE28" s="35" t="str">
        <f t="shared" si="3"/>
        <v>申請しない場合は入力不要です。</v>
      </c>
      <c r="AF28" s="234" t="str">
        <f t="shared" si="4"/>
        <v>○</v>
      </c>
      <c r="AG28" s="234" t="str">
        <f t="shared" si="5"/>
        <v>○</v>
      </c>
      <c r="AH28" s="234" t="str">
        <f t="shared" si="6"/>
        <v>○</v>
      </c>
      <c r="AI28" s="231" t="str">
        <f t="shared" si="7"/>
        <v>○</v>
      </c>
      <c r="AJ28" s="14" t="str">
        <f t="shared" si="8"/>
        <v/>
      </c>
      <c r="AK28" s="52">
        <v>13</v>
      </c>
    </row>
    <row r="29" spans="1:75" ht="24.95" customHeight="1">
      <c r="A29" s="38">
        <v>14</v>
      </c>
      <c r="B29" s="313"/>
      <c r="C29" s="313"/>
      <c r="D29" s="313"/>
      <c r="E29" s="314"/>
      <c r="F29" s="315"/>
      <c r="G29" s="316"/>
      <c r="H29" s="316"/>
      <c r="I29" s="45">
        <f t="shared" si="0"/>
        <v>0</v>
      </c>
      <c r="J29" s="317"/>
      <c r="K29" s="45">
        <f t="shared" si="1"/>
        <v>0</v>
      </c>
      <c r="L29" s="44" t="str">
        <f>IF(AD29="◎",COUNTIF($AD$16:AD29,"◎"),"")</f>
        <v/>
      </c>
      <c r="W29" s="234" t="str">
        <f>IF(B29="既設病床",はじめに入力してください!$K$12,IF(B29="新設病床",はじめに入力してください!$K$13,IF(B29="共通使用",1,"")))</f>
        <v/>
      </c>
      <c r="AC29" s="49" t="s">
        <v>69</v>
      </c>
      <c r="AD29" s="231" t="str">
        <f t="shared" si="2"/>
        <v>○</v>
      </c>
      <c r="AE29" s="35" t="str">
        <f t="shared" si="3"/>
        <v>申請しない場合は入力不要です。</v>
      </c>
      <c r="AF29" s="234" t="str">
        <f t="shared" si="4"/>
        <v>○</v>
      </c>
      <c r="AG29" s="234" t="str">
        <f t="shared" si="5"/>
        <v>○</v>
      </c>
      <c r="AH29" s="234" t="str">
        <f t="shared" si="6"/>
        <v>○</v>
      </c>
      <c r="AI29" s="231" t="str">
        <f t="shared" si="7"/>
        <v>○</v>
      </c>
      <c r="AJ29" s="14" t="str">
        <f t="shared" si="8"/>
        <v/>
      </c>
      <c r="AK29" s="52">
        <v>14</v>
      </c>
    </row>
    <row r="30" spans="1:75" ht="24.95" customHeight="1">
      <c r="A30" s="38">
        <v>15</v>
      </c>
      <c r="B30" s="313"/>
      <c r="C30" s="313"/>
      <c r="D30" s="313"/>
      <c r="E30" s="314"/>
      <c r="F30" s="315"/>
      <c r="G30" s="316"/>
      <c r="H30" s="316"/>
      <c r="I30" s="45">
        <f t="shared" si="0"/>
        <v>0</v>
      </c>
      <c r="J30" s="317"/>
      <c r="K30" s="45">
        <f t="shared" si="1"/>
        <v>0</v>
      </c>
      <c r="L30" s="44" t="str">
        <f>IF(AD30="◎",COUNTIF($AD$16:AD30,"◎"),"")</f>
        <v/>
      </c>
      <c r="W30" s="234" t="str">
        <f>IF(B30="既設病床",はじめに入力してください!$K$12,IF(B30="新設病床",はじめに入力してください!$K$13,IF(B30="共通使用",1,"")))</f>
        <v/>
      </c>
      <c r="AC30" s="49" t="s">
        <v>69</v>
      </c>
      <c r="AD30" s="231" t="str">
        <f t="shared" si="2"/>
        <v>○</v>
      </c>
      <c r="AE30" s="35" t="str">
        <f t="shared" si="3"/>
        <v>申請しない場合は入力不要です。</v>
      </c>
      <c r="AF30" s="234" t="str">
        <f t="shared" si="4"/>
        <v>○</v>
      </c>
      <c r="AG30" s="234" t="str">
        <f t="shared" si="5"/>
        <v>○</v>
      </c>
      <c r="AH30" s="234" t="str">
        <f t="shared" si="6"/>
        <v>○</v>
      </c>
      <c r="AI30" s="231" t="str">
        <f t="shared" si="7"/>
        <v>○</v>
      </c>
      <c r="AJ30" s="14" t="str">
        <f t="shared" si="8"/>
        <v/>
      </c>
      <c r="AK30" s="52">
        <v>15</v>
      </c>
    </row>
    <row r="31" spans="1:75" ht="24.95" customHeight="1">
      <c r="A31" s="38">
        <v>16</v>
      </c>
      <c r="B31" s="313"/>
      <c r="C31" s="313"/>
      <c r="D31" s="313"/>
      <c r="E31" s="314"/>
      <c r="F31" s="315"/>
      <c r="G31" s="316"/>
      <c r="H31" s="316"/>
      <c r="I31" s="45">
        <f t="shared" si="0"/>
        <v>0</v>
      </c>
      <c r="J31" s="317"/>
      <c r="K31" s="45">
        <f t="shared" si="1"/>
        <v>0</v>
      </c>
      <c r="L31" s="44" t="str">
        <f>IF(AD31="◎",COUNTIF($AD$16:AD31,"◎"),"")</f>
        <v/>
      </c>
      <c r="W31" s="234" t="str">
        <f>IF(B31="既設病床",はじめに入力してください!$K$12,IF(B31="新設病床",はじめに入力してください!$K$13,IF(B31="共通使用",1,"")))</f>
        <v/>
      </c>
      <c r="AC31" s="49" t="s">
        <v>69</v>
      </c>
      <c r="AD31" s="231" t="str">
        <f t="shared" si="2"/>
        <v>○</v>
      </c>
      <c r="AE31" s="35" t="str">
        <f t="shared" si="3"/>
        <v>申請しない場合は入力不要です。</v>
      </c>
      <c r="AF31" s="234" t="str">
        <f t="shared" si="4"/>
        <v>○</v>
      </c>
      <c r="AG31" s="234" t="str">
        <f t="shared" si="5"/>
        <v>○</v>
      </c>
      <c r="AH31" s="234" t="str">
        <f t="shared" si="6"/>
        <v>○</v>
      </c>
      <c r="AI31" s="231" t="str">
        <f t="shared" si="7"/>
        <v>○</v>
      </c>
      <c r="AJ31" s="14" t="str">
        <f t="shared" si="8"/>
        <v/>
      </c>
      <c r="AK31" s="52">
        <v>16</v>
      </c>
    </row>
    <row r="32" spans="1:75" ht="24.95" customHeight="1">
      <c r="A32" s="38">
        <v>17</v>
      </c>
      <c r="B32" s="313"/>
      <c r="C32" s="313"/>
      <c r="D32" s="313"/>
      <c r="E32" s="314"/>
      <c r="F32" s="315"/>
      <c r="G32" s="316"/>
      <c r="H32" s="316"/>
      <c r="I32" s="45">
        <f t="shared" si="0"/>
        <v>0</v>
      </c>
      <c r="J32" s="317"/>
      <c r="K32" s="45">
        <f t="shared" si="1"/>
        <v>0</v>
      </c>
      <c r="L32" s="44" t="str">
        <f>IF(AD32="◎",COUNTIF($AD$16:AD32,"◎"),"")</f>
        <v/>
      </c>
      <c r="W32" s="234" t="str">
        <f>IF(B32="既設病床",はじめに入力してください!$K$12,IF(B32="新設病床",はじめに入力してください!$K$13,IF(B32="共通使用",1,"")))</f>
        <v/>
      </c>
      <c r="AC32" s="49" t="s">
        <v>69</v>
      </c>
      <c r="AD32" s="231" t="str">
        <f t="shared" si="2"/>
        <v>○</v>
      </c>
      <c r="AE32" s="35" t="str">
        <f t="shared" si="3"/>
        <v>申請しない場合は入力不要です。</v>
      </c>
      <c r="AF32" s="234" t="str">
        <f t="shared" si="4"/>
        <v>○</v>
      </c>
      <c r="AG32" s="234" t="str">
        <f t="shared" si="5"/>
        <v>○</v>
      </c>
      <c r="AH32" s="234" t="str">
        <f t="shared" si="6"/>
        <v>○</v>
      </c>
      <c r="AI32" s="231" t="str">
        <f t="shared" si="7"/>
        <v>○</v>
      </c>
      <c r="AJ32" s="14" t="str">
        <f t="shared" si="8"/>
        <v/>
      </c>
      <c r="AK32" s="52">
        <v>17</v>
      </c>
    </row>
    <row r="33" spans="1:37" ht="24.95" customHeight="1">
      <c r="A33" s="38">
        <v>18</v>
      </c>
      <c r="B33" s="313"/>
      <c r="C33" s="313"/>
      <c r="D33" s="313"/>
      <c r="E33" s="314"/>
      <c r="F33" s="315"/>
      <c r="G33" s="316"/>
      <c r="H33" s="316"/>
      <c r="I33" s="45">
        <f t="shared" si="0"/>
        <v>0</v>
      </c>
      <c r="J33" s="317"/>
      <c r="K33" s="45">
        <f t="shared" si="1"/>
        <v>0</v>
      </c>
      <c r="L33" s="44" t="str">
        <f>IF(AD33="◎",COUNTIF($AD$16:AD33,"◎"),"")</f>
        <v/>
      </c>
      <c r="W33" s="234" t="str">
        <f>IF(B33="既設病床",はじめに入力してください!$K$12,IF(B33="新設病床",はじめに入力してください!$K$13,IF(B33="共通使用",1,"")))</f>
        <v/>
      </c>
      <c r="AC33" s="49" t="s">
        <v>69</v>
      </c>
      <c r="AD33" s="231" t="str">
        <f t="shared" si="2"/>
        <v>○</v>
      </c>
      <c r="AE33" s="35" t="str">
        <f t="shared" si="3"/>
        <v>申請しない場合は入力不要です。</v>
      </c>
      <c r="AF33" s="234" t="str">
        <f t="shared" si="4"/>
        <v>○</v>
      </c>
      <c r="AG33" s="234" t="str">
        <f t="shared" si="5"/>
        <v>○</v>
      </c>
      <c r="AH33" s="234" t="str">
        <f t="shared" si="6"/>
        <v>○</v>
      </c>
      <c r="AI33" s="231" t="str">
        <f t="shared" si="7"/>
        <v>○</v>
      </c>
      <c r="AJ33" s="14" t="str">
        <f t="shared" si="8"/>
        <v/>
      </c>
      <c r="AK33" s="52">
        <v>18</v>
      </c>
    </row>
    <row r="34" spans="1:37" ht="24.95" customHeight="1">
      <c r="A34" s="38">
        <v>19</v>
      </c>
      <c r="B34" s="313"/>
      <c r="C34" s="313"/>
      <c r="D34" s="313"/>
      <c r="E34" s="314"/>
      <c r="F34" s="315"/>
      <c r="G34" s="316"/>
      <c r="H34" s="316"/>
      <c r="I34" s="45">
        <f t="shared" si="0"/>
        <v>0</v>
      </c>
      <c r="J34" s="317"/>
      <c r="K34" s="45">
        <f t="shared" si="1"/>
        <v>0</v>
      </c>
      <c r="L34" s="44" t="str">
        <f>IF(AD34="◎",COUNTIF($AD$16:AD34,"◎"),"")</f>
        <v/>
      </c>
      <c r="W34" s="234" t="str">
        <f>IF(B34="既設病床",はじめに入力してください!$K$12,IF(B34="新設病床",はじめに入力してください!$K$13,IF(B34="共通使用",1,"")))</f>
        <v/>
      </c>
      <c r="AC34" s="49" t="s">
        <v>69</v>
      </c>
      <c r="AD34" s="231" t="str">
        <f t="shared" si="2"/>
        <v>○</v>
      </c>
      <c r="AE34" s="35" t="str">
        <f t="shared" si="3"/>
        <v>申請しない場合は入力不要です。</v>
      </c>
      <c r="AF34" s="234" t="str">
        <f t="shared" si="4"/>
        <v>○</v>
      </c>
      <c r="AG34" s="234" t="str">
        <f t="shared" si="5"/>
        <v>○</v>
      </c>
      <c r="AH34" s="234" t="str">
        <f t="shared" si="6"/>
        <v>○</v>
      </c>
      <c r="AI34" s="231" t="str">
        <f t="shared" si="7"/>
        <v>○</v>
      </c>
      <c r="AJ34" s="14" t="str">
        <f t="shared" si="8"/>
        <v/>
      </c>
      <c r="AK34" s="52">
        <v>19</v>
      </c>
    </row>
    <row r="35" spans="1:37" ht="24.95" customHeight="1">
      <c r="A35" s="38">
        <v>20</v>
      </c>
      <c r="B35" s="313"/>
      <c r="C35" s="313"/>
      <c r="D35" s="313"/>
      <c r="E35" s="314"/>
      <c r="F35" s="315"/>
      <c r="G35" s="316"/>
      <c r="H35" s="316"/>
      <c r="I35" s="45">
        <f t="shared" si="0"/>
        <v>0</v>
      </c>
      <c r="J35" s="317"/>
      <c r="K35" s="45">
        <f t="shared" si="1"/>
        <v>0</v>
      </c>
      <c r="L35" s="44" t="str">
        <f>IF(AD35="◎",COUNTIF($AD$16:AD35,"◎"),"")</f>
        <v/>
      </c>
      <c r="W35" s="234" t="str">
        <f>IF(B35="既設病床",はじめに入力してください!$K$12,IF(B35="新設病床",はじめに入力してください!$K$13,IF(B35="共通使用",1,"")))</f>
        <v/>
      </c>
      <c r="AC35" s="49" t="s">
        <v>69</v>
      </c>
      <c r="AD35" s="231" t="str">
        <f t="shared" si="2"/>
        <v>○</v>
      </c>
      <c r="AE35" s="35" t="str">
        <f t="shared" si="3"/>
        <v>申請しない場合は入力不要です。</v>
      </c>
      <c r="AF35" s="234" t="str">
        <f t="shared" si="4"/>
        <v>○</v>
      </c>
      <c r="AG35" s="234" t="str">
        <f t="shared" si="5"/>
        <v>○</v>
      </c>
      <c r="AH35" s="234" t="str">
        <f t="shared" si="6"/>
        <v>○</v>
      </c>
      <c r="AI35" s="231" t="str">
        <f t="shared" si="7"/>
        <v>○</v>
      </c>
      <c r="AJ35" s="14" t="str">
        <f t="shared" si="8"/>
        <v/>
      </c>
      <c r="AK35" s="52">
        <v>20</v>
      </c>
    </row>
    <row r="36" spans="1:37" ht="24.95" customHeight="1">
      <c r="A36" s="38">
        <v>21</v>
      </c>
      <c r="B36" s="313"/>
      <c r="C36" s="313"/>
      <c r="D36" s="313"/>
      <c r="E36" s="314"/>
      <c r="F36" s="315"/>
      <c r="G36" s="316"/>
      <c r="H36" s="316"/>
      <c r="I36" s="45">
        <f t="shared" si="0"/>
        <v>0</v>
      </c>
      <c r="J36" s="317"/>
      <c r="K36" s="45">
        <f t="shared" si="1"/>
        <v>0</v>
      </c>
      <c r="L36" s="44" t="str">
        <f>IF(AD36="◎",COUNTIF($AD$16:AD36,"◎"),"")</f>
        <v/>
      </c>
      <c r="W36" s="234" t="str">
        <f>IF(B36="既設病床",はじめに入力してください!$K$12,IF(B36="新設病床",はじめに入力してください!$K$13,IF(B36="共通使用",1,"")))</f>
        <v/>
      </c>
      <c r="AC36" s="49" t="s">
        <v>69</v>
      </c>
      <c r="AD36" s="231" t="str">
        <f t="shared" si="2"/>
        <v>○</v>
      </c>
      <c r="AE36" s="35" t="str">
        <f t="shared" si="3"/>
        <v>申請しない場合は入力不要です。</v>
      </c>
      <c r="AF36" s="234" t="str">
        <f t="shared" si="4"/>
        <v>○</v>
      </c>
      <c r="AG36" s="234" t="str">
        <f t="shared" si="5"/>
        <v>○</v>
      </c>
      <c r="AH36" s="234" t="str">
        <f t="shared" si="6"/>
        <v>○</v>
      </c>
      <c r="AI36" s="231" t="str">
        <f t="shared" si="7"/>
        <v>○</v>
      </c>
      <c r="AJ36" s="14" t="str">
        <f t="shared" si="8"/>
        <v/>
      </c>
      <c r="AK36" s="52">
        <v>21</v>
      </c>
    </row>
    <row r="37" spans="1:37" ht="24.95" customHeight="1">
      <c r="A37" s="38">
        <v>22</v>
      </c>
      <c r="B37" s="313"/>
      <c r="C37" s="313"/>
      <c r="D37" s="313"/>
      <c r="E37" s="314"/>
      <c r="F37" s="315"/>
      <c r="G37" s="316"/>
      <c r="H37" s="316"/>
      <c r="I37" s="45">
        <f t="shared" si="0"/>
        <v>0</v>
      </c>
      <c r="J37" s="317"/>
      <c r="K37" s="45">
        <f t="shared" si="1"/>
        <v>0</v>
      </c>
      <c r="L37" s="44" t="str">
        <f>IF(AD37="◎",COUNTIF($AD$16:AD37,"◎"),"")</f>
        <v/>
      </c>
      <c r="W37" s="234" t="str">
        <f>IF(B37="既設病床",はじめに入力してください!$K$12,IF(B37="新設病床",はじめに入力してください!$K$13,IF(B37="共通使用",1,"")))</f>
        <v/>
      </c>
      <c r="AC37" s="49" t="s">
        <v>69</v>
      </c>
      <c r="AD37" s="231" t="str">
        <f t="shared" si="2"/>
        <v>○</v>
      </c>
      <c r="AE37" s="35" t="str">
        <f t="shared" si="3"/>
        <v>申請しない場合は入力不要です。</v>
      </c>
      <c r="AF37" s="234" t="str">
        <f t="shared" si="4"/>
        <v>○</v>
      </c>
      <c r="AG37" s="234" t="str">
        <f t="shared" si="5"/>
        <v>○</v>
      </c>
      <c r="AH37" s="234" t="str">
        <f t="shared" si="6"/>
        <v>○</v>
      </c>
      <c r="AI37" s="231" t="str">
        <f t="shared" si="7"/>
        <v>○</v>
      </c>
      <c r="AJ37" s="14" t="str">
        <f t="shared" si="8"/>
        <v/>
      </c>
      <c r="AK37" s="52">
        <v>22</v>
      </c>
    </row>
    <row r="38" spans="1:37" ht="24.95" customHeight="1">
      <c r="A38" s="38">
        <v>23</v>
      </c>
      <c r="B38" s="313"/>
      <c r="C38" s="313"/>
      <c r="D38" s="313"/>
      <c r="E38" s="314"/>
      <c r="F38" s="315"/>
      <c r="G38" s="316"/>
      <c r="H38" s="316"/>
      <c r="I38" s="45">
        <f t="shared" si="0"/>
        <v>0</v>
      </c>
      <c r="J38" s="317"/>
      <c r="K38" s="45">
        <f t="shared" si="1"/>
        <v>0</v>
      </c>
      <c r="L38" s="44" t="str">
        <f>IF(AD38="◎",COUNTIF($AD$16:AD38,"◎"),"")</f>
        <v/>
      </c>
      <c r="W38" s="234" t="str">
        <f>IF(B38="既設病床",はじめに入力してください!$K$12,IF(B38="新設病床",はじめに入力してください!$K$13,IF(B38="共通使用",1,"")))</f>
        <v/>
      </c>
      <c r="AC38" s="49" t="s">
        <v>69</v>
      </c>
      <c r="AD38" s="231" t="str">
        <f t="shared" si="2"/>
        <v>○</v>
      </c>
      <c r="AE38" s="35" t="str">
        <f t="shared" si="3"/>
        <v>申請しない場合は入力不要です。</v>
      </c>
      <c r="AF38" s="234" t="str">
        <f t="shared" si="4"/>
        <v>○</v>
      </c>
      <c r="AG38" s="234" t="str">
        <f t="shared" si="5"/>
        <v>○</v>
      </c>
      <c r="AH38" s="234" t="str">
        <f t="shared" si="6"/>
        <v>○</v>
      </c>
      <c r="AI38" s="231" t="str">
        <f t="shared" si="7"/>
        <v>○</v>
      </c>
      <c r="AJ38" s="14" t="str">
        <f t="shared" si="8"/>
        <v/>
      </c>
      <c r="AK38" s="52">
        <v>23</v>
      </c>
    </row>
    <row r="39" spans="1:37" ht="24.95" customHeight="1">
      <c r="A39" s="38">
        <v>24</v>
      </c>
      <c r="B39" s="313"/>
      <c r="C39" s="313"/>
      <c r="D39" s="313"/>
      <c r="E39" s="314"/>
      <c r="F39" s="315"/>
      <c r="G39" s="316"/>
      <c r="H39" s="316"/>
      <c r="I39" s="45">
        <f t="shared" si="0"/>
        <v>0</v>
      </c>
      <c r="J39" s="317"/>
      <c r="K39" s="45">
        <f t="shared" si="1"/>
        <v>0</v>
      </c>
      <c r="L39" s="44" t="str">
        <f>IF(AD39="◎",COUNTIF($AD$16:AD39,"◎"),"")</f>
        <v/>
      </c>
      <c r="W39" s="234" t="str">
        <f>IF(B39="既設病床",はじめに入力してください!$K$12,IF(B39="新設病床",はじめに入力してください!$K$13,IF(B39="共通使用",1,"")))</f>
        <v/>
      </c>
      <c r="AC39" s="49" t="s">
        <v>69</v>
      </c>
      <c r="AD39" s="231" t="str">
        <f t="shared" si="2"/>
        <v>○</v>
      </c>
      <c r="AE39" s="35" t="str">
        <f t="shared" si="3"/>
        <v>申請しない場合は入力不要です。</v>
      </c>
      <c r="AF39" s="234" t="str">
        <f t="shared" si="4"/>
        <v>○</v>
      </c>
      <c r="AG39" s="234" t="str">
        <f t="shared" si="5"/>
        <v>○</v>
      </c>
      <c r="AH39" s="234" t="str">
        <f t="shared" si="6"/>
        <v>○</v>
      </c>
      <c r="AI39" s="231" t="str">
        <f t="shared" si="7"/>
        <v>○</v>
      </c>
      <c r="AJ39" s="14" t="str">
        <f t="shared" si="8"/>
        <v/>
      </c>
      <c r="AK39" s="52">
        <v>24</v>
      </c>
    </row>
    <row r="40" spans="1:37" ht="24.95" customHeight="1">
      <c r="A40" s="38">
        <v>25</v>
      </c>
      <c r="B40" s="313"/>
      <c r="C40" s="313"/>
      <c r="D40" s="313"/>
      <c r="E40" s="314"/>
      <c r="F40" s="315"/>
      <c r="G40" s="316"/>
      <c r="H40" s="316"/>
      <c r="I40" s="45">
        <f t="shared" si="0"/>
        <v>0</v>
      </c>
      <c r="J40" s="317"/>
      <c r="K40" s="45">
        <f t="shared" si="1"/>
        <v>0</v>
      </c>
      <c r="L40" s="44" t="str">
        <f>IF(AD40="◎",COUNTIF($AD$16:AD40,"◎"),"")</f>
        <v/>
      </c>
      <c r="W40" s="234" t="str">
        <f>IF(B40="既設病床",はじめに入力してください!$K$12,IF(B40="新設病床",はじめに入力してください!$K$13,IF(B40="共通使用",1,"")))</f>
        <v/>
      </c>
      <c r="AC40" s="49" t="s">
        <v>69</v>
      </c>
      <c r="AD40" s="231" t="str">
        <f t="shared" si="2"/>
        <v>○</v>
      </c>
      <c r="AE40" s="35" t="str">
        <f t="shared" si="3"/>
        <v>申請しない場合は入力不要です。</v>
      </c>
      <c r="AF40" s="234" t="str">
        <f t="shared" si="4"/>
        <v>○</v>
      </c>
      <c r="AG40" s="234" t="str">
        <f t="shared" si="5"/>
        <v>○</v>
      </c>
      <c r="AH40" s="234" t="str">
        <f t="shared" si="6"/>
        <v>○</v>
      </c>
      <c r="AI40" s="231" t="str">
        <f t="shared" si="7"/>
        <v>○</v>
      </c>
      <c r="AJ40" s="14" t="str">
        <f t="shared" si="8"/>
        <v/>
      </c>
      <c r="AK40" s="52">
        <v>25</v>
      </c>
    </row>
    <row r="41" spans="1:37" ht="24.95" customHeight="1">
      <c r="A41" s="38">
        <v>26</v>
      </c>
      <c r="B41" s="313"/>
      <c r="C41" s="313"/>
      <c r="D41" s="313"/>
      <c r="E41" s="314"/>
      <c r="F41" s="315"/>
      <c r="G41" s="316"/>
      <c r="H41" s="316"/>
      <c r="I41" s="45">
        <f t="shared" si="0"/>
        <v>0</v>
      </c>
      <c r="J41" s="317"/>
      <c r="K41" s="45">
        <f t="shared" si="1"/>
        <v>0</v>
      </c>
      <c r="L41" s="44" t="str">
        <f>IF(AD41="◎",COUNTIF($AD$16:AD41,"◎"),"")</f>
        <v/>
      </c>
      <c r="W41" s="234" t="str">
        <f>IF(B41="既設病床",はじめに入力してください!$K$12,IF(B41="新設病床",はじめに入力してください!$K$13,IF(B41="共通使用",1,"")))</f>
        <v/>
      </c>
      <c r="AC41" s="49" t="s">
        <v>69</v>
      </c>
      <c r="AD41" s="231" t="str">
        <f t="shared" si="2"/>
        <v>○</v>
      </c>
      <c r="AE41" s="35" t="str">
        <f t="shared" si="3"/>
        <v>申請しない場合は入力不要です。</v>
      </c>
      <c r="AF41" s="234" t="str">
        <f t="shared" si="4"/>
        <v>○</v>
      </c>
      <c r="AG41" s="234" t="str">
        <f t="shared" si="5"/>
        <v>○</v>
      </c>
      <c r="AH41" s="234" t="str">
        <f t="shared" si="6"/>
        <v>○</v>
      </c>
      <c r="AI41" s="231" t="str">
        <f t="shared" si="7"/>
        <v>○</v>
      </c>
      <c r="AJ41" s="14" t="str">
        <f t="shared" si="8"/>
        <v/>
      </c>
      <c r="AK41" s="52">
        <v>26</v>
      </c>
    </row>
    <row r="42" spans="1:37" ht="24.95" customHeight="1">
      <c r="A42" s="38">
        <v>27</v>
      </c>
      <c r="B42" s="313"/>
      <c r="C42" s="313"/>
      <c r="D42" s="313"/>
      <c r="E42" s="314"/>
      <c r="F42" s="315"/>
      <c r="G42" s="316"/>
      <c r="H42" s="316"/>
      <c r="I42" s="45">
        <f t="shared" si="0"/>
        <v>0</v>
      </c>
      <c r="J42" s="317"/>
      <c r="K42" s="45">
        <f t="shared" si="1"/>
        <v>0</v>
      </c>
      <c r="L42" s="44" t="str">
        <f>IF(AD42="◎",COUNTIF($AD$16:AD42,"◎"),"")</f>
        <v/>
      </c>
      <c r="W42" s="234" t="str">
        <f>IF(B42="既設病床",はじめに入力してください!$K$12,IF(B42="新設病床",はじめに入力してください!$K$13,IF(B42="共通使用",1,"")))</f>
        <v/>
      </c>
      <c r="AC42" s="49" t="s">
        <v>69</v>
      </c>
      <c r="AD42" s="231" t="str">
        <f t="shared" si="2"/>
        <v>○</v>
      </c>
      <c r="AE42" s="35" t="str">
        <f t="shared" si="3"/>
        <v>申請しない場合は入力不要です。</v>
      </c>
      <c r="AF42" s="234" t="str">
        <f t="shared" si="4"/>
        <v>○</v>
      </c>
      <c r="AG42" s="234" t="str">
        <f t="shared" si="5"/>
        <v>○</v>
      </c>
      <c r="AH42" s="234" t="str">
        <f t="shared" si="6"/>
        <v>○</v>
      </c>
      <c r="AI42" s="231" t="str">
        <f t="shared" si="7"/>
        <v>○</v>
      </c>
      <c r="AJ42" s="14" t="str">
        <f t="shared" si="8"/>
        <v/>
      </c>
      <c r="AK42" s="52">
        <v>27</v>
      </c>
    </row>
    <row r="43" spans="1:37" ht="24.95" customHeight="1">
      <c r="A43" s="38">
        <v>28</v>
      </c>
      <c r="B43" s="313"/>
      <c r="C43" s="313"/>
      <c r="D43" s="313"/>
      <c r="E43" s="314"/>
      <c r="F43" s="315"/>
      <c r="G43" s="316"/>
      <c r="H43" s="316"/>
      <c r="I43" s="45">
        <f t="shared" si="0"/>
        <v>0</v>
      </c>
      <c r="J43" s="317"/>
      <c r="K43" s="45">
        <f t="shared" si="1"/>
        <v>0</v>
      </c>
      <c r="L43" s="44" t="str">
        <f>IF(AD43="◎",COUNTIF($AD$16:AD43,"◎"),"")</f>
        <v/>
      </c>
      <c r="W43" s="234" t="str">
        <f>IF(B43="既設病床",はじめに入力してください!$K$12,IF(B43="新設病床",はじめに入力してください!$K$13,IF(B43="共通使用",1,"")))</f>
        <v/>
      </c>
      <c r="AC43" s="49" t="s">
        <v>69</v>
      </c>
      <c r="AD43" s="231" t="str">
        <f t="shared" si="2"/>
        <v>○</v>
      </c>
      <c r="AE43" s="35" t="str">
        <f t="shared" si="3"/>
        <v>申請しない場合は入力不要です。</v>
      </c>
      <c r="AF43" s="234" t="str">
        <f t="shared" si="4"/>
        <v>○</v>
      </c>
      <c r="AG43" s="234" t="str">
        <f t="shared" si="5"/>
        <v>○</v>
      </c>
      <c r="AH43" s="234" t="str">
        <f t="shared" si="6"/>
        <v>○</v>
      </c>
      <c r="AI43" s="231" t="str">
        <f t="shared" si="7"/>
        <v>○</v>
      </c>
      <c r="AJ43" s="14" t="str">
        <f t="shared" si="8"/>
        <v/>
      </c>
      <c r="AK43" s="52">
        <v>28</v>
      </c>
    </row>
    <row r="44" spans="1:37" ht="24.95" customHeight="1">
      <c r="A44" s="38">
        <v>29</v>
      </c>
      <c r="B44" s="313"/>
      <c r="C44" s="313"/>
      <c r="D44" s="313"/>
      <c r="E44" s="314"/>
      <c r="F44" s="315"/>
      <c r="G44" s="316"/>
      <c r="H44" s="316"/>
      <c r="I44" s="45">
        <f t="shared" si="0"/>
        <v>0</v>
      </c>
      <c r="J44" s="317"/>
      <c r="K44" s="45">
        <f t="shared" si="1"/>
        <v>0</v>
      </c>
      <c r="L44" s="44" t="str">
        <f>IF(AD44="◎",COUNTIF($AD$16:AD44,"◎"),"")</f>
        <v/>
      </c>
      <c r="W44" s="234" t="str">
        <f>IF(B44="既設病床",はじめに入力してください!$K$12,IF(B44="新設病床",はじめに入力してください!$K$13,IF(B44="共通使用",1,"")))</f>
        <v/>
      </c>
      <c r="AC44" s="49" t="s">
        <v>69</v>
      </c>
      <c r="AD44" s="231" t="str">
        <f t="shared" si="2"/>
        <v>○</v>
      </c>
      <c r="AE44" s="35" t="str">
        <f t="shared" si="3"/>
        <v>申請しない場合は入力不要です。</v>
      </c>
      <c r="AF44" s="234" t="str">
        <f t="shared" si="4"/>
        <v>○</v>
      </c>
      <c r="AG44" s="234" t="str">
        <f t="shared" si="5"/>
        <v>○</v>
      </c>
      <c r="AH44" s="234" t="str">
        <f t="shared" si="6"/>
        <v>○</v>
      </c>
      <c r="AI44" s="231" t="str">
        <f t="shared" si="7"/>
        <v>○</v>
      </c>
      <c r="AJ44" s="14" t="str">
        <f t="shared" si="8"/>
        <v/>
      </c>
      <c r="AK44" s="52">
        <v>29</v>
      </c>
    </row>
    <row r="45" spans="1:37" ht="24.95" customHeight="1">
      <c r="A45" s="38">
        <v>30</v>
      </c>
      <c r="B45" s="313"/>
      <c r="C45" s="313"/>
      <c r="D45" s="313"/>
      <c r="E45" s="314"/>
      <c r="F45" s="315"/>
      <c r="G45" s="316"/>
      <c r="H45" s="316"/>
      <c r="I45" s="45">
        <f t="shared" si="0"/>
        <v>0</v>
      </c>
      <c r="J45" s="317"/>
      <c r="K45" s="45">
        <f t="shared" si="1"/>
        <v>0</v>
      </c>
      <c r="L45" s="44" t="str">
        <f>IF(AD45="◎",COUNTIF($AD$16:AD45,"◎"),"")</f>
        <v/>
      </c>
      <c r="W45" s="234" t="str">
        <f>IF(B45="既設病床",はじめに入力してください!$K$12,IF(B45="新設病床",はじめに入力してください!$K$13,IF(B45="共通使用",1,"")))</f>
        <v/>
      </c>
      <c r="AC45" s="49" t="s">
        <v>69</v>
      </c>
      <c r="AD45" s="231" t="str">
        <f t="shared" si="2"/>
        <v>○</v>
      </c>
      <c r="AE45" s="35" t="str">
        <f t="shared" si="3"/>
        <v>申請しない場合は入力不要です。</v>
      </c>
      <c r="AF45" s="234" t="str">
        <f t="shared" si="4"/>
        <v>○</v>
      </c>
      <c r="AG45" s="234" t="str">
        <f t="shared" si="5"/>
        <v>○</v>
      </c>
      <c r="AH45" s="234" t="str">
        <f t="shared" si="6"/>
        <v>○</v>
      </c>
      <c r="AI45" s="231" t="str">
        <f t="shared" si="7"/>
        <v>○</v>
      </c>
      <c r="AJ45" s="14" t="str">
        <f t="shared" si="8"/>
        <v/>
      </c>
      <c r="AK45" s="52">
        <v>30</v>
      </c>
    </row>
    <row r="46" spans="1:37" ht="24.95" customHeight="1">
      <c r="A46" s="38">
        <v>31</v>
      </c>
      <c r="B46" s="313"/>
      <c r="C46" s="313"/>
      <c r="D46" s="313"/>
      <c r="E46" s="314"/>
      <c r="F46" s="315"/>
      <c r="G46" s="316"/>
      <c r="H46" s="316"/>
      <c r="I46" s="45">
        <f t="shared" si="0"/>
        <v>0</v>
      </c>
      <c r="J46" s="317"/>
      <c r="K46" s="45">
        <f t="shared" si="1"/>
        <v>0</v>
      </c>
      <c r="L46" s="44" t="str">
        <f>IF(AD46="◎",COUNTIF($AD$16:AD46,"◎"),"")</f>
        <v/>
      </c>
      <c r="W46" s="234" t="str">
        <f>IF(B46="既設病床",はじめに入力してください!$K$12,IF(B46="新設病床",はじめに入力してください!$K$13,IF(B46="共通使用",1,"")))</f>
        <v/>
      </c>
      <c r="AC46" s="49" t="s">
        <v>69</v>
      </c>
      <c r="AD46" s="231" t="str">
        <f t="shared" si="2"/>
        <v>○</v>
      </c>
      <c r="AE46" s="35" t="str">
        <f t="shared" si="3"/>
        <v>申請しない場合は入力不要です。</v>
      </c>
      <c r="AF46" s="234" t="str">
        <f t="shared" si="4"/>
        <v>○</v>
      </c>
      <c r="AG46" s="234" t="str">
        <f t="shared" si="5"/>
        <v>○</v>
      </c>
      <c r="AH46" s="234" t="str">
        <f t="shared" si="6"/>
        <v>○</v>
      </c>
      <c r="AI46" s="231" t="str">
        <f t="shared" si="7"/>
        <v>○</v>
      </c>
      <c r="AJ46" s="14" t="str">
        <f t="shared" si="8"/>
        <v/>
      </c>
      <c r="AK46" s="52">
        <v>31</v>
      </c>
    </row>
    <row r="47" spans="1:37" ht="24.95" customHeight="1">
      <c r="A47" s="38">
        <v>32</v>
      </c>
      <c r="B47" s="313"/>
      <c r="C47" s="313"/>
      <c r="D47" s="313"/>
      <c r="E47" s="314"/>
      <c r="F47" s="315"/>
      <c r="G47" s="316"/>
      <c r="H47" s="316"/>
      <c r="I47" s="45">
        <f t="shared" si="0"/>
        <v>0</v>
      </c>
      <c r="J47" s="317"/>
      <c r="K47" s="45">
        <f t="shared" si="1"/>
        <v>0</v>
      </c>
      <c r="L47" s="44" t="str">
        <f>IF(AD47="◎",COUNTIF($AD$16:AD47,"◎"),"")</f>
        <v/>
      </c>
      <c r="W47" s="234" t="str">
        <f>IF(B47="既設病床",はじめに入力してください!$K$12,IF(B47="新設病床",はじめに入力してください!$K$13,IF(B47="共通使用",1,"")))</f>
        <v/>
      </c>
      <c r="AC47" s="49" t="s">
        <v>69</v>
      </c>
      <c r="AD47" s="231" t="str">
        <f t="shared" si="2"/>
        <v>○</v>
      </c>
      <c r="AE47" s="35" t="str">
        <f t="shared" si="3"/>
        <v>申請しない場合は入力不要です。</v>
      </c>
      <c r="AF47" s="234" t="str">
        <f t="shared" si="4"/>
        <v>○</v>
      </c>
      <c r="AG47" s="234" t="str">
        <f t="shared" si="5"/>
        <v>○</v>
      </c>
      <c r="AH47" s="234" t="str">
        <f t="shared" si="6"/>
        <v>○</v>
      </c>
      <c r="AI47" s="231" t="str">
        <f t="shared" si="7"/>
        <v>○</v>
      </c>
      <c r="AJ47" s="14" t="str">
        <f t="shared" si="8"/>
        <v/>
      </c>
      <c r="AK47" s="52">
        <v>32</v>
      </c>
    </row>
    <row r="48" spans="1:37" ht="24.95" customHeight="1">
      <c r="A48" s="38">
        <v>33</v>
      </c>
      <c r="B48" s="313"/>
      <c r="C48" s="313"/>
      <c r="D48" s="313"/>
      <c r="E48" s="314"/>
      <c r="F48" s="315"/>
      <c r="G48" s="316"/>
      <c r="H48" s="316"/>
      <c r="I48" s="45">
        <f t="shared" si="0"/>
        <v>0</v>
      </c>
      <c r="J48" s="317"/>
      <c r="K48" s="45">
        <f t="shared" si="1"/>
        <v>0</v>
      </c>
      <c r="L48" s="44" t="str">
        <f>IF(AD48="◎",COUNTIF($AD$16:AD48,"◎"),"")</f>
        <v/>
      </c>
      <c r="W48" s="234" t="str">
        <f>IF(B48="既設病床",はじめに入力してください!$K$12,IF(B48="新設病床",はじめに入力してください!$K$13,IF(B48="共通使用",1,"")))</f>
        <v/>
      </c>
      <c r="AC48" s="49" t="s">
        <v>69</v>
      </c>
      <c r="AD48" s="231" t="str">
        <f t="shared" si="2"/>
        <v>○</v>
      </c>
      <c r="AE48" s="35" t="str">
        <f t="shared" si="3"/>
        <v>申請しない場合は入力不要です。</v>
      </c>
      <c r="AF48" s="234" t="str">
        <f t="shared" si="4"/>
        <v>○</v>
      </c>
      <c r="AG48" s="234" t="str">
        <f t="shared" si="5"/>
        <v>○</v>
      </c>
      <c r="AH48" s="234" t="str">
        <f t="shared" si="6"/>
        <v>○</v>
      </c>
      <c r="AI48" s="231" t="str">
        <f t="shared" si="7"/>
        <v>○</v>
      </c>
      <c r="AJ48" s="14" t="str">
        <f t="shared" si="8"/>
        <v/>
      </c>
      <c r="AK48" s="52">
        <v>33</v>
      </c>
    </row>
    <row r="49" spans="1:37" ht="24.95" customHeight="1">
      <c r="A49" s="38">
        <v>34</v>
      </c>
      <c r="B49" s="313"/>
      <c r="C49" s="313"/>
      <c r="D49" s="313"/>
      <c r="E49" s="314"/>
      <c r="F49" s="315"/>
      <c r="G49" s="316"/>
      <c r="H49" s="316"/>
      <c r="I49" s="45">
        <f t="shared" si="0"/>
        <v>0</v>
      </c>
      <c r="J49" s="317"/>
      <c r="K49" s="45">
        <f t="shared" si="1"/>
        <v>0</v>
      </c>
      <c r="L49" s="44" t="str">
        <f>IF(AD49="◎",COUNTIF($AD$16:AD49,"◎"),"")</f>
        <v/>
      </c>
      <c r="W49" s="234" t="str">
        <f>IF(B49="既設病床",はじめに入力してください!$K$12,IF(B49="新設病床",はじめに入力してください!$K$13,IF(B49="共通使用",1,"")))</f>
        <v/>
      </c>
      <c r="AC49" s="49" t="s">
        <v>69</v>
      </c>
      <c r="AD49" s="231" t="str">
        <f t="shared" si="2"/>
        <v>○</v>
      </c>
      <c r="AE49" s="35" t="str">
        <f t="shared" si="3"/>
        <v>申請しない場合は入力不要です。</v>
      </c>
      <c r="AF49" s="234" t="str">
        <f t="shared" si="4"/>
        <v>○</v>
      </c>
      <c r="AG49" s="234" t="str">
        <f t="shared" si="5"/>
        <v>○</v>
      </c>
      <c r="AH49" s="234" t="str">
        <f t="shared" si="6"/>
        <v>○</v>
      </c>
      <c r="AI49" s="231" t="str">
        <f t="shared" si="7"/>
        <v>○</v>
      </c>
      <c r="AJ49" s="14" t="str">
        <f t="shared" si="8"/>
        <v/>
      </c>
      <c r="AK49" s="52">
        <v>34</v>
      </c>
    </row>
    <row r="50" spans="1:37" ht="24.95" customHeight="1">
      <c r="A50" s="38">
        <v>35</v>
      </c>
      <c r="B50" s="313"/>
      <c r="C50" s="313"/>
      <c r="D50" s="313"/>
      <c r="E50" s="314"/>
      <c r="F50" s="315"/>
      <c r="G50" s="316"/>
      <c r="H50" s="316"/>
      <c r="I50" s="45">
        <f t="shared" si="0"/>
        <v>0</v>
      </c>
      <c r="J50" s="317"/>
      <c r="K50" s="45">
        <f t="shared" si="1"/>
        <v>0</v>
      </c>
      <c r="L50" s="44" t="str">
        <f>IF(AD50="◎",COUNTIF($AD$16:AD50,"◎"),"")</f>
        <v/>
      </c>
      <c r="W50" s="234" t="str">
        <f>IF(B50="既設病床",はじめに入力してください!$K$12,IF(B50="新設病床",はじめに入力してください!$K$13,IF(B50="共通使用",1,"")))</f>
        <v/>
      </c>
      <c r="AC50" s="49" t="s">
        <v>69</v>
      </c>
      <c r="AD50" s="231" t="str">
        <f t="shared" si="2"/>
        <v>○</v>
      </c>
      <c r="AE50" s="35" t="str">
        <f t="shared" si="3"/>
        <v>申請しない場合は入力不要です。</v>
      </c>
      <c r="AF50" s="234" t="str">
        <f t="shared" si="4"/>
        <v>○</v>
      </c>
      <c r="AG50" s="234" t="str">
        <f t="shared" si="5"/>
        <v>○</v>
      </c>
      <c r="AH50" s="234" t="str">
        <f t="shared" si="6"/>
        <v>○</v>
      </c>
      <c r="AI50" s="231" t="str">
        <f t="shared" si="7"/>
        <v>○</v>
      </c>
      <c r="AJ50" s="14" t="str">
        <f t="shared" si="8"/>
        <v/>
      </c>
      <c r="AK50" s="52">
        <v>35</v>
      </c>
    </row>
    <row r="51" spans="1:37" ht="24.95" customHeight="1">
      <c r="A51" s="38">
        <v>36</v>
      </c>
      <c r="B51" s="313"/>
      <c r="C51" s="313"/>
      <c r="D51" s="313"/>
      <c r="E51" s="314"/>
      <c r="F51" s="315"/>
      <c r="G51" s="316"/>
      <c r="H51" s="316"/>
      <c r="I51" s="45">
        <f t="shared" si="0"/>
        <v>0</v>
      </c>
      <c r="J51" s="317"/>
      <c r="K51" s="45">
        <f t="shared" si="1"/>
        <v>0</v>
      </c>
      <c r="L51" s="44" t="str">
        <f>IF(AD51="◎",COUNTIF($AD$16:AD51,"◎"),"")</f>
        <v/>
      </c>
      <c r="W51" s="234" t="str">
        <f>IF(B51="既設病床",はじめに入力してください!$K$12,IF(B51="新設病床",はじめに入力してください!$K$13,IF(B51="共通使用",1,"")))</f>
        <v/>
      </c>
      <c r="AC51" s="49" t="s">
        <v>69</v>
      </c>
      <c r="AD51" s="231" t="str">
        <f t="shared" si="2"/>
        <v>○</v>
      </c>
      <c r="AE51" s="35" t="str">
        <f t="shared" si="3"/>
        <v>申請しない場合は入力不要です。</v>
      </c>
      <c r="AF51" s="234" t="str">
        <f t="shared" si="4"/>
        <v>○</v>
      </c>
      <c r="AG51" s="234" t="str">
        <f t="shared" si="5"/>
        <v>○</v>
      </c>
      <c r="AH51" s="234" t="str">
        <f t="shared" si="6"/>
        <v>○</v>
      </c>
      <c r="AI51" s="231" t="str">
        <f t="shared" si="7"/>
        <v>○</v>
      </c>
      <c r="AJ51" s="14" t="str">
        <f t="shared" si="8"/>
        <v/>
      </c>
      <c r="AK51" s="52">
        <v>36</v>
      </c>
    </row>
    <row r="52" spans="1:37" ht="24.95" customHeight="1">
      <c r="A52" s="38">
        <v>37</v>
      </c>
      <c r="B52" s="313"/>
      <c r="C52" s="313"/>
      <c r="D52" s="313"/>
      <c r="E52" s="314"/>
      <c r="F52" s="315"/>
      <c r="G52" s="316"/>
      <c r="H52" s="316"/>
      <c r="I52" s="45">
        <f t="shared" si="0"/>
        <v>0</v>
      </c>
      <c r="J52" s="317"/>
      <c r="K52" s="45">
        <f t="shared" si="1"/>
        <v>0</v>
      </c>
      <c r="L52" s="44" t="str">
        <f>IF(AD52="◎",COUNTIF($AD$16:AD52,"◎"),"")</f>
        <v/>
      </c>
      <c r="W52" s="234" t="str">
        <f>IF(B52="既設病床",はじめに入力してください!$K$12,IF(B52="新設病床",はじめに入力してください!$K$13,IF(B52="共通使用",1,"")))</f>
        <v/>
      </c>
      <c r="AC52" s="49" t="s">
        <v>69</v>
      </c>
      <c r="AD52" s="231" t="str">
        <f t="shared" si="2"/>
        <v>○</v>
      </c>
      <c r="AE52" s="35" t="str">
        <f t="shared" si="3"/>
        <v>申請しない場合は入力不要です。</v>
      </c>
      <c r="AF52" s="234" t="str">
        <f t="shared" si="4"/>
        <v>○</v>
      </c>
      <c r="AG52" s="234" t="str">
        <f t="shared" si="5"/>
        <v>○</v>
      </c>
      <c r="AH52" s="234" t="str">
        <f t="shared" si="6"/>
        <v>○</v>
      </c>
      <c r="AI52" s="231" t="str">
        <f t="shared" si="7"/>
        <v>○</v>
      </c>
      <c r="AJ52" s="14" t="str">
        <f t="shared" si="8"/>
        <v/>
      </c>
      <c r="AK52" s="52">
        <v>37</v>
      </c>
    </row>
    <row r="53" spans="1:37" ht="24.95" customHeight="1">
      <c r="A53" s="38">
        <v>38</v>
      </c>
      <c r="B53" s="313"/>
      <c r="C53" s="313"/>
      <c r="D53" s="313"/>
      <c r="E53" s="314"/>
      <c r="F53" s="315"/>
      <c r="G53" s="316"/>
      <c r="H53" s="316"/>
      <c r="I53" s="45">
        <f t="shared" si="0"/>
        <v>0</v>
      </c>
      <c r="J53" s="317"/>
      <c r="K53" s="45">
        <f t="shared" si="1"/>
        <v>0</v>
      </c>
      <c r="L53" s="44" t="str">
        <f>IF(AD53="◎",COUNTIF($AD$16:AD53,"◎"),"")</f>
        <v/>
      </c>
      <c r="W53" s="234" t="str">
        <f>IF(B53="既設病床",はじめに入力してください!$K$12,IF(B53="新設病床",はじめに入力してください!$K$13,IF(B53="共通使用",1,"")))</f>
        <v/>
      </c>
      <c r="AC53" s="49" t="s">
        <v>69</v>
      </c>
      <c r="AD53" s="231" t="str">
        <f t="shared" si="2"/>
        <v>○</v>
      </c>
      <c r="AE53" s="35" t="str">
        <f t="shared" si="3"/>
        <v>申請しない場合は入力不要です。</v>
      </c>
      <c r="AF53" s="234" t="str">
        <f t="shared" si="4"/>
        <v>○</v>
      </c>
      <c r="AG53" s="234" t="str">
        <f t="shared" si="5"/>
        <v>○</v>
      </c>
      <c r="AH53" s="234" t="str">
        <f t="shared" si="6"/>
        <v>○</v>
      </c>
      <c r="AI53" s="231" t="str">
        <f t="shared" si="7"/>
        <v>○</v>
      </c>
      <c r="AJ53" s="14" t="str">
        <f t="shared" si="8"/>
        <v/>
      </c>
      <c r="AK53" s="52">
        <v>38</v>
      </c>
    </row>
    <row r="54" spans="1:37" ht="24.95" customHeight="1">
      <c r="A54" s="38">
        <v>39</v>
      </c>
      <c r="B54" s="313"/>
      <c r="C54" s="313"/>
      <c r="D54" s="313"/>
      <c r="E54" s="314"/>
      <c r="F54" s="315"/>
      <c r="G54" s="316"/>
      <c r="H54" s="316"/>
      <c r="I54" s="45">
        <f t="shared" si="0"/>
        <v>0</v>
      </c>
      <c r="J54" s="317"/>
      <c r="K54" s="45">
        <f t="shared" si="1"/>
        <v>0</v>
      </c>
      <c r="L54" s="44" t="str">
        <f>IF(AD54="◎",COUNTIF($AD$16:AD54,"◎"),"")</f>
        <v/>
      </c>
      <c r="W54" s="234" t="str">
        <f>IF(B54="既設病床",はじめに入力してください!$K$12,IF(B54="新設病床",はじめに入力してください!$K$13,IF(B54="共通使用",1,"")))</f>
        <v/>
      </c>
      <c r="AC54" s="49" t="s">
        <v>69</v>
      </c>
      <c r="AD54" s="231" t="str">
        <f t="shared" si="2"/>
        <v>○</v>
      </c>
      <c r="AE54" s="35" t="str">
        <f t="shared" si="3"/>
        <v>申請しない場合は入力不要です。</v>
      </c>
      <c r="AF54" s="234" t="str">
        <f t="shared" si="4"/>
        <v>○</v>
      </c>
      <c r="AG54" s="234" t="str">
        <f t="shared" si="5"/>
        <v>○</v>
      </c>
      <c r="AH54" s="234" t="str">
        <f t="shared" si="6"/>
        <v>○</v>
      </c>
      <c r="AI54" s="231" t="str">
        <f t="shared" si="7"/>
        <v>○</v>
      </c>
      <c r="AJ54" s="14" t="str">
        <f t="shared" si="8"/>
        <v/>
      </c>
      <c r="AK54" s="52">
        <v>39</v>
      </c>
    </row>
    <row r="55" spans="1:37" ht="24.95" customHeight="1">
      <c r="A55" s="38">
        <v>40</v>
      </c>
      <c r="B55" s="313"/>
      <c r="C55" s="313"/>
      <c r="D55" s="313"/>
      <c r="E55" s="314"/>
      <c r="F55" s="315"/>
      <c r="G55" s="316"/>
      <c r="H55" s="316"/>
      <c r="I55" s="45">
        <f t="shared" si="0"/>
        <v>0</v>
      </c>
      <c r="J55" s="317"/>
      <c r="K55" s="45">
        <f t="shared" si="1"/>
        <v>0</v>
      </c>
      <c r="L55" s="44" t="str">
        <f>IF(AD55="◎",COUNTIF($AD$16:AD55,"◎"),"")</f>
        <v/>
      </c>
      <c r="W55" s="234" t="str">
        <f>IF(B55="既設病床",はじめに入力してください!$K$12,IF(B55="新設病床",はじめに入力してください!$K$13,IF(B55="共通使用",1,"")))</f>
        <v/>
      </c>
      <c r="AC55" s="49" t="s">
        <v>69</v>
      </c>
      <c r="AD55" s="231" t="str">
        <f t="shared" si="2"/>
        <v>○</v>
      </c>
      <c r="AE55" s="35" t="str">
        <f t="shared" si="3"/>
        <v>申請しない場合は入力不要です。</v>
      </c>
      <c r="AF55" s="234" t="str">
        <f t="shared" si="4"/>
        <v>○</v>
      </c>
      <c r="AG55" s="234" t="str">
        <f t="shared" si="5"/>
        <v>○</v>
      </c>
      <c r="AH55" s="234" t="str">
        <f t="shared" si="6"/>
        <v>○</v>
      </c>
      <c r="AI55" s="231" t="str">
        <f t="shared" si="7"/>
        <v>○</v>
      </c>
      <c r="AJ55" s="14" t="str">
        <f t="shared" si="8"/>
        <v/>
      </c>
      <c r="AK55" s="52">
        <v>40</v>
      </c>
    </row>
    <row r="56" spans="1:37" ht="24.95" customHeight="1">
      <c r="A56" s="38">
        <v>41</v>
      </c>
      <c r="B56" s="313"/>
      <c r="C56" s="313"/>
      <c r="D56" s="313"/>
      <c r="E56" s="314"/>
      <c r="F56" s="315"/>
      <c r="G56" s="316"/>
      <c r="H56" s="316"/>
      <c r="I56" s="45">
        <f t="shared" si="0"/>
        <v>0</v>
      </c>
      <c r="J56" s="317"/>
      <c r="K56" s="45">
        <f t="shared" si="1"/>
        <v>0</v>
      </c>
      <c r="L56" s="44" t="str">
        <f>IF(AD56="◎",COUNTIF($AD$16:AD56,"◎"),"")</f>
        <v/>
      </c>
      <c r="W56" s="234" t="str">
        <f>IF(B56="既設病床",はじめに入力してください!$K$12,IF(B56="新設病床",はじめに入力してください!$K$13,IF(B56="共通使用",1,"")))</f>
        <v/>
      </c>
      <c r="AC56" s="49" t="s">
        <v>69</v>
      </c>
      <c r="AD56" s="231" t="str">
        <f t="shared" si="2"/>
        <v>○</v>
      </c>
      <c r="AE56" s="35" t="str">
        <f t="shared" si="3"/>
        <v>申請しない場合は入力不要です。</v>
      </c>
      <c r="AF56" s="234" t="str">
        <f t="shared" si="4"/>
        <v>○</v>
      </c>
      <c r="AG56" s="234" t="str">
        <f t="shared" si="5"/>
        <v>○</v>
      </c>
      <c r="AH56" s="234" t="str">
        <f t="shared" si="6"/>
        <v>○</v>
      </c>
      <c r="AI56" s="231" t="str">
        <f t="shared" si="7"/>
        <v>○</v>
      </c>
      <c r="AJ56" s="14" t="str">
        <f t="shared" si="8"/>
        <v/>
      </c>
      <c r="AK56" s="52">
        <v>41</v>
      </c>
    </row>
    <row r="57" spans="1:37" ht="24.95" customHeight="1">
      <c r="A57" s="38">
        <v>42</v>
      </c>
      <c r="B57" s="313"/>
      <c r="C57" s="313"/>
      <c r="D57" s="313"/>
      <c r="E57" s="314"/>
      <c r="F57" s="315"/>
      <c r="G57" s="316"/>
      <c r="H57" s="316"/>
      <c r="I57" s="45">
        <f t="shared" si="0"/>
        <v>0</v>
      </c>
      <c r="J57" s="317"/>
      <c r="K57" s="45">
        <f t="shared" si="1"/>
        <v>0</v>
      </c>
      <c r="L57" s="44" t="str">
        <f>IF(AD57="◎",COUNTIF($AD$16:AD57,"◎"),"")</f>
        <v/>
      </c>
      <c r="W57" s="234" t="str">
        <f>IF(B57="既設病床",はじめに入力してください!$K$12,IF(B57="新設病床",はじめに入力してください!$K$13,IF(B57="共通使用",1,"")))</f>
        <v/>
      </c>
      <c r="AC57" s="49" t="s">
        <v>69</v>
      </c>
      <c r="AD57" s="231" t="str">
        <f t="shared" si="2"/>
        <v>○</v>
      </c>
      <c r="AE57" s="35" t="str">
        <f t="shared" si="3"/>
        <v>申請しない場合は入力不要です。</v>
      </c>
      <c r="AF57" s="234" t="str">
        <f t="shared" si="4"/>
        <v>○</v>
      </c>
      <c r="AG57" s="234" t="str">
        <f t="shared" si="5"/>
        <v>○</v>
      </c>
      <c r="AH57" s="234" t="str">
        <f t="shared" si="6"/>
        <v>○</v>
      </c>
      <c r="AI57" s="231" t="str">
        <f t="shared" si="7"/>
        <v>○</v>
      </c>
      <c r="AJ57" s="14" t="str">
        <f t="shared" si="8"/>
        <v/>
      </c>
      <c r="AK57" s="52">
        <v>42</v>
      </c>
    </row>
    <row r="58" spans="1:37" ht="24.95" customHeight="1">
      <c r="A58" s="38">
        <v>43</v>
      </c>
      <c r="B58" s="313"/>
      <c r="C58" s="313"/>
      <c r="D58" s="313"/>
      <c r="E58" s="314"/>
      <c r="F58" s="315"/>
      <c r="G58" s="316"/>
      <c r="H58" s="316"/>
      <c r="I58" s="45">
        <f t="shared" si="0"/>
        <v>0</v>
      </c>
      <c r="J58" s="317"/>
      <c r="K58" s="45">
        <f t="shared" si="1"/>
        <v>0</v>
      </c>
      <c r="L58" s="44" t="str">
        <f>IF(AD58="◎",COUNTIF($AD$16:AD58,"◎"),"")</f>
        <v/>
      </c>
      <c r="W58" s="234" t="str">
        <f>IF(B58="既設病床",はじめに入力してください!$K$12,IF(B58="新設病床",はじめに入力してください!$K$13,IF(B58="共通使用",1,"")))</f>
        <v/>
      </c>
      <c r="AC58" s="49" t="s">
        <v>69</v>
      </c>
      <c r="AD58" s="231" t="str">
        <f t="shared" si="2"/>
        <v>○</v>
      </c>
      <c r="AE58" s="35" t="str">
        <f t="shared" si="3"/>
        <v>申請しない場合は入力不要です。</v>
      </c>
      <c r="AF58" s="234" t="str">
        <f t="shared" si="4"/>
        <v>○</v>
      </c>
      <c r="AG58" s="234" t="str">
        <f t="shared" si="5"/>
        <v>○</v>
      </c>
      <c r="AH58" s="234" t="str">
        <f t="shared" si="6"/>
        <v>○</v>
      </c>
      <c r="AI58" s="231" t="str">
        <f t="shared" si="7"/>
        <v>○</v>
      </c>
      <c r="AJ58" s="14" t="str">
        <f t="shared" si="8"/>
        <v/>
      </c>
      <c r="AK58" s="52">
        <v>43</v>
      </c>
    </row>
    <row r="59" spans="1:37" ht="24.95" customHeight="1">
      <c r="A59" s="38">
        <v>44</v>
      </c>
      <c r="B59" s="313"/>
      <c r="C59" s="313"/>
      <c r="D59" s="313"/>
      <c r="E59" s="314"/>
      <c r="F59" s="315"/>
      <c r="G59" s="316"/>
      <c r="H59" s="316"/>
      <c r="I59" s="45">
        <f t="shared" si="0"/>
        <v>0</v>
      </c>
      <c r="J59" s="317"/>
      <c r="K59" s="45">
        <f t="shared" si="1"/>
        <v>0</v>
      </c>
      <c r="L59" s="44" t="str">
        <f>IF(AD59="◎",COUNTIF($AD$16:AD59,"◎"),"")</f>
        <v/>
      </c>
      <c r="W59" s="234" t="str">
        <f>IF(B59="既設病床",はじめに入力してください!$K$12,IF(B59="新設病床",はじめに入力してください!$K$13,IF(B59="共通使用",1,"")))</f>
        <v/>
      </c>
      <c r="AC59" s="49" t="s">
        <v>69</v>
      </c>
      <c r="AD59" s="231" t="str">
        <f t="shared" si="2"/>
        <v>○</v>
      </c>
      <c r="AE59" s="35" t="str">
        <f t="shared" si="3"/>
        <v>申請しない場合は入力不要です。</v>
      </c>
      <c r="AF59" s="234" t="str">
        <f t="shared" si="4"/>
        <v>○</v>
      </c>
      <c r="AG59" s="234" t="str">
        <f t="shared" si="5"/>
        <v>○</v>
      </c>
      <c r="AH59" s="234" t="str">
        <f t="shared" si="6"/>
        <v>○</v>
      </c>
      <c r="AI59" s="231" t="str">
        <f t="shared" si="7"/>
        <v>○</v>
      </c>
      <c r="AJ59" s="14" t="str">
        <f t="shared" si="8"/>
        <v/>
      </c>
      <c r="AK59" s="52">
        <v>44</v>
      </c>
    </row>
    <row r="60" spans="1:37" ht="24.95" customHeight="1">
      <c r="A60" s="38">
        <v>45</v>
      </c>
      <c r="B60" s="313"/>
      <c r="C60" s="313"/>
      <c r="D60" s="313"/>
      <c r="E60" s="314"/>
      <c r="F60" s="315"/>
      <c r="G60" s="316"/>
      <c r="H60" s="316"/>
      <c r="I60" s="45">
        <f t="shared" si="0"/>
        <v>0</v>
      </c>
      <c r="J60" s="317"/>
      <c r="K60" s="45">
        <f t="shared" si="1"/>
        <v>0</v>
      </c>
      <c r="L60" s="44" t="str">
        <f>IF(AD60="◎",COUNTIF($AD$16:AD60,"◎"),"")</f>
        <v/>
      </c>
      <c r="W60" s="234" t="str">
        <f>IF(B60="既設病床",はじめに入力してください!$K$12,IF(B60="新設病床",はじめに入力してください!$K$13,IF(B60="共通使用",1,"")))</f>
        <v/>
      </c>
      <c r="AC60" s="49" t="s">
        <v>69</v>
      </c>
      <c r="AD60" s="231" t="str">
        <f t="shared" si="2"/>
        <v>○</v>
      </c>
      <c r="AE60" s="35" t="str">
        <f t="shared" si="3"/>
        <v>申請しない場合は入力不要です。</v>
      </c>
      <c r="AF60" s="234" t="str">
        <f t="shared" si="4"/>
        <v>○</v>
      </c>
      <c r="AG60" s="234" t="str">
        <f t="shared" si="5"/>
        <v>○</v>
      </c>
      <c r="AH60" s="234" t="str">
        <f t="shared" si="6"/>
        <v>○</v>
      </c>
      <c r="AI60" s="231" t="str">
        <f t="shared" si="7"/>
        <v>○</v>
      </c>
      <c r="AJ60" s="14" t="str">
        <f t="shared" si="8"/>
        <v/>
      </c>
      <c r="AK60" s="52">
        <v>45</v>
      </c>
    </row>
    <row r="61" spans="1:37" ht="24.95" customHeight="1">
      <c r="A61" s="38">
        <v>46</v>
      </c>
      <c r="B61" s="313"/>
      <c r="C61" s="313"/>
      <c r="D61" s="313"/>
      <c r="E61" s="314"/>
      <c r="F61" s="315"/>
      <c r="G61" s="316"/>
      <c r="H61" s="316"/>
      <c r="I61" s="45">
        <f t="shared" si="0"/>
        <v>0</v>
      </c>
      <c r="J61" s="317"/>
      <c r="K61" s="45">
        <f t="shared" si="1"/>
        <v>0</v>
      </c>
      <c r="L61" s="44" t="str">
        <f>IF(AD61="◎",COUNTIF($AD$16:AD61,"◎"),"")</f>
        <v/>
      </c>
      <c r="W61" s="234" t="str">
        <f>IF(B61="既設病床",はじめに入力してください!$K$12,IF(B61="新設病床",はじめに入力してください!$K$13,IF(B61="共通使用",1,"")))</f>
        <v/>
      </c>
      <c r="AC61" s="49" t="s">
        <v>69</v>
      </c>
      <c r="AD61" s="231" t="str">
        <f t="shared" si="2"/>
        <v>○</v>
      </c>
      <c r="AE61" s="35" t="str">
        <f t="shared" si="3"/>
        <v>申請しない場合は入力不要です。</v>
      </c>
      <c r="AF61" s="234" t="str">
        <f t="shared" si="4"/>
        <v>○</v>
      </c>
      <c r="AG61" s="234" t="str">
        <f t="shared" si="5"/>
        <v>○</v>
      </c>
      <c r="AH61" s="234" t="str">
        <f t="shared" si="6"/>
        <v>○</v>
      </c>
      <c r="AI61" s="231" t="str">
        <f t="shared" si="7"/>
        <v>○</v>
      </c>
      <c r="AJ61" s="14" t="str">
        <f t="shared" si="8"/>
        <v/>
      </c>
      <c r="AK61" s="52">
        <v>46</v>
      </c>
    </row>
    <row r="62" spans="1:37" ht="24.95" customHeight="1">
      <c r="A62" s="38">
        <v>47</v>
      </c>
      <c r="B62" s="313"/>
      <c r="C62" s="313"/>
      <c r="D62" s="313"/>
      <c r="E62" s="314"/>
      <c r="F62" s="315"/>
      <c r="G62" s="316"/>
      <c r="H62" s="316"/>
      <c r="I62" s="45">
        <f t="shared" si="0"/>
        <v>0</v>
      </c>
      <c r="J62" s="317"/>
      <c r="K62" s="45">
        <f t="shared" si="1"/>
        <v>0</v>
      </c>
      <c r="L62" s="44" t="str">
        <f>IF(AD62="◎",COUNTIF($AD$16:AD62,"◎"),"")</f>
        <v/>
      </c>
      <c r="W62" s="234" t="str">
        <f>IF(B62="既設病床",はじめに入力してください!$K$12,IF(B62="新設病床",はじめに入力してください!$K$13,IF(B62="共通使用",1,"")))</f>
        <v/>
      </c>
      <c r="AC62" s="49" t="s">
        <v>69</v>
      </c>
      <c r="AD62" s="231" t="str">
        <f t="shared" si="2"/>
        <v>○</v>
      </c>
      <c r="AE62" s="35" t="str">
        <f t="shared" si="3"/>
        <v>申請しない場合は入力不要です。</v>
      </c>
      <c r="AF62" s="234" t="str">
        <f t="shared" si="4"/>
        <v>○</v>
      </c>
      <c r="AG62" s="234" t="str">
        <f t="shared" si="5"/>
        <v>○</v>
      </c>
      <c r="AH62" s="234" t="str">
        <f t="shared" si="6"/>
        <v>○</v>
      </c>
      <c r="AI62" s="231" t="str">
        <f t="shared" si="7"/>
        <v>○</v>
      </c>
      <c r="AJ62" s="14" t="str">
        <f t="shared" si="8"/>
        <v/>
      </c>
      <c r="AK62" s="52">
        <v>47</v>
      </c>
    </row>
    <row r="63" spans="1:37" ht="24.95" customHeight="1">
      <c r="A63" s="38">
        <v>48</v>
      </c>
      <c r="B63" s="313"/>
      <c r="C63" s="313"/>
      <c r="D63" s="313"/>
      <c r="E63" s="314"/>
      <c r="F63" s="315"/>
      <c r="G63" s="316"/>
      <c r="H63" s="316"/>
      <c r="I63" s="45">
        <f t="shared" si="0"/>
        <v>0</v>
      </c>
      <c r="J63" s="317"/>
      <c r="K63" s="45">
        <f t="shared" si="1"/>
        <v>0</v>
      </c>
      <c r="L63" s="44" t="str">
        <f>IF(AD63="◎",COUNTIF($AD$16:AD63,"◎"),"")</f>
        <v/>
      </c>
      <c r="W63" s="234" t="str">
        <f>IF(B63="既設病床",はじめに入力してください!$K$12,IF(B63="新設病床",はじめに入力してください!$K$13,IF(B63="共通使用",1,"")))</f>
        <v/>
      </c>
      <c r="AC63" s="49" t="s">
        <v>69</v>
      </c>
      <c r="AD63" s="231" t="str">
        <f t="shared" si="2"/>
        <v>○</v>
      </c>
      <c r="AE63" s="35" t="str">
        <f t="shared" si="3"/>
        <v>申請しない場合は入力不要です。</v>
      </c>
      <c r="AF63" s="234" t="str">
        <f t="shared" si="4"/>
        <v>○</v>
      </c>
      <c r="AG63" s="234" t="str">
        <f t="shared" si="5"/>
        <v>○</v>
      </c>
      <c r="AH63" s="234" t="str">
        <f t="shared" si="6"/>
        <v>○</v>
      </c>
      <c r="AI63" s="231" t="str">
        <f t="shared" si="7"/>
        <v>○</v>
      </c>
      <c r="AJ63" s="14" t="str">
        <f t="shared" si="8"/>
        <v/>
      </c>
      <c r="AK63" s="52">
        <v>48</v>
      </c>
    </row>
    <row r="64" spans="1:37" ht="24.95" customHeight="1">
      <c r="A64" s="38">
        <v>49</v>
      </c>
      <c r="B64" s="313"/>
      <c r="C64" s="313"/>
      <c r="D64" s="313"/>
      <c r="E64" s="314"/>
      <c r="F64" s="315"/>
      <c r="G64" s="316"/>
      <c r="H64" s="316"/>
      <c r="I64" s="45">
        <f t="shared" si="0"/>
        <v>0</v>
      </c>
      <c r="J64" s="317"/>
      <c r="K64" s="45">
        <f t="shared" si="1"/>
        <v>0</v>
      </c>
      <c r="L64" s="44" t="str">
        <f>IF(AD64="◎",COUNTIF($AD$16:AD64,"◎"),"")</f>
        <v/>
      </c>
      <c r="W64" s="234" t="str">
        <f>IF(B64="既設病床",はじめに入力してください!$K$12,IF(B64="新設病床",はじめに入力してください!$K$13,IF(B64="共通使用",1,"")))</f>
        <v/>
      </c>
      <c r="AC64" s="49" t="s">
        <v>69</v>
      </c>
      <c r="AD64" s="231" t="str">
        <f t="shared" si="2"/>
        <v>○</v>
      </c>
      <c r="AE64" s="35" t="str">
        <f t="shared" si="3"/>
        <v>申請しない場合は入力不要です。</v>
      </c>
      <c r="AF64" s="234" t="str">
        <f t="shared" si="4"/>
        <v>○</v>
      </c>
      <c r="AG64" s="234" t="str">
        <f t="shared" si="5"/>
        <v>○</v>
      </c>
      <c r="AH64" s="234" t="str">
        <f t="shared" si="6"/>
        <v>○</v>
      </c>
      <c r="AI64" s="231" t="str">
        <f t="shared" si="7"/>
        <v>○</v>
      </c>
      <c r="AJ64" s="14" t="str">
        <f t="shared" si="8"/>
        <v/>
      </c>
      <c r="AK64" s="52">
        <v>49</v>
      </c>
    </row>
    <row r="65" spans="1:37" ht="24.95" customHeight="1">
      <c r="A65" s="38">
        <v>50</v>
      </c>
      <c r="B65" s="313"/>
      <c r="C65" s="313"/>
      <c r="D65" s="313"/>
      <c r="E65" s="314"/>
      <c r="F65" s="315"/>
      <c r="G65" s="316"/>
      <c r="H65" s="316"/>
      <c r="I65" s="45">
        <f t="shared" si="0"/>
        <v>0</v>
      </c>
      <c r="J65" s="317"/>
      <c r="K65" s="45">
        <f t="shared" si="1"/>
        <v>0</v>
      </c>
      <c r="L65" s="44" t="str">
        <f>IF(AD65="◎",COUNTIF($AD$16:AD65,"◎"),"")</f>
        <v/>
      </c>
      <c r="W65" s="234" t="str">
        <f>IF(B65="既設病床",はじめに入力してください!$K$12,IF(B65="新設病床",はじめに入力してください!$K$13,IF(B65="共通使用",1,"")))</f>
        <v/>
      </c>
      <c r="AC65" s="49" t="s">
        <v>69</v>
      </c>
      <c r="AD65" s="231" t="str">
        <f t="shared" si="2"/>
        <v>○</v>
      </c>
      <c r="AE65" s="35" t="str">
        <f t="shared" si="3"/>
        <v>申請しない場合は入力不要です。</v>
      </c>
      <c r="AF65" s="234" t="str">
        <f t="shared" si="4"/>
        <v>○</v>
      </c>
      <c r="AG65" s="234" t="str">
        <f t="shared" si="5"/>
        <v>○</v>
      </c>
      <c r="AH65" s="234" t="str">
        <f t="shared" si="6"/>
        <v>○</v>
      </c>
      <c r="AI65" s="231" t="str">
        <f t="shared" si="7"/>
        <v>○</v>
      </c>
      <c r="AJ65" s="14" t="str">
        <f t="shared" si="8"/>
        <v/>
      </c>
      <c r="AK65" s="52">
        <v>50</v>
      </c>
    </row>
  </sheetData>
  <sheetProtection algorithmName="SHA-512" hashValue="mXNJskOfBbCVr0Lb3RAPw+Fy9D6bAVI0//zDh+4HLlIb6gC8NLWZebPmjAwH7TNKm3KfM+9umSC8lM8YYIrJ1g==" saltValue="WDMOYTFVE2Fx+zrEzaO7Hw==" spinCount="100000" sheet="1" insertRows="0"/>
  <mergeCells count="29">
    <mergeCell ref="AD7:AD13"/>
    <mergeCell ref="AE7:AG13"/>
    <mergeCell ref="B8:L8"/>
    <mergeCell ref="B9:C9"/>
    <mergeCell ref="H9:I9"/>
    <mergeCell ref="K9:L9"/>
    <mergeCell ref="B10:C10"/>
    <mergeCell ref="H10:I11"/>
    <mergeCell ref="K10:L11"/>
    <mergeCell ref="B11:C11"/>
    <mergeCell ref="B13:L13"/>
    <mergeCell ref="J10:J11"/>
    <mergeCell ref="F2:G2"/>
    <mergeCell ref="H2:L2"/>
    <mergeCell ref="B3:L6"/>
    <mergeCell ref="AD5:AD6"/>
    <mergeCell ref="AE5:AG6"/>
    <mergeCell ref="B14:D14"/>
    <mergeCell ref="E14:F14"/>
    <mergeCell ref="G14:J14"/>
    <mergeCell ref="K14:K15"/>
    <mergeCell ref="L14:L15"/>
    <mergeCell ref="AY18:BC18"/>
    <mergeCell ref="BD18:BH18"/>
    <mergeCell ref="BS18:BW20"/>
    <mergeCell ref="AY19:BC23"/>
    <mergeCell ref="BD19:BH23"/>
    <mergeCell ref="BQ19:BQ20"/>
    <mergeCell ref="BR19:BR20"/>
  </mergeCells>
  <phoneticPr fontId="1"/>
  <conditionalFormatting sqref="AY19">
    <cfRule type="containsText" dxfId="59" priority="12" operator="containsText" text="（補助対象員数）">
      <formula>NOT(ISERROR(SEARCH("（補助対象員数）",AY19)))</formula>
    </cfRule>
  </conditionalFormatting>
  <conditionalFormatting sqref="BD19:BG23">
    <cfRule type="containsText" dxfId="58" priority="9" operator="containsText" text="要修正">
      <formula>NOT(ISERROR(SEARCH("要修正",BD19)))</formula>
    </cfRule>
  </conditionalFormatting>
  <conditionalFormatting sqref="AY19:BC23">
    <cfRule type="containsText" dxfId="57" priority="8" operator="containsText" text="【未入力有】">
      <formula>NOT(ISERROR(SEARCH("【未入力有】",AY19)))</formula>
    </cfRule>
  </conditionalFormatting>
  <conditionalFormatting sqref="BP19:BQ20">
    <cfRule type="containsText" dxfId="56" priority="7" operator="containsText" text="×">
      <formula>NOT(ISERROR(SEARCH("×",BP19)))</formula>
    </cfRule>
  </conditionalFormatting>
  <conditionalFormatting sqref="BR19:BR20">
    <cfRule type="containsText" dxfId="55" priority="6" operator="containsText" text="要修正">
      <formula>NOT(ISERROR(SEARCH("要修正",BR19)))</formula>
    </cfRule>
  </conditionalFormatting>
  <conditionalFormatting sqref="AD7:AD13">
    <cfRule type="containsText" dxfId="54" priority="5" operator="containsText" text="×">
      <formula>NOT(ISERROR(SEARCH("×",AD7)))</formula>
    </cfRule>
  </conditionalFormatting>
  <conditionalFormatting sqref="AE7:AE13">
    <cfRule type="containsText" dxfId="53" priority="4" operator="containsText" text="要修正">
      <formula>NOT(ISERROR(SEARCH("要修正",AE7)))</formula>
    </cfRule>
  </conditionalFormatting>
  <conditionalFormatting sqref="AF16:AF65">
    <cfRule type="containsText" dxfId="52" priority="3" operator="containsText" text="【不備の点】">
      <formula>NOT(ISERROR(SEARCH("【不備の点】",AF16)))</formula>
    </cfRule>
  </conditionalFormatting>
  <conditionalFormatting sqref="AE16:AE65">
    <cfRule type="containsText" dxfId="51" priority="2" operator="containsText" text="【不備の点】">
      <formula>NOT(ISERROR(SEARCH("【不備の点】",AE16)))</formula>
    </cfRule>
  </conditionalFormatting>
  <conditionalFormatting sqref="AD16:AD65">
    <cfRule type="containsText" dxfId="50" priority="1" operator="containsText" text="×">
      <formula>NOT(ISERROR(SEARCH("×",AD16)))</formula>
    </cfRule>
  </conditionalFormatting>
  <dataValidations xWindow="239" yWindow="555" count="8">
    <dataValidation type="list" allowBlank="1" showInputMessage="1" showErrorMessage="1" promptTitle="補助対象の該当非該当" prompt="血液浄化装置の設備整備に係る経費が対象となります。_x000a_医療用消耗品等のランニングコストといった装置自体の整備と直接に関係しないものは補助対象外なので「対象外」を選択してください。_x000a_審査において確認、対象外と認めたものについては対象外として補正をお願いする場合があります。" sqref="J16:J65">
      <formula1>"補助対象,補助対象外"</formula1>
    </dataValidation>
    <dataValidation allowBlank="1" showInputMessage="1" showErrorMessage="1" promptTitle="金額の表示" prompt="数式が入力されているため、自動計算されます。" sqref="K16:K65 I16:I65"/>
    <dataValidation allowBlank="1" showInputMessage="1" showErrorMessage="1" promptTitle="添付書類番号" prompt="種類、規格、数量、単価が全て適切に入力され、右の「判定」が「◎」と表示されると自動で番号が表示されます。" sqref="L16:L65"/>
    <dataValidation allowBlank="1" showInputMessage="1" showErrorMessage="1" promptTitle="単価の入力" prompt="税抜額または税込額のいずれかを入力してください。_x000a_入力しない方は「0」は入力せず、空欄としてください。" sqref="G16:H65"/>
    <dataValidation allowBlank="1" showInputMessage="1" showErrorMessage="1" promptTitle="規格及び数量の入力" prompt="補助対象経費を計上する際、いずれも入力してください。" sqref="E16:F65"/>
    <dataValidation type="list" allowBlank="1" showInputMessage="1" showErrorMessage="1" promptTitle="装置、付属備品の別を選択" prompt="当該行に記載する品目が_x000a_・「装置」（本体）_x000a_・「付属備品」_x000a_の別をプルダウンから選択してください。" sqref="D16:D65">
      <formula1>"装置,付属備品"</formula1>
    </dataValidation>
    <dataValidation allowBlank="1" showInputMessage="1" showErrorMessage="1" promptTitle="補助対象金額" prompt="見積書金額×（見積書金額-割引額）/見積書金額_x000a_で算出されます。" sqref="K10:L11"/>
    <dataValidation allowBlank="1" showInputMessage="1" showErrorMessage="1" promptTitle="割引額がある場合は入力" prompt="割引がない場合は「0円」のままとしてください。" sqref="J10:J11"/>
  </dataValidations>
  <printOptions horizontalCentered="1"/>
  <pageMargins left="0.59055118110236227" right="0.39370078740157483" top="0.39370078740157483" bottom="0.39370078740157483" header="0.31496062992125984" footer="0.31496062992125984"/>
  <pageSetup paperSize="9" scale="53" fitToWidth="0" orientation="portrait" r:id="rId1"/>
  <drawing r:id="rId2"/>
  <legacyDrawing r:id="rId3"/>
  <extLst>
    <ext xmlns:x14="http://schemas.microsoft.com/office/spreadsheetml/2009/9/main" uri="{CCE6A557-97BC-4b89-ADB6-D9C93CAAB3DF}">
      <x14:dataValidations xmlns:xm="http://schemas.microsoft.com/office/excel/2006/main" xWindow="239" yWindow="555" count="2">
        <x14:dataValidation type="list" allowBlank="1" showInputMessage="1" showErrorMessage="1" promptTitle="配備する病床の「新設」「既設」の別を選択" prompt="ベッドに必ずしも紐付けるものではありませんが、１病床１台で紐付けした場合、配備する病床が_x000a_・令和３年度までにコロナ対応病床として指定済のものか_x000a_・令和４年度に指定を受けた・指定予定か_x000a_いずれかを選択してください。">
          <x14:formula1>
            <xm:f>はじめに入力してください!$AO$41:$AO$43</xm:f>
          </x14:formula1>
          <xm:sqref>B16:B65</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不足する病床に番号付けをした場合の番号を選択してください。_x000a_（例）_x000a_　既存の設備２台_x000a_　既設病床２床、新設病床３床の場合_x000a_→既存の設備２台は、既設病床１～２に配備_x000a_　３台申請する場合は「新設病床１」～「新設病床３」を選択して品目等必要情報を入力">
          <x14:formula1>
            <xm:f>OFFSET( はじめに入力してください!$AO$41, 0, MATCH(B16,はじめに入力してください!$AP$40:$AR$40,0), COUNTA(OFFSET(はじめに入力してください!$AO$41,0,MATCH(B16,はじめに入力してください!$AP$40:$AR$40,0),W16,1)),1)</xm:f>
          </x14:formula1>
          <xm:sqref>C16:C65</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BW50"/>
  <sheetViews>
    <sheetView showGridLines="0" view="pageBreakPreview" zoomScale="50" zoomScaleNormal="100" zoomScaleSheetLayoutView="50" workbookViewId="0">
      <pane xSplit="1" ySplit="15" topLeftCell="B36" activePane="bottomRight" state="frozen"/>
      <selection activeCell="N3" sqref="N3:Q3"/>
      <selection pane="topRight" activeCell="N3" sqref="N3:Q3"/>
      <selection pane="bottomLeft" activeCell="N3" sqref="N3:Q3"/>
      <selection pane="bottomRight" activeCell="AK50" sqref="AK15:AK50"/>
    </sheetView>
  </sheetViews>
  <sheetFormatPr defaultColWidth="9" defaultRowHeight="20.100000000000001" customHeight="1"/>
  <cols>
    <col min="1" max="1" width="5.625" style="38" customWidth="1"/>
    <col min="2" max="4" width="11.625" style="38" customWidth="1"/>
    <col min="5" max="5" width="26.5" style="39" customWidth="1"/>
    <col min="6" max="7" width="11.625" style="40" customWidth="1"/>
    <col min="8" max="9" width="12.625" style="40" customWidth="1"/>
    <col min="10" max="10" width="12.625" style="25" customWidth="1"/>
    <col min="11" max="12" width="12.625" style="40" customWidth="1"/>
    <col min="13" max="13" width="2.625" style="40" customWidth="1"/>
    <col min="14" max="15" width="30.625" style="41" customWidth="1"/>
    <col min="16" max="16" width="40.625" style="41" customWidth="1"/>
    <col min="17" max="18" width="30.625" style="41" hidden="1" customWidth="1"/>
    <col min="19" max="22" width="12.625" style="41" hidden="1" customWidth="1"/>
    <col min="23" max="23" width="9" style="200"/>
    <col min="24" max="24" width="10.375" style="41" bestFit="1" customWidth="1"/>
    <col min="25" max="28" width="9" style="41"/>
    <col min="29" max="29" width="3.625" style="49" customWidth="1"/>
    <col min="30" max="30" width="9.75" style="41" bestFit="1" customWidth="1"/>
    <col min="31" max="31" width="85.625" style="201" customWidth="1"/>
    <col min="32" max="35" width="10.625" style="41" customWidth="1"/>
    <col min="36" max="36" width="60.625" style="41" customWidth="1"/>
    <col min="37" max="52" width="9" style="41"/>
    <col min="53" max="53" width="20.625" style="41" customWidth="1"/>
    <col min="54" max="55" width="9" style="41"/>
    <col min="56" max="56" width="35.625" style="41" customWidth="1"/>
    <col min="57" max="16384" width="9" style="41"/>
  </cols>
  <sheetData>
    <row r="1" spans="1:37" ht="9.9499999999999993" customHeight="1"/>
    <row r="2" spans="1:37" ht="30" customHeight="1">
      <c r="B2" s="199" t="s">
        <v>262</v>
      </c>
      <c r="C2" s="36"/>
      <c r="D2" s="36"/>
      <c r="F2" s="772" t="s">
        <v>208</v>
      </c>
      <c r="G2" s="773"/>
      <c r="H2" s="772" t="str">
        <f>表紙!L9&amp;IF(はじめに入力してください!L20="","","※"&amp;はじめに入力してください!AE20)</f>
        <v/>
      </c>
      <c r="I2" s="774"/>
      <c r="J2" s="774"/>
      <c r="K2" s="774"/>
      <c r="L2" s="773"/>
    </row>
    <row r="3" spans="1:37" ht="20.100000000000001" customHeight="1">
      <c r="B3" s="775" t="str">
        <f>人工呼吸器明細!B3</f>
        <v>　まとめて「一式」と記載はせず、見積書、納品書等に記載の設備・付属備品ごとに分けて記載するようにしてください。
　整備する設備の配備先（既設又は新設病床、病床に番号付与した場合いずれの病床に充てるのか左部分「配備先・内容」欄で選択してください。
　配備先の病床の別及び、当該品目が「装置」か「付属備品」の別をプルダウンから選択してください。</v>
      </c>
      <c r="C3" s="755"/>
      <c r="D3" s="755"/>
      <c r="E3" s="755"/>
      <c r="F3" s="755"/>
      <c r="G3" s="755"/>
      <c r="H3" s="755"/>
      <c r="I3" s="755"/>
      <c r="J3" s="755"/>
      <c r="K3" s="755"/>
      <c r="L3" s="755"/>
      <c r="S3" s="55"/>
      <c r="T3" s="55"/>
      <c r="U3" s="55"/>
      <c r="V3" s="55"/>
    </row>
    <row r="4" spans="1:37" ht="20.100000000000001" customHeight="1">
      <c r="B4" s="755"/>
      <c r="C4" s="755"/>
      <c r="D4" s="755"/>
      <c r="E4" s="755"/>
      <c r="F4" s="755"/>
      <c r="G4" s="755"/>
      <c r="H4" s="755"/>
      <c r="I4" s="755"/>
      <c r="J4" s="755"/>
      <c r="K4" s="755"/>
      <c r="L4" s="755"/>
      <c r="S4" s="55"/>
      <c r="T4" s="55"/>
      <c r="U4" s="55"/>
      <c r="V4" s="55"/>
    </row>
    <row r="5" spans="1:37" ht="20.100000000000001" customHeight="1">
      <c r="B5" s="755"/>
      <c r="C5" s="755"/>
      <c r="D5" s="755"/>
      <c r="E5" s="755"/>
      <c r="F5" s="755"/>
      <c r="G5" s="755"/>
      <c r="H5" s="755"/>
      <c r="I5" s="755"/>
      <c r="J5" s="755"/>
      <c r="K5" s="755"/>
      <c r="L5" s="755"/>
      <c r="S5" s="55"/>
      <c r="T5" s="55"/>
      <c r="U5" s="55"/>
      <c r="V5" s="55"/>
      <c r="AD5" s="776" t="s">
        <v>122</v>
      </c>
      <c r="AE5" s="735" t="s">
        <v>121</v>
      </c>
      <c r="AF5" s="736"/>
      <c r="AG5" s="737"/>
    </row>
    <row r="6" spans="1:37" ht="20.100000000000001" customHeight="1">
      <c r="B6" s="755"/>
      <c r="C6" s="755"/>
      <c r="D6" s="755"/>
      <c r="E6" s="755"/>
      <c r="F6" s="755"/>
      <c r="G6" s="755"/>
      <c r="H6" s="755"/>
      <c r="I6" s="755"/>
      <c r="J6" s="755"/>
      <c r="K6" s="755"/>
      <c r="L6" s="755"/>
      <c r="S6" s="55"/>
      <c r="T6" s="55"/>
      <c r="U6" s="55"/>
      <c r="V6" s="55"/>
      <c r="AD6" s="777"/>
      <c r="AE6" s="738"/>
      <c r="AF6" s="739"/>
      <c r="AG6" s="740"/>
    </row>
    <row r="7" spans="1:37" ht="9.9499999999999993" customHeight="1">
      <c r="B7" s="56"/>
      <c r="C7" s="56"/>
      <c r="D7" s="56"/>
      <c r="E7" s="57"/>
      <c r="F7" s="58"/>
      <c r="G7" s="41"/>
      <c r="H7" s="41"/>
      <c r="I7" s="41"/>
      <c r="J7" s="200"/>
      <c r="K7" s="41"/>
      <c r="L7" s="41"/>
      <c r="S7" s="55"/>
      <c r="T7" s="55"/>
      <c r="U7" s="55"/>
      <c r="V7" s="55"/>
      <c r="AD7" s="768" t="str">
        <f xml:space="preserve">
IF(AND(COUNTA(D9)=0,COUNTIF(AD16:AD50,"○")=35),"○",
IF(AND(COUNTA(D9)=0,COUNTIF(AD16:AD50,"×")&gt;=1),"×",
IF(AND(COUNTA(D9)=0,COUNTIF(AD16:AD50,"×")=0,COUNTIF(AD16:AD50,"◎")&gt;=1),"×",
IF(AND(COUNTA(D9)=1,COUNTIF(AD16:AD50,"○")=35),"×",
IF(AND(COUNTA(D9)=1,COUNTIF(AD16:AD50,"×")&gt;=1),"×",
IF(AND(COUNTA(D9)=1,COUNTIF(AD16:AD50,"×")=0,COUNTIF(AD16:AD50,"◎")&gt;=1),"◎"))))))</f>
        <v>○</v>
      </c>
      <c r="AE7" s="741" t="str">
        <f xml:space="preserve">
IF(COUNTA(D9)=0,"【１．配備計画】既存配備の気管支鏡台数が未入力です。"&amp;CHAR(10)&amp;CHAR(10),
IF(COUNTA(D9)=1,"【１．配備計画】適切に入力がされました。 "&amp;CHAR(10)&amp;CHAR(10)))
&amp;
IF(AD7="◎","【装置情報】適切に入力がされました。",
IF(AD7="○","",
IF(AD7="×","【２．装置情報】【要修正】以下の点につき御確認ください。"&amp;CHAR(10)&amp;AJ16&amp;AJ17&amp;AJ18&amp;AJ19&amp;AJ20&amp;AJ21&amp;AJ22&amp;AJ23&amp;AJ24&amp;AJ25&amp;AJ26&amp;AJ27&amp;AJ28&amp;AJ29&amp;AJ30&amp;AJ31&amp;AJ32&amp;AJ33&amp;AJ34&amp;AJ35&amp;AJ36&amp;AJ37&amp;AJ38&amp;AJ39&amp;AJ40&amp;AJ41&amp;AJ42&amp;AJ43&amp;AJ44&amp;AJ45&amp;AJ46&amp;AJ47&amp;AJ48&amp;AJ49&amp;AJ50
)))</f>
        <v xml:space="preserve">【１．配備計画】既存配備の気管支鏡台数が未入力です。
</v>
      </c>
      <c r="AF7" s="736"/>
      <c r="AG7" s="737"/>
    </row>
    <row r="8" spans="1:37" ht="20.100000000000001" customHeight="1">
      <c r="B8" s="754" t="s">
        <v>221</v>
      </c>
      <c r="C8" s="755"/>
      <c r="D8" s="755"/>
      <c r="E8" s="755"/>
      <c r="F8" s="755"/>
      <c r="G8" s="755"/>
      <c r="H8" s="755"/>
      <c r="I8" s="755"/>
      <c r="J8" s="755"/>
      <c r="K8" s="755"/>
      <c r="L8" s="755"/>
      <c r="S8" s="55"/>
      <c r="T8" s="55"/>
      <c r="U8" s="55"/>
      <c r="V8" s="55"/>
      <c r="AD8" s="778"/>
      <c r="AE8" s="742"/>
      <c r="AF8" s="743"/>
      <c r="AG8" s="744"/>
    </row>
    <row r="9" spans="1:37" ht="20.100000000000001" customHeight="1">
      <c r="B9" s="748" t="s">
        <v>226</v>
      </c>
      <c r="C9" s="749"/>
      <c r="D9" s="318"/>
      <c r="E9" s="232" t="s">
        <v>209</v>
      </c>
      <c r="F9" s="202">
        <f>はじめに入力してください!K12</f>
        <v>0</v>
      </c>
      <c r="H9" s="709" t="s">
        <v>613</v>
      </c>
      <c r="I9" s="710"/>
      <c r="J9" s="50" t="s">
        <v>614</v>
      </c>
      <c r="K9" s="781" t="s">
        <v>212</v>
      </c>
      <c r="L9" s="782"/>
      <c r="S9" s="55"/>
      <c r="T9" s="55"/>
      <c r="U9" s="55"/>
      <c r="V9" s="55"/>
      <c r="AD9" s="779"/>
      <c r="AE9" s="745"/>
      <c r="AF9" s="743"/>
      <c r="AG9" s="744"/>
      <c r="AJ9" s="203" t="s">
        <v>584</v>
      </c>
    </row>
    <row r="10" spans="1:37" ht="20.100000000000001" customHeight="1" thickBot="1">
      <c r="B10" s="750" t="s">
        <v>227</v>
      </c>
      <c r="C10" s="751"/>
      <c r="D10" s="204">
        <f>COUNTIF(D16:D50,"装置")</f>
        <v>0</v>
      </c>
      <c r="E10" s="235" t="s">
        <v>210</v>
      </c>
      <c r="F10" s="207">
        <f>はじめに入力してください!K13</f>
        <v>0</v>
      </c>
      <c r="H10" s="756">
        <f>SUM(I16:I50)</f>
        <v>0</v>
      </c>
      <c r="I10" s="757"/>
      <c r="J10" s="716">
        <v>0</v>
      </c>
      <c r="K10" s="711">
        <f>IFERROR(ROUNDUP(SUM(K16:K50)*(H10-J10)/H10,0),0)</f>
        <v>0</v>
      </c>
      <c r="L10" s="712"/>
      <c r="S10" s="55"/>
      <c r="T10" s="55"/>
      <c r="U10" s="55"/>
      <c r="V10" s="55"/>
      <c r="AD10" s="779"/>
      <c r="AE10" s="745"/>
      <c r="AF10" s="743"/>
      <c r="AG10" s="744"/>
    </row>
    <row r="11" spans="1:37" ht="20.100000000000001" customHeight="1" thickTop="1">
      <c r="B11" s="752" t="s">
        <v>218</v>
      </c>
      <c r="C11" s="753"/>
      <c r="D11" s="205">
        <f>SUM(D9:D10)</f>
        <v>0</v>
      </c>
      <c r="E11" s="236" t="s">
        <v>211</v>
      </c>
      <c r="F11" s="208">
        <f>はじめに入力してください!M13</f>
        <v>0</v>
      </c>
      <c r="H11" s="757"/>
      <c r="I11" s="757"/>
      <c r="J11" s="717"/>
      <c r="K11" s="712"/>
      <c r="L11" s="712"/>
      <c r="S11" s="55"/>
      <c r="T11" s="55"/>
      <c r="U11" s="55"/>
      <c r="V11" s="55"/>
      <c r="AD11" s="779"/>
      <c r="AE11" s="745"/>
      <c r="AF11" s="743"/>
      <c r="AG11" s="744"/>
    </row>
    <row r="12" spans="1:37" ht="9.9499999999999993" customHeight="1">
      <c r="B12" s="56"/>
      <c r="C12" s="56"/>
      <c r="D12" s="56"/>
      <c r="E12" s="57"/>
      <c r="F12" s="58"/>
      <c r="G12" s="41"/>
      <c r="H12" s="41"/>
      <c r="I12" s="41"/>
      <c r="J12" s="200"/>
      <c r="K12" s="41"/>
      <c r="L12" s="41"/>
      <c r="S12" s="55"/>
      <c r="T12" s="55"/>
      <c r="U12" s="55"/>
      <c r="V12" s="55"/>
      <c r="AD12" s="779"/>
      <c r="AE12" s="746"/>
      <c r="AF12" s="743"/>
      <c r="AG12" s="744"/>
    </row>
    <row r="13" spans="1:37" ht="80.099999999999994" customHeight="1">
      <c r="B13" s="758" t="str">
        <f>人工呼吸器明細!B13</f>
        <v>２．装置情報（右端に表示の番号を、見積書あるいは納品書の内訳中、該当の部分に記入し記載の箇所を明示してください。）
　見積書等に記載の内訳は補助対象、対象外にかかわらず全て入力し、右上（実支出予定額）と見積金額とが一致するようにしてください。
　補助対象はコロナ病床施設の整備に限られるため医療用消耗品等は補助対象外です。
　記載いただいた補助対象外経費は「補助対象区分」欄で「対象外」を選択してください。（補助対象金額の算定から自動計算で除外されます。）</v>
      </c>
      <c r="C13" s="759"/>
      <c r="D13" s="759"/>
      <c r="E13" s="759"/>
      <c r="F13" s="759"/>
      <c r="G13" s="759"/>
      <c r="H13" s="759"/>
      <c r="I13" s="759"/>
      <c r="J13" s="759"/>
      <c r="K13" s="759"/>
      <c r="L13" s="759"/>
      <c r="S13" s="55"/>
      <c r="T13" s="55"/>
      <c r="U13" s="55"/>
      <c r="V13" s="55"/>
      <c r="AD13" s="780"/>
      <c r="AE13" s="747"/>
      <c r="AF13" s="739"/>
      <c r="AG13" s="740"/>
    </row>
    <row r="14" spans="1:37" ht="24.95" customHeight="1">
      <c r="B14" s="720" t="s">
        <v>206</v>
      </c>
      <c r="C14" s="721"/>
      <c r="D14" s="722"/>
      <c r="E14" s="720" t="s">
        <v>204</v>
      </c>
      <c r="F14" s="722"/>
      <c r="G14" s="723" t="s">
        <v>207</v>
      </c>
      <c r="H14" s="721"/>
      <c r="I14" s="721"/>
      <c r="J14" s="722"/>
      <c r="K14" s="724" t="s">
        <v>202</v>
      </c>
      <c r="L14" s="724" t="s">
        <v>213</v>
      </c>
      <c r="S14" s="55"/>
      <c r="T14" s="55"/>
      <c r="U14" s="55"/>
      <c r="V14" s="55"/>
    </row>
    <row r="15" spans="1:37" ht="24.95" customHeight="1">
      <c r="B15" s="42" t="s">
        <v>191</v>
      </c>
      <c r="C15" s="42" t="s">
        <v>199</v>
      </c>
      <c r="D15" s="42" t="s">
        <v>200</v>
      </c>
      <c r="E15" s="42" t="s">
        <v>55</v>
      </c>
      <c r="F15" s="42" t="s">
        <v>22</v>
      </c>
      <c r="G15" s="42" t="s">
        <v>71</v>
      </c>
      <c r="H15" s="42" t="s">
        <v>72</v>
      </c>
      <c r="I15" s="42" t="s">
        <v>73</v>
      </c>
      <c r="J15" s="42" t="s">
        <v>201</v>
      </c>
      <c r="K15" s="725"/>
      <c r="L15" s="725"/>
      <c r="AD15" s="62" t="s">
        <v>64</v>
      </c>
      <c r="AE15" s="206" t="s">
        <v>74</v>
      </c>
      <c r="AF15" s="63" t="s">
        <v>203</v>
      </c>
      <c r="AG15" s="234" t="s">
        <v>205</v>
      </c>
      <c r="AH15" s="234" t="s">
        <v>91</v>
      </c>
      <c r="AI15" s="231" t="s">
        <v>635</v>
      </c>
      <c r="AJ15" s="52" t="s">
        <v>121</v>
      </c>
      <c r="AK15" s="52" t="str">
        <f>AJ16&amp;AJ17&amp;AJ18&amp;AJ19&amp;AJ20&amp;AJ21&amp;AJ22&amp;AJ23&amp;AJ24&amp;AJ25&amp;AJ26&amp;AJ27&amp;AJ28&amp;AJ29&amp;AJ30&amp;AJ31&amp;AJ32&amp;AJ33&amp;AJ34&amp;AJ35&amp;AJ36&amp;AJ37&amp;AJ38&amp;AJ39&amp;AJ40&amp;AJ41&amp;AJ42&amp;AJ43&amp;AJ44&amp;AJ45&amp;AJ46&amp;AJ47&amp;AJ48&amp;AJ49&amp;AJ50</f>
        <v/>
      </c>
    </row>
    <row r="16" spans="1:37" ht="24.95" customHeight="1">
      <c r="A16" s="38">
        <v>1</v>
      </c>
      <c r="B16" s="313"/>
      <c r="C16" s="313"/>
      <c r="D16" s="313"/>
      <c r="E16" s="314"/>
      <c r="F16" s="315"/>
      <c r="G16" s="316"/>
      <c r="H16" s="316"/>
      <c r="I16" s="45">
        <f>IF(G16="",H16*F16,ROUNDDOWN(F16*G16*1.1,0))</f>
        <v>0</v>
      </c>
      <c r="J16" s="317"/>
      <c r="K16" s="45">
        <f>IF(J16="補助対象",I16,IF(J16="補助対象外",0,0))</f>
        <v>0</v>
      </c>
      <c r="L16" s="44" t="str">
        <f>IF(AD16="◎",COUNTIF($AD$16:AD16,"◎"),"")</f>
        <v/>
      </c>
      <c r="W16" s="234" t="str">
        <f>IF(B16="既設病床",はじめに入力してください!$K$12,IF(B16="新設病床",はじめに入力してください!$K$13,IF(B16="共通使用",1,"")))</f>
        <v/>
      </c>
      <c r="AC16" s="49" t="s">
        <v>69</v>
      </c>
      <c r="AD16" s="231" t="str">
        <f xml:space="preserve">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f>
        <v>○</v>
      </c>
      <c r="AE16" s="35" t="str">
        <f xml:space="preserve">
IF(AND(AF16="○",AG16="○",AH16="○",AI16="○"),"申請しない場合は入力不要です。",
IF(AND(AF16="○",AG16="○",AH16="○",AI16="◎"),"【要修正】【整備先・内容】未入力、【規格・数量】未入力、【単価】未入力"&amp;CHAR(10),
IF(AND(AF16="○",AG16="○",AH16="×",AI16="○"),"【要修正】【整備先・内容】未入力、【規格・数量】未入力、【単価】入力不十分、【補助対象区分】未入力"&amp;CHAR(10),
IF(AND(AF16="○",AG16="○",AH16="×",AI16="◎"),"【要修正】【整備先・内容】未入力、【規格・数量】未入力、【単価】入力不十分"&amp;CHAR(10),
IF(AND(AF16="○",AG16="○",AH16="◎",AI16="○"),"【要修正】【整備先・内容】未入力、【規格・数量】未入力、【補助対象区分】未入力"&amp;CHAR(10),
IF(AND(AF16="○",AG16="○",AH16="◎",AI16="◎"),"【要修正】【整備先・内容】未入力、【規格・数量】未入力"&amp;CHAR(10),
IF(AND(AF16="○",AG16="×",AH16="○",AI16="○"),"【要修正】【整備先・内容】未入力、【規格・数量】入力不十分、【単価】未入力、【補助対象区分】未入力"&amp;CHAR(10),
IF(AND(AF16="○",AG16="×",AH16="○",AI16="◎"),"【要修正】【整備先・内容】未入力、【規格・数量】入力不十分、【単価】未入力"&amp;CHAR(10),
IF(AND(AF16="○",AG16="×",AH16="×",AI16="○"),"【要修正】【整備先・内容】未入力、【規格・数量】入力不十分、【単価】入力不十分、【補助対象区分】未入力"&amp;CHAR(10),
IF(AND(AF16="○",AG16="×",AH16="×",AI16="◎"),"【要修正】【整備先・内容】未入力、【規格・数量】入力不十分、【単価】入力不十分"&amp;CHAR(10),
IF(AND(AF16="○",AG16="×",AH16="◎",AI16="○"),"【要修正】【整備先・内容】未入力、【規格・数量】入力不十分、【補助対象区分】未入力"&amp;CHAR(10),
IF(AND(AF16="○",AG16="×",AH16="◎",AI16="◎"),"【要修正】【整備先・内容】未入力、【規格・数量】入力不十分"&amp;CHAR(10),
IF(AND(AF16="○",AG16="◎",AH16="○",AI16="○"),"【要修正】【整備先・内容】未入力、【単価】未入力、【補助対象区分】未入力"&amp;CHAR(10),
IF(AND(AF16="○",AG16="◎",AH16="○",AI16="◎"),"【要修正】【整備先・内容】未入力、【単価】未入力"&amp;CHAR(10),
IF(AND(AF16="○",AG16="◎",AH16="×",AI16="○"),"【要修正】【整備先・内容】未入力、【単価】入力不十分、【補助対象区分】未入力"&amp;CHAR(10),
IF(AND(AF16="○",AG16="◎",AH16="×",AI16="◎"),"【要修正】【整備先・内容】未入力、【単価】入力不十分"&amp;CHAR(10),
IF(AND(AF16="○",AG16="◎",AH16="◎",AI16="○"),"【要修正】【整備先・内容】未入力、【補助対象区分】未入力"&amp;CHAR(10),
IF(AND(AF16="○",AG16="◎",AH16="◎",AI16="◎"),"【要修正】【整備先・内容】未入力"&amp;CHAR(10),
IF(AND(AF16="×",AG16="○",AH16="○",AI16="○"),"【要修正】【整備先・内容】入力不十分、【規格・数量】未入力、【単価】未入力、【補助対象区分】未入力"&amp;CHAR(10),
IF(AND(AF16="×",AG16="○",AH16="○",AI16="◎"),"【要修正】【整備先・内容】入力不十分、【規格・数量】未入力、【単価】未入力"&amp;CHAR(10),
IF(AND(AF16="×",AG16="○",AH16="×",AI16="○"),"【要修正】【整備先・内容】入力不十分、【規格・数量】未入力、【単価】入力不十分、【補助対象区分】未入力"&amp;CHAR(10),
IF(AND(AF16="×",AG16="○",AH16="×",AI16="◎"),"【要修正】【整備先・内容】入力不十分、【規格・数量】未入力、【単価】入力不十分"&amp;CHAR(10),
IF(AND(AF16="×",AG16="○",AH16="◎",AI16="○"),"【要修正】【整備先・内容】入力不十分、【規格・数量】未入力、【補助対象区分】未入力"&amp;CHAR(10),
IF(AND(AF16="×",AG16="○",AH16="◎",AI16="◎"),"【要修正】【整備先・内容】入力不十分、【規格・数量】未入力"&amp;CHAR(10),
IF(AND(AF16="×",AG16="×",AH16="○",AI16="○"),"【要修正】【整備先・内容】入力不十分、【規格・数量】入力不十分、【単価】未入力、【補助対象区分】未入力"&amp;CHAR(10),
IF(AND(AF16="×",AG16="×",AH16="○",AI16="◎"),"【要修正】【整備先・内容】入力不十分、【規格・数量】入力不十分、【単価】未入力"&amp;CHAR(10),
IF(AND(AF16="×",AG16="×",AH16="×",AI16="○"),"【要修正】【整備先・内容】入力不十分、【規格・数量】入力不十分、【単価】入力不十分、【補助対象区分】未入力"&amp;CHAR(10),
IF(AND(AF16="×",AG16="×",AH16="×",AI16="◎"),"【要修正】【整備先・内容】入力不十分、【規格・数量】入力不十分、【単価】入力不十分"&amp;CHAR(10),
IF(AND(AF16="×",AG16="×",AH16="◎",AI16="○"),"【要修正】【整備先・内容】入力不十分、【規格・数量】入力不十分、【補助対象区分】未入力"&amp;CHAR(10),
IF(AND(AF16="×",AG16="×",AH16="◎",AI16="◎"),"【要修正】【整備先・内容】入力不十分、【規格・数量】入力不十分"&amp;CHAR(10),
IF(AND(AF16="×",AG16="◎",AH16="○",AI16="○"),"【要修正】【整備先・内容】入力不十分、【単価】未入力、【補助対象区分】未入力"&amp;CHAR(10),
IF(AND(AF16="×",AG16="◎",AH16="○",AI16="◎"),"【要修正】【整備先・内容】入力不十分、【単価】未入力"&amp;CHAR(10),
IF(AND(AF16="×",AG16="◎",AH16="×",AI16="○"),"【要修正】【整備先・内容】入力不十分、【単価】入力不十分、【補助対象区分】未入力"&amp;CHAR(10),
IF(AND(AF16="×",AG16="◎",AH16="×",AI16="◎"),"【要修正】【整備先・内容】入力不十分、【単価】入力不十分"&amp;CHAR(10),
IF(AND(AF16="×",AG16="◎",AH16="◎",AI16="○"),"【要修正】【整備先・内容】入力不十分、【補助対象区分】未入力"&amp;CHAR(10),
IF(AND(AF16="×",AG16="◎",AH16="◎",AI16="◎"),"【要修正】【整備先・内容】入力不十分"&amp;CHAR(10),
IF(AND(AF16="◎",AG16="○",AH16="○",AI16="○"),"【要修正】【規格・数量】未入力、【単価】未入力、【補助対象区分】未入力"&amp;CHAR(10),
IF(AND(AF16="◎",AG16="○",AH16="○",AI16="◎"),"【要修正】【規格・数量】未入力、【単価】未入力"&amp;CHAR(10),
IF(AND(AF16="◎",AG16="○",AH16="×",AI16="○"),"【要修正】【規格・数量】未入力、【単価】入力不十分、【補助対象区分】未入力"&amp;CHAR(10),
IF(AND(AF16="◎",AG16="○",AH16="×",AI16="◎"),"【要修正】【規格・数量】未入力、【単価】入力不十分"&amp;CHAR(10),
IF(AND(AF16="◎",AG16="○",AH16="◎",AI16="○"),"【要修正】【規格・数量】未入力、【補助対象区分】未入力"&amp;CHAR(10),
IF(AND(AF16="◎",AG16="○",AH16="◎",AI16="◎"),"【要修正】【規格・数量】未入力"&amp;CHAR(10),
IF(AND(AF16="◎",AG16="×",AH16="○",AI16="○"),"【要修正】【規格・数量】入力不十分、【単価】未入力、【補助対象区分】未入力"&amp;CHAR(10),
IF(AND(AF16="◎",AG16="×",AH16="○",AI16="◎"),"【要修正】【規格・数量】入力不十分、【単価】未入力"&amp;CHAR(10),
IF(AND(AF16="◎",AG16="×",AH16="×",AI16="○"),"【要修正】【規格・数量】入力不十分、【単価】入力不十分、【補助対象区分】未入力"&amp;CHAR(10),
IF(AND(AF16="◎",AG16="×",AH16="×",AI16="◎"),"【要修正】【規格・数量】入力不十分、【単価】入力不十分"&amp;CHAR(10),
IF(AND(AF16="◎",AG16="×",AH16="◎",AI16="○"),"【要修正】【規格・数量】入力不十分、【補助対象区分】未入力"&amp;CHAR(10),
IF(AND(AF16="◎",AG16="×",AH16="◎",AI16="◎"),"【要修正】【規格・数量】入力不十分"&amp;CHAR(10),
IF(AND(AF16="◎",AG16="◎",AH16="○",AI16="○"),"【要修正】【単価】未入力、【補助対象区分】未入力"&amp;CHAR(10),
IF(AND(AF16="◎",AG16="◎",AH16="○",AI16="◎"),"【要修正】【単価】未入力"&amp;CHAR(10),
IF(AND(AF16="◎",AG16="◎",AH16="×",AI16="○"),"【要修正】【単価】入力不十分、【補助対象区分】未入力"&amp;CHAR(10),
IF(AND(AF16="◎",AG16="◎",AH16="×",AI16="◎"),"【要修正】【単価】入力不十分"&amp;CHAR(10),
IF(AND(AF16="◎",AG16="◎",AH16="◎",AI16="○"),"【要修正】【補助対象区分】未入力"&amp;CHAR(10),
IF(AND(AF16="◎",AG16="◎",AH16="◎",AI16="◎"),"適切に入力がされました。",
))))))))))))))))))))))))))))))))))))))))))))))))))))))</f>
        <v>申請しない場合は入力不要です。</v>
      </c>
      <c r="AF16" s="234" t="str">
        <f>IF(COUNTA(B16:D16)=0,"○",IF(AND(COUNTA(B16:D16)&gt;=1,COUNTA(B16:D16)&lt;3),"×",IF(COUNTA(B16:D16)=3,"◎")))</f>
        <v>○</v>
      </c>
      <c r="AG16" s="234" t="str">
        <f>IF(COUNTA(E16,F16,J16)=0,"○",IF(AND(COUNTA(E16,F16,J16)&gt;=1,COUNTA(E16,F16,J16)&lt;3),"×",IF(COUNTA(E16,F16,J16)=3,"◎")))</f>
        <v>○</v>
      </c>
      <c r="AH16" s="234" t="str">
        <f>IF(COUNTA(G16:H16)=0,"○",IF(COUNTA(G16:H16)=1,"◎",IF(COUNTA(G16:H16)=2,"×")))</f>
        <v>○</v>
      </c>
      <c r="AI16" s="231" t="str">
        <f>IF(COUNTA(J16)=0,"○",IF(COUNTA(J16)=1,"◎"))</f>
        <v>○</v>
      </c>
      <c r="AJ16" s="14" t="str">
        <f xml:space="preserve">
IF(AND(AF16="○",AG16="○",AH16="○",AI16="○"),"",
IF(AND(AF16="○",AG16="○",AH16="○",AI16="◎"),"【"&amp;AK16&amp;"行目】【整備先・内容】未入力、【規格・数量】未入力、【単価】未入力"&amp;CHAR(10),
IF(AND(AF16="○",AG16="○",AH16="×",AI16="○"),"【"&amp;AK16&amp;"行目】【整備先・内容】未入力、【規格・数量】未入力、【単価】入力不十分、【補助対象区分】未入力"&amp;CHAR(10),
IF(AND(AF16="○",AG16="○",AH16="×",AI16="◎"),"【"&amp;AK16&amp;"行目】【整備先・内容】未入力、【規格・数量】未入力、【単価】入力不十分"&amp;CHAR(10),
IF(AND(AF16="○",AG16="○",AH16="◎",AI16="○"),"【"&amp;AK16&amp;"行目】【整備先・内容】未入力、【規格・数量】未入力、【補助対象区分】未入力"&amp;CHAR(10),
IF(AND(AF16="○",AG16="○",AH16="◎",AI16="◎"),"【"&amp;AK16&amp;"行目】【整備先・内容】未入力、【規格・数量】未入力"&amp;CHAR(10),
IF(AND(AF16="○",AG16="×",AH16="○",AI16="○"),"【"&amp;AK16&amp;"行目】【整備先・内容】未入力、【規格・数量】入力不十分、【単価】未入力、【補助対象区分】未入力"&amp;CHAR(10),
IF(AND(AF16="○",AG16="×",AH16="○",AI16="◎"),"【"&amp;AK16&amp;"行目】【整備先・内容】未入力、【規格・数量】入力不十分、【単価】未入力"&amp;CHAR(10),
IF(AND(AF16="○",AG16="×",AH16="×",AI16="○"),"【"&amp;AK16&amp;"行目】【整備先・内容】未入力、【規格・数量】入力不十分、【単価】入力不十分、【補助対象区分】未入力"&amp;CHAR(10),
IF(AND(AF16="○",AG16="×",AH16="×",AI16="◎"),"【"&amp;AK16&amp;"行目】【整備先・内容】未入力、【規格・数量】入力不十分、【単価】入力不十分"&amp;CHAR(10),
IF(AND(AF16="○",AG16="×",AH16="◎",AI16="○"),"【"&amp;AK16&amp;"行目】【整備先・内容】未入力、【規格・数量】入力不十分、【補助対象区分】未入力"&amp;CHAR(10),
IF(AND(AF16="○",AG16="×",AH16="◎",AI16="◎"),"【"&amp;AK16&amp;"行目】【整備先・内容】未入力、【規格・数量】入力不十分"&amp;CHAR(10),
IF(AND(AF16="○",AG16="◎",AH16="○",AI16="○"),"【"&amp;AK16&amp;"行目】【整備先・内容】未入力、【単価】未入力、【補助対象区分】未入力"&amp;CHAR(10),
IF(AND(AF16="○",AG16="◎",AH16="○",AI16="◎"),"【"&amp;AK16&amp;"行目】【整備先・内容】未入力、【単価】未入力"&amp;CHAR(10),
IF(AND(AF16="○",AG16="◎",AH16="×",AI16="○"),"【"&amp;AK16&amp;"行目】【整備先・内容】未入力、【単価】入力不十分、【補助対象区分】未入力"&amp;CHAR(10),
IF(AND(AF16="○",AG16="◎",AH16="×",AI16="◎"),"【"&amp;AK16&amp;"行目】【整備先・内容】未入力、【単価】入力不十分"&amp;CHAR(10),
IF(AND(AF16="○",AG16="◎",AH16="◎",AI16="○"),"【"&amp;AK16&amp;"行目】【整備先・内容】未入力、【補助対象区分】未入力"&amp;CHAR(10),
IF(AND(AF16="○",AG16="◎",AH16="◎",AI16="◎"),"【"&amp;AK16&amp;"行目】【整備先・内容】未入力"&amp;CHAR(10),
IF(AND(AF16="×",AG16="○",AH16="○",AI16="○"),"【"&amp;AK16&amp;"行目】【整備先・内容】入力不十分、【規格・数量】未入力、【単価】未入力、【補助対象区分】未入力"&amp;CHAR(10),
IF(AND(AF16="×",AG16="○",AH16="○",AI16="◎"),"【"&amp;AK16&amp;"行目】【整備先・内容】入力不十分、【規格・数量】未入力、【単価】未入力"&amp;CHAR(10),
IF(AND(AF16="×",AG16="○",AH16="×",AI16="○"),"【"&amp;AK16&amp;"行目】【整備先・内容】入力不十分、【規格・数量】未入力、【単価】入力不十分、【補助対象区分】未入力"&amp;CHAR(10),
IF(AND(AF16="×",AG16="○",AH16="×",AI16="◎"),"【"&amp;AK16&amp;"行目】【整備先・内容】入力不十分、【規格・数量】未入力、【単価】入力不十分"&amp;CHAR(10),
IF(AND(AF16="×",AG16="○",AH16="◎",AI16="○"),"【"&amp;AK16&amp;"行目】【整備先・内容】入力不十分、【規格・数量】未入力、【補助対象区分】未入力"&amp;CHAR(10),
IF(AND(AF16="×",AG16="○",AH16="◎",AI16="◎"),"【"&amp;AK16&amp;"行目】【整備先・内容】入力不十分、【規格・数量】未入力"&amp;CHAR(10),
IF(AND(AF16="×",AG16="×",AH16="○",AI16="○"),"【"&amp;AK16&amp;"行目】【整備先・内容】入力不十分、【規格・数量】入力不十分、【単価】未入力、【補助対象区分】未入力"&amp;CHAR(10),
IF(AND(AF16="×",AG16="×",AH16="○",AI16="◎"),"【"&amp;AK16&amp;"行目】【整備先・内容】入力不十分、【規格・数量】入力不十分、【単価】未入力"&amp;CHAR(10),
IF(AND(AF16="×",AG16="×",AH16="×",AI16="○"),"【"&amp;AK16&amp;"行目】【整備先・内容】入力不十分、【規格・数量】入力不十分、【単価】入力不十分、【補助対象区分】未入力"&amp;CHAR(10),
IF(AND(AF16="×",AG16="×",AH16="×",AI16="◎"),"【"&amp;AK16&amp;"行目】【整備先・内容】入力不十分、【規格・数量】入力不十分、【単価】入力不十分"&amp;CHAR(10),
IF(AND(AF16="×",AG16="×",AH16="◎",AI16="○"),"【"&amp;AK16&amp;"行目】【整備先・内容】入力不十分、【規格・数量】入力不十分、【補助対象区分】未入力"&amp;CHAR(10),
IF(AND(AF16="×",AG16="×",AH16="◎",AI16="◎"),"【"&amp;AK16&amp;"行目】【整備先・内容】入力不十分、【規格・数量】入力不十分"&amp;CHAR(10),
IF(AND(AF16="×",AG16="◎",AH16="○",AI16="○"),"【"&amp;AK16&amp;"行目】【整備先・内容】入力不十分、【単価】未入力、【補助対象区分】未入力"&amp;CHAR(10),
IF(AND(AF16="×",AG16="◎",AH16="○",AI16="◎"),"【"&amp;AK16&amp;"行目】【整備先・内容】入力不十分、【単価】未入力"&amp;CHAR(10),
IF(AND(AF16="×",AG16="◎",AH16="×",AI16="○"),"【"&amp;AK16&amp;"行目】【整備先・内容】入力不十分、【単価】入力不十分、【補助対象区分】未入力"&amp;CHAR(10),
IF(AND(AF16="×",AG16="◎",AH16="×",AI16="◎"),"【"&amp;AK16&amp;"行目】【整備先・内容】入力不十分、【単価】入力不十分"&amp;CHAR(10),
IF(AND(AF16="×",AG16="◎",AH16="◎",AI16="○"),"【"&amp;AK16&amp;"行目】【整備先・内容】入力不十分、【補助対象区分】未入力"&amp;CHAR(10),
IF(AND(AF16="×",AG16="◎",AH16="◎",AI16="◎"),"【"&amp;AK16&amp;"行目】【整備先・内容】入力不十分"&amp;CHAR(10),
IF(AND(AF16="◎",AG16="○",AH16="○",AI16="○"),"【"&amp;AK16&amp;"行目】【規格・数量】未入力、【単価】未入力、【補助対象区分】未入力"&amp;CHAR(10),
IF(AND(AF16="◎",AG16="○",AH16="○",AI16="◎"),"【"&amp;AK16&amp;"行目】【規格・数量】未入力、【単価】未入力"&amp;CHAR(10),
IF(AND(AF16="◎",AG16="○",AH16="×",AI16="○"),"【"&amp;AK16&amp;"行目】【規格・数量】未入力、【単価】入力不十分、【補助対象区分】未入力"&amp;CHAR(10),
IF(AND(AF16="◎",AG16="○",AH16="×",AI16="◎"),"【"&amp;AK16&amp;"行目】【規格・数量】未入力、【単価】入力不十分"&amp;CHAR(10),
IF(AND(AF16="◎",AG16="○",AH16="◎",AI16="○"),"【"&amp;AK16&amp;"行目】【規格・数量】未入力、【補助対象区分】未入力"&amp;CHAR(10),
IF(AND(AF16="◎",AG16="○",AH16="◎",AI16="◎"),"【"&amp;AK16&amp;"行目】【規格・数量】未入力"&amp;CHAR(10),
IF(AND(AF16="◎",AG16="×",AH16="○",AI16="○"),"【"&amp;AK16&amp;"行目】【規格・数量】入力不十分、【単価】未入力、【補助対象区分】未入力"&amp;CHAR(10),
IF(AND(AF16="◎",AG16="×",AH16="○",AI16="◎"),"【"&amp;AK16&amp;"行目】【規格・数量】入力不十分、【単価】未入力"&amp;CHAR(10),
IF(AND(AF16="◎",AG16="×",AH16="×",AI16="○"),"【"&amp;AK16&amp;"行目】【規格・数量】入力不十分、【単価】入力不十分、【補助対象区分】未入力"&amp;CHAR(10),
IF(AND(AF16="◎",AG16="×",AH16="×",AI16="◎"),"【"&amp;AK16&amp;"行目】【規格・数量】入力不十分、【単価】入力不十分"&amp;CHAR(10),
IF(AND(AF16="◎",AG16="×",AH16="◎",AI16="○"),"【"&amp;AK16&amp;"行目】【規格・数量】入力不十分、【補助対象区分】未入力"&amp;CHAR(10),
IF(AND(AF16="◎",AG16="×",AH16="◎",AI16="◎"),"【"&amp;AK16&amp;"行目】【規格・数量】入力不十分"&amp;CHAR(10),
IF(AND(AF16="◎",AG16="◎",AH16="○",AI16="○"),"【"&amp;AK16&amp;"行目】【単価】未入力、【補助対象区分】未入力"&amp;CHAR(10),
IF(AND(AF16="◎",AG16="◎",AH16="○",AI16="◎"),"【"&amp;AK16&amp;"行目】【単価】未入力"&amp;CHAR(10),
IF(AND(AF16="◎",AG16="◎",AH16="×",AI16="○"),"【"&amp;AK16&amp;"行目】【単価】入力不十分、【補助対象区分】未入力"&amp;CHAR(10),
IF(AND(AF16="◎",AG16="◎",AH16="×",AI16="◎"),"【"&amp;AK16&amp;"行目】【単価】入力不十分"&amp;CHAR(10),
IF(AND(AF16="◎",AG16="◎",AH16="◎",AI16="○"),"【"&amp;AK16&amp;"行目】【補助対象区分】未入力"&amp;CHAR(10),
IF(AND(AF16="◎",AG16="◎",AH16="◎",AI16="◎"),"",
))))))))))))))))))))))))))))))))))))))))))))))))))))))</f>
        <v/>
      </c>
      <c r="AK16" s="52">
        <v>1</v>
      </c>
    </row>
    <row r="17" spans="1:75" ht="24.95" customHeight="1">
      <c r="A17" s="38">
        <v>2</v>
      </c>
      <c r="B17" s="313"/>
      <c r="C17" s="313"/>
      <c r="D17" s="313"/>
      <c r="E17" s="314"/>
      <c r="F17" s="315"/>
      <c r="G17" s="316"/>
      <c r="H17" s="316"/>
      <c r="I17" s="45">
        <f t="shared" ref="I17:I50" si="0">IF(G17="",H17*F17,ROUNDDOWN(F17*G17*1.1,0))</f>
        <v>0</v>
      </c>
      <c r="J17" s="317"/>
      <c r="K17" s="45">
        <f t="shared" ref="K17:K50" si="1">IF(J17="補助対象",I17,IF(J17="補助対象外",0,0))</f>
        <v>0</v>
      </c>
      <c r="L17" s="44" t="str">
        <f>IF(AD17="◎",COUNTIF($AD$16:AD17,"◎"),"")</f>
        <v/>
      </c>
      <c r="W17" s="234" t="str">
        <f>IF(B17="既設病床",はじめに入力してください!$K$12,IF(B17="新設病床",はじめに入力してください!$K$13,IF(B17="共通使用",1,"")))</f>
        <v/>
      </c>
      <c r="X17" s="41" t="e">
        <f ca="1">OFFSET(#REF!,
0,
MATCH(B17,#REF!,0),
COUNTA(OFFSET(#REF!,0,MATCH(B17,#REF!,0), 150,1)),1)</f>
        <v>#REF!</v>
      </c>
      <c r="AC17" s="49" t="s">
        <v>69</v>
      </c>
      <c r="AD17" s="231" t="str">
        <f t="shared" ref="AD17:AD50" si="2" xml:space="preserve">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f>
        <v>○</v>
      </c>
      <c r="AE17" s="35" t="str">
        <f t="shared" ref="AE17:AE50" si="3" xml:space="preserve">
IF(AND(AF17="○",AG17="○",AH17="○",AI17="○"),"申請しない場合は入力不要です。",
IF(AND(AF17="○",AG17="○",AH17="○",AI17="◎"),"【要修正】【整備先・内容】未入力、【規格・数量】未入力、【単価】未入力"&amp;CHAR(10),
IF(AND(AF17="○",AG17="○",AH17="×",AI17="○"),"【要修正】【整備先・内容】未入力、【規格・数量】未入力、【単価】入力不十分、【補助対象区分】未入力"&amp;CHAR(10),
IF(AND(AF17="○",AG17="○",AH17="×",AI17="◎"),"【要修正】【整備先・内容】未入力、【規格・数量】未入力、【単価】入力不十分"&amp;CHAR(10),
IF(AND(AF17="○",AG17="○",AH17="◎",AI17="○"),"【要修正】【整備先・内容】未入力、【規格・数量】未入力、【補助対象区分】未入力"&amp;CHAR(10),
IF(AND(AF17="○",AG17="○",AH17="◎",AI17="◎"),"【要修正】【整備先・内容】未入力、【規格・数量】未入力"&amp;CHAR(10),
IF(AND(AF17="○",AG17="×",AH17="○",AI17="○"),"【要修正】【整備先・内容】未入力、【規格・数量】入力不十分、【単価】未入力、【補助対象区分】未入力"&amp;CHAR(10),
IF(AND(AF17="○",AG17="×",AH17="○",AI17="◎"),"【要修正】【整備先・内容】未入力、【規格・数量】入力不十分、【単価】未入力"&amp;CHAR(10),
IF(AND(AF17="○",AG17="×",AH17="×",AI17="○"),"【要修正】【整備先・内容】未入力、【規格・数量】入力不十分、【単価】入力不十分、【補助対象区分】未入力"&amp;CHAR(10),
IF(AND(AF17="○",AG17="×",AH17="×",AI17="◎"),"【要修正】【整備先・内容】未入力、【規格・数量】入力不十分、【単価】入力不十分"&amp;CHAR(10),
IF(AND(AF17="○",AG17="×",AH17="◎",AI17="○"),"【要修正】【整備先・内容】未入力、【規格・数量】入力不十分、【補助対象区分】未入力"&amp;CHAR(10),
IF(AND(AF17="○",AG17="×",AH17="◎",AI17="◎"),"【要修正】【整備先・内容】未入力、【規格・数量】入力不十分"&amp;CHAR(10),
IF(AND(AF17="○",AG17="◎",AH17="○",AI17="○"),"【要修正】【整備先・内容】未入力、【単価】未入力、【補助対象区分】未入力"&amp;CHAR(10),
IF(AND(AF17="○",AG17="◎",AH17="○",AI17="◎"),"【要修正】【整備先・内容】未入力、【単価】未入力"&amp;CHAR(10),
IF(AND(AF17="○",AG17="◎",AH17="×",AI17="○"),"【要修正】【整備先・内容】未入力、【単価】入力不十分、【補助対象区分】未入力"&amp;CHAR(10),
IF(AND(AF17="○",AG17="◎",AH17="×",AI17="◎"),"【要修正】【整備先・内容】未入力、【単価】入力不十分"&amp;CHAR(10),
IF(AND(AF17="○",AG17="◎",AH17="◎",AI17="○"),"【要修正】【整備先・内容】未入力、【補助対象区分】未入力"&amp;CHAR(10),
IF(AND(AF17="○",AG17="◎",AH17="◎",AI17="◎"),"【要修正】【整備先・内容】未入力"&amp;CHAR(10),
IF(AND(AF17="×",AG17="○",AH17="○",AI17="○"),"【要修正】【整備先・内容】入力不十分、【規格・数量】未入力、【単価】未入力、【補助対象区分】未入力"&amp;CHAR(10),
IF(AND(AF17="×",AG17="○",AH17="○",AI17="◎"),"【要修正】【整備先・内容】入力不十分、【規格・数量】未入力、【単価】未入力"&amp;CHAR(10),
IF(AND(AF17="×",AG17="○",AH17="×",AI17="○"),"【要修正】【整備先・内容】入力不十分、【規格・数量】未入力、【単価】入力不十分、【補助対象区分】未入力"&amp;CHAR(10),
IF(AND(AF17="×",AG17="○",AH17="×",AI17="◎"),"【要修正】【整備先・内容】入力不十分、【規格・数量】未入力、【単価】入力不十分"&amp;CHAR(10),
IF(AND(AF17="×",AG17="○",AH17="◎",AI17="○"),"【要修正】【整備先・内容】入力不十分、【規格・数量】未入力、【補助対象区分】未入力"&amp;CHAR(10),
IF(AND(AF17="×",AG17="○",AH17="◎",AI17="◎"),"【要修正】【整備先・内容】入力不十分、【規格・数量】未入力"&amp;CHAR(10),
IF(AND(AF17="×",AG17="×",AH17="○",AI17="○"),"【要修正】【整備先・内容】入力不十分、【規格・数量】入力不十分、【単価】未入力、【補助対象区分】未入力"&amp;CHAR(10),
IF(AND(AF17="×",AG17="×",AH17="○",AI17="◎"),"【要修正】【整備先・内容】入力不十分、【規格・数量】入力不十分、【単価】未入力"&amp;CHAR(10),
IF(AND(AF17="×",AG17="×",AH17="×",AI17="○"),"【要修正】【整備先・内容】入力不十分、【規格・数量】入力不十分、【単価】入力不十分、【補助対象区分】未入力"&amp;CHAR(10),
IF(AND(AF17="×",AG17="×",AH17="×",AI17="◎"),"【要修正】【整備先・内容】入力不十分、【規格・数量】入力不十分、【単価】入力不十分"&amp;CHAR(10),
IF(AND(AF17="×",AG17="×",AH17="◎",AI17="○"),"【要修正】【整備先・内容】入力不十分、【規格・数量】入力不十分、【補助対象区分】未入力"&amp;CHAR(10),
IF(AND(AF17="×",AG17="×",AH17="◎",AI17="◎"),"【要修正】【整備先・内容】入力不十分、【規格・数量】入力不十分"&amp;CHAR(10),
IF(AND(AF17="×",AG17="◎",AH17="○",AI17="○"),"【要修正】【整備先・内容】入力不十分、【単価】未入力、【補助対象区分】未入力"&amp;CHAR(10),
IF(AND(AF17="×",AG17="◎",AH17="○",AI17="◎"),"【要修正】【整備先・内容】入力不十分、【単価】未入力"&amp;CHAR(10),
IF(AND(AF17="×",AG17="◎",AH17="×",AI17="○"),"【要修正】【整備先・内容】入力不十分、【単価】入力不十分、【補助対象区分】未入力"&amp;CHAR(10),
IF(AND(AF17="×",AG17="◎",AH17="×",AI17="◎"),"【要修正】【整備先・内容】入力不十分、【単価】入力不十分"&amp;CHAR(10),
IF(AND(AF17="×",AG17="◎",AH17="◎",AI17="○"),"【要修正】【整備先・内容】入力不十分、【補助対象区分】未入力"&amp;CHAR(10),
IF(AND(AF17="×",AG17="◎",AH17="◎",AI17="◎"),"【要修正】【整備先・内容】入力不十分"&amp;CHAR(10),
IF(AND(AF17="◎",AG17="○",AH17="○",AI17="○"),"【要修正】【規格・数量】未入力、【単価】未入力、【補助対象区分】未入力"&amp;CHAR(10),
IF(AND(AF17="◎",AG17="○",AH17="○",AI17="◎"),"【要修正】【規格・数量】未入力、【単価】未入力"&amp;CHAR(10),
IF(AND(AF17="◎",AG17="○",AH17="×",AI17="○"),"【要修正】【規格・数量】未入力、【単価】入力不十分、【補助対象区分】未入力"&amp;CHAR(10),
IF(AND(AF17="◎",AG17="○",AH17="×",AI17="◎"),"【要修正】【規格・数量】未入力、【単価】入力不十分"&amp;CHAR(10),
IF(AND(AF17="◎",AG17="○",AH17="◎",AI17="○"),"【要修正】【規格・数量】未入力、【補助対象区分】未入力"&amp;CHAR(10),
IF(AND(AF17="◎",AG17="○",AH17="◎",AI17="◎"),"【要修正】【規格・数量】未入力"&amp;CHAR(10),
IF(AND(AF17="◎",AG17="×",AH17="○",AI17="○"),"【要修正】【規格・数量】入力不十分、【単価】未入力、【補助対象区分】未入力"&amp;CHAR(10),
IF(AND(AF17="◎",AG17="×",AH17="○",AI17="◎"),"【要修正】【規格・数量】入力不十分、【単価】未入力"&amp;CHAR(10),
IF(AND(AF17="◎",AG17="×",AH17="×",AI17="○"),"【要修正】【規格・数量】入力不十分、【単価】入力不十分、【補助対象区分】未入力"&amp;CHAR(10),
IF(AND(AF17="◎",AG17="×",AH17="×",AI17="◎"),"【要修正】【規格・数量】入力不十分、【単価】入力不十分"&amp;CHAR(10),
IF(AND(AF17="◎",AG17="×",AH17="◎",AI17="○"),"【要修正】【規格・数量】入力不十分、【補助対象区分】未入力"&amp;CHAR(10),
IF(AND(AF17="◎",AG17="×",AH17="◎",AI17="◎"),"【要修正】【規格・数量】入力不十分"&amp;CHAR(10),
IF(AND(AF17="◎",AG17="◎",AH17="○",AI17="○"),"【要修正】【単価】未入力、【補助対象区分】未入力"&amp;CHAR(10),
IF(AND(AF17="◎",AG17="◎",AH17="○",AI17="◎"),"【要修正】【単価】未入力"&amp;CHAR(10),
IF(AND(AF17="◎",AG17="◎",AH17="×",AI17="○"),"【要修正】【単価】入力不十分、【補助対象区分】未入力"&amp;CHAR(10),
IF(AND(AF17="◎",AG17="◎",AH17="×",AI17="◎"),"【要修正】【単価】入力不十分"&amp;CHAR(10),
IF(AND(AF17="◎",AG17="◎",AH17="◎",AI17="○"),"【要修正】【補助対象区分】未入力"&amp;CHAR(10),
IF(AND(AF17="◎",AG17="◎",AH17="◎",AI17="◎"),"適切に入力がされました。",
))))))))))))))))))))))))))))))))))))))))))))))))))))))</f>
        <v>申請しない場合は入力不要です。</v>
      </c>
      <c r="AF17" s="234" t="str">
        <f t="shared" ref="AF17:AF50" si="4">IF(COUNTA(B17:D17)=0,"○",IF(AND(COUNTA(B17:D17)&gt;=1,COUNTA(B17:D17)&lt;3),"×",IF(COUNTA(B17:D17)=3,"◎")))</f>
        <v>○</v>
      </c>
      <c r="AG17" s="234" t="str">
        <f t="shared" ref="AG17:AG50" si="5">IF(COUNTA(E17,F17,J17)=0,"○",IF(AND(COUNTA(E17,F17,J17)&gt;=1,COUNTA(E17,F17,J17)&lt;3),"×",IF(COUNTA(E17,F17,J17)=3,"◎")))</f>
        <v>○</v>
      </c>
      <c r="AH17" s="234" t="str">
        <f t="shared" ref="AH17:AH50" si="6">IF(COUNTA(G17:H17)=0,"○",IF(COUNTA(G17:H17)=1,"◎",IF(COUNTA(G17:H17)=2,"×")))</f>
        <v>○</v>
      </c>
      <c r="AI17" s="231" t="str">
        <f t="shared" ref="AI17:AI50" si="7">IF(COUNTA(J17)=0,"○",IF(COUNTA(J17)=1,"◎"))</f>
        <v>○</v>
      </c>
      <c r="AJ17" s="14" t="str">
        <f t="shared" ref="AJ17:AJ50" si="8" xml:space="preserve">
IF(AND(AF17="○",AG17="○",AH17="○",AI17="○"),"",
IF(AND(AF17="○",AG17="○",AH17="○",AI17="◎"),"【"&amp;AK17&amp;"行目】【整備先・内容】未入力、【規格・数量】未入力、【単価】未入力"&amp;CHAR(10),
IF(AND(AF17="○",AG17="○",AH17="×",AI17="○"),"【"&amp;AK17&amp;"行目】【整備先・内容】未入力、【規格・数量】未入力、【単価】入力不十分、【補助対象区分】未入力"&amp;CHAR(10),
IF(AND(AF17="○",AG17="○",AH17="×",AI17="◎"),"【"&amp;AK17&amp;"行目】【整備先・内容】未入力、【規格・数量】未入力、【単価】入力不十分"&amp;CHAR(10),
IF(AND(AF17="○",AG17="○",AH17="◎",AI17="○"),"【"&amp;AK17&amp;"行目】【整備先・内容】未入力、【規格・数量】未入力、【補助対象区分】未入力"&amp;CHAR(10),
IF(AND(AF17="○",AG17="○",AH17="◎",AI17="◎"),"【"&amp;AK17&amp;"行目】【整備先・内容】未入力、【規格・数量】未入力"&amp;CHAR(10),
IF(AND(AF17="○",AG17="×",AH17="○",AI17="○"),"【"&amp;AK17&amp;"行目】【整備先・内容】未入力、【規格・数量】入力不十分、【単価】未入力、【補助対象区分】未入力"&amp;CHAR(10),
IF(AND(AF17="○",AG17="×",AH17="○",AI17="◎"),"【"&amp;AK17&amp;"行目】【整備先・内容】未入力、【規格・数量】入力不十分、【単価】未入力"&amp;CHAR(10),
IF(AND(AF17="○",AG17="×",AH17="×",AI17="○"),"【"&amp;AK17&amp;"行目】【整備先・内容】未入力、【規格・数量】入力不十分、【単価】入力不十分、【補助対象区分】未入力"&amp;CHAR(10),
IF(AND(AF17="○",AG17="×",AH17="×",AI17="◎"),"【"&amp;AK17&amp;"行目】【整備先・内容】未入力、【規格・数量】入力不十分、【単価】入力不十分"&amp;CHAR(10),
IF(AND(AF17="○",AG17="×",AH17="◎",AI17="○"),"【"&amp;AK17&amp;"行目】【整備先・内容】未入力、【規格・数量】入力不十分、【補助対象区分】未入力"&amp;CHAR(10),
IF(AND(AF17="○",AG17="×",AH17="◎",AI17="◎"),"【"&amp;AK17&amp;"行目】【整備先・内容】未入力、【規格・数量】入力不十分"&amp;CHAR(10),
IF(AND(AF17="○",AG17="◎",AH17="○",AI17="○"),"【"&amp;AK17&amp;"行目】【整備先・内容】未入力、【単価】未入力、【補助対象区分】未入力"&amp;CHAR(10),
IF(AND(AF17="○",AG17="◎",AH17="○",AI17="◎"),"【"&amp;AK17&amp;"行目】【整備先・内容】未入力、【単価】未入力"&amp;CHAR(10),
IF(AND(AF17="○",AG17="◎",AH17="×",AI17="○"),"【"&amp;AK17&amp;"行目】【整備先・内容】未入力、【単価】入力不十分、【補助対象区分】未入力"&amp;CHAR(10),
IF(AND(AF17="○",AG17="◎",AH17="×",AI17="◎"),"【"&amp;AK17&amp;"行目】【整備先・内容】未入力、【単価】入力不十分"&amp;CHAR(10),
IF(AND(AF17="○",AG17="◎",AH17="◎",AI17="○"),"【"&amp;AK17&amp;"行目】【整備先・内容】未入力、【補助対象区分】未入力"&amp;CHAR(10),
IF(AND(AF17="○",AG17="◎",AH17="◎",AI17="◎"),"【"&amp;AK17&amp;"行目】【整備先・内容】未入力"&amp;CHAR(10),
IF(AND(AF17="×",AG17="○",AH17="○",AI17="○"),"【"&amp;AK17&amp;"行目】【整備先・内容】入力不十分、【規格・数量】未入力、【単価】未入力、【補助対象区分】未入力"&amp;CHAR(10),
IF(AND(AF17="×",AG17="○",AH17="○",AI17="◎"),"【"&amp;AK17&amp;"行目】【整備先・内容】入力不十分、【規格・数量】未入力、【単価】未入力"&amp;CHAR(10),
IF(AND(AF17="×",AG17="○",AH17="×",AI17="○"),"【"&amp;AK17&amp;"行目】【整備先・内容】入力不十分、【規格・数量】未入力、【単価】入力不十分、【補助対象区分】未入力"&amp;CHAR(10),
IF(AND(AF17="×",AG17="○",AH17="×",AI17="◎"),"【"&amp;AK17&amp;"行目】【整備先・内容】入力不十分、【規格・数量】未入力、【単価】入力不十分"&amp;CHAR(10),
IF(AND(AF17="×",AG17="○",AH17="◎",AI17="○"),"【"&amp;AK17&amp;"行目】【整備先・内容】入力不十分、【規格・数量】未入力、【補助対象区分】未入力"&amp;CHAR(10),
IF(AND(AF17="×",AG17="○",AH17="◎",AI17="◎"),"【"&amp;AK17&amp;"行目】【整備先・内容】入力不十分、【規格・数量】未入力"&amp;CHAR(10),
IF(AND(AF17="×",AG17="×",AH17="○",AI17="○"),"【"&amp;AK17&amp;"行目】【整備先・内容】入力不十分、【規格・数量】入力不十分、【単価】未入力、【補助対象区分】未入力"&amp;CHAR(10),
IF(AND(AF17="×",AG17="×",AH17="○",AI17="◎"),"【"&amp;AK17&amp;"行目】【整備先・内容】入力不十分、【規格・数量】入力不十分、【単価】未入力"&amp;CHAR(10),
IF(AND(AF17="×",AG17="×",AH17="×",AI17="○"),"【"&amp;AK17&amp;"行目】【整備先・内容】入力不十分、【規格・数量】入力不十分、【単価】入力不十分、【補助対象区分】未入力"&amp;CHAR(10),
IF(AND(AF17="×",AG17="×",AH17="×",AI17="◎"),"【"&amp;AK17&amp;"行目】【整備先・内容】入力不十分、【規格・数量】入力不十分、【単価】入力不十分"&amp;CHAR(10),
IF(AND(AF17="×",AG17="×",AH17="◎",AI17="○"),"【"&amp;AK17&amp;"行目】【整備先・内容】入力不十分、【規格・数量】入力不十分、【補助対象区分】未入力"&amp;CHAR(10),
IF(AND(AF17="×",AG17="×",AH17="◎",AI17="◎"),"【"&amp;AK17&amp;"行目】【整備先・内容】入力不十分、【規格・数量】入力不十分"&amp;CHAR(10),
IF(AND(AF17="×",AG17="◎",AH17="○",AI17="○"),"【"&amp;AK17&amp;"行目】【整備先・内容】入力不十分、【単価】未入力、【補助対象区分】未入力"&amp;CHAR(10),
IF(AND(AF17="×",AG17="◎",AH17="○",AI17="◎"),"【"&amp;AK17&amp;"行目】【整備先・内容】入力不十分、【単価】未入力"&amp;CHAR(10),
IF(AND(AF17="×",AG17="◎",AH17="×",AI17="○"),"【"&amp;AK17&amp;"行目】【整備先・内容】入力不十分、【単価】入力不十分、【補助対象区分】未入力"&amp;CHAR(10),
IF(AND(AF17="×",AG17="◎",AH17="×",AI17="◎"),"【"&amp;AK17&amp;"行目】【整備先・内容】入力不十分、【単価】入力不十分"&amp;CHAR(10),
IF(AND(AF17="×",AG17="◎",AH17="◎",AI17="○"),"【"&amp;AK17&amp;"行目】【整備先・内容】入力不十分、【補助対象区分】未入力"&amp;CHAR(10),
IF(AND(AF17="×",AG17="◎",AH17="◎",AI17="◎"),"【"&amp;AK17&amp;"行目】【整備先・内容】入力不十分"&amp;CHAR(10),
IF(AND(AF17="◎",AG17="○",AH17="○",AI17="○"),"【"&amp;AK17&amp;"行目】【規格・数量】未入力、【単価】未入力、【補助対象区分】未入力"&amp;CHAR(10),
IF(AND(AF17="◎",AG17="○",AH17="○",AI17="◎"),"【"&amp;AK17&amp;"行目】【規格・数量】未入力、【単価】未入力"&amp;CHAR(10),
IF(AND(AF17="◎",AG17="○",AH17="×",AI17="○"),"【"&amp;AK17&amp;"行目】【規格・数量】未入力、【単価】入力不十分、【補助対象区分】未入力"&amp;CHAR(10),
IF(AND(AF17="◎",AG17="○",AH17="×",AI17="◎"),"【"&amp;AK17&amp;"行目】【規格・数量】未入力、【単価】入力不十分"&amp;CHAR(10),
IF(AND(AF17="◎",AG17="○",AH17="◎",AI17="○"),"【"&amp;AK17&amp;"行目】【規格・数量】未入力、【補助対象区分】未入力"&amp;CHAR(10),
IF(AND(AF17="◎",AG17="○",AH17="◎",AI17="◎"),"【"&amp;AK17&amp;"行目】【規格・数量】未入力"&amp;CHAR(10),
IF(AND(AF17="◎",AG17="×",AH17="○",AI17="○"),"【"&amp;AK17&amp;"行目】【規格・数量】入力不十分、【単価】未入力、【補助対象区分】未入力"&amp;CHAR(10),
IF(AND(AF17="◎",AG17="×",AH17="○",AI17="◎"),"【"&amp;AK17&amp;"行目】【規格・数量】入力不十分、【単価】未入力"&amp;CHAR(10),
IF(AND(AF17="◎",AG17="×",AH17="×",AI17="○"),"【"&amp;AK17&amp;"行目】【規格・数量】入力不十分、【単価】入力不十分、【補助対象区分】未入力"&amp;CHAR(10),
IF(AND(AF17="◎",AG17="×",AH17="×",AI17="◎"),"【"&amp;AK17&amp;"行目】【規格・数量】入力不十分、【単価】入力不十分"&amp;CHAR(10),
IF(AND(AF17="◎",AG17="×",AH17="◎",AI17="○"),"【"&amp;AK17&amp;"行目】【規格・数量】入力不十分、【補助対象区分】未入力"&amp;CHAR(10),
IF(AND(AF17="◎",AG17="×",AH17="◎",AI17="◎"),"【"&amp;AK17&amp;"行目】【規格・数量】入力不十分"&amp;CHAR(10),
IF(AND(AF17="◎",AG17="◎",AH17="○",AI17="○"),"【"&amp;AK17&amp;"行目】【単価】未入力、【補助対象区分】未入力"&amp;CHAR(10),
IF(AND(AF17="◎",AG17="◎",AH17="○",AI17="◎"),"【"&amp;AK17&amp;"行目】【単価】未入力"&amp;CHAR(10),
IF(AND(AF17="◎",AG17="◎",AH17="×",AI17="○"),"【"&amp;AK17&amp;"行目】【単価】入力不十分、【補助対象区分】未入力"&amp;CHAR(10),
IF(AND(AF17="◎",AG17="◎",AH17="×",AI17="◎"),"【"&amp;AK17&amp;"行目】【単価】入力不十分"&amp;CHAR(10),
IF(AND(AF17="◎",AG17="◎",AH17="◎",AI17="○"),"【"&amp;AK17&amp;"行目】【補助対象区分】未入力"&amp;CHAR(10),
IF(AND(AF17="◎",AG17="◎",AH17="◎",AI17="◎"),"",
))))))))))))))))))))))))))))))))))))))))))))))))))))))</f>
        <v/>
      </c>
      <c r="AK17" s="52">
        <v>2</v>
      </c>
    </row>
    <row r="18" spans="1:75" ht="24.95" customHeight="1">
      <c r="A18" s="38">
        <v>3</v>
      </c>
      <c r="B18" s="313"/>
      <c r="C18" s="313"/>
      <c r="D18" s="313"/>
      <c r="E18" s="314"/>
      <c r="F18" s="315"/>
      <c r="G18" s="316"/>
      <c r="H18" s="316"/>
      <c r="I18" s="45">
        <f t="shared" si="0"/>
        <v>0</v>
      </c>
      <c r="J18" s="317"/>
      <c r="K18" s="45">
        <f t="shared" si="1"/>
        <v>0</v>
      </c>
      <c r="L18" s="44" t="str">
        <f>IF(AD18="◎",COUNTIF($AD$16:AD18,"◎"),"")</f>
        <v/>
      </c>
      <c r="W18" s="234" t="str">
        <f>IF(B18="既設病床",はじめに入力してください!$K$12,IF(B18="新設病床",はじめに入力してください!$K$13,IF(B18="共通使用",1,"")))</f>
        <v/>
      </c>
      <c r="AC18" s="49" t="s">
        <v>69</v>
      </c>
      <c r="AD18" s="231" t="str">
        <f t="shared" si="2"/>
        <v>○</v>
      </c>
      <c r="AE18" s="35" t="str">
        <f t="shared" si="3"/>
        <v>申請しない場合は入力不要です。</v>
      </c>
      <c r="AF18" s="234" t="str">
        <f t="shared" si="4"/>
        <v>○</v>
      </c>
      <c r="AG18" s="234" t="str">
        <f t="shared" si="5"/>
        <v>○</v>
      </c>
      <c r="AH18" s="234" t="str">
        <f t="shared" si="6"/>
        <v>○</v>
      </c>
      <c r="AI18" s="231" t="str">
        <f t="shared" si="7"/>
        <v>○</v>
      </c>
      <c r="AJ18" s="14" t="str">
        <f t="shared" si="8"/>
        <v/>
      </c>
      <c r="AK18" s="52">
        <v>3</v>
      </c>
      <c r="AY18" s="760" t="s">
        <v>76</v>
      </c>
      <c r="AZ18" s="761"/>
      <c r="BA18" s="761"/>
      <c r="BB18" s="761"/>
      <c r="BC18" s="762"/>
      <c r="BD18" s="760" t="s">
        <v>75</v>
      </c>
      <c r="BE18" s="761"/>
      <c r="BF18" s="761"/>
      <c r="BG18" s="761"/>
      <c r="BH18" s="762"/>
      <c r="BO18" s="198" t="s">
        <v>123</v>
      </c>
      <c r="BP18" s="198" t="s">
        <v>64</v>
      </c>
      <c r="BQ18" s="198" t="s">
        <v>122</v>
      </c>
      <c r="BR18" s="198" t="s">
        <v>121</v>
      </c>
      <c r="BS18" s="763" t="s">
        <v>89</v>
      </c>
      <c r="BT18" s="764"/>
      <c r="BU18" s="764"/>
      <c r="BV18" s="764"/>
      <c r="BW18" s="764"/>
    </row>
    <row r="19" spans="1:75" ht="24.95" customHeight="1">
      <c r="A19" s="38">
        <v>4</v>
      </c>
      <c r="B19" s="313"/>
      <c r="C19" s="313"/>
      <c r="D19" s="313"/>
      <c r="E19" s="314"/>
      <c r="F19" s="315"/>
      <c r="G19" s="316"/>
      <c r="H19" s="316"/>
      <c r="I19" s="45">
        <f t="shared" si="0"/>
        <v>0</v>
      </c>
      <c r="J19" s="317"/>
      <c r="K19" s="45">
        <f t="shared" si="1"/>
        <v>0</v>
      </c>
      <c r="L19" s="44" t="str">
        <f>IF(AD19="◎",COUNTIF($AD$16:AD19,"◎"),"")</f>
        <v/>
      </c>
      <c r="W19" s="234" t="str">
        <f>IF(B19="既設病床",はじめに入力してください!$K$12,IF(B19="新設病床",はじめに入力してください!$K$13,IF(B19="共通使用",1,"")))</f>
        <v/>
      </c>
      <c r="Y19" s="203"/>
      <c r="AC19" s="49" t="s">
        <v>69</v>
      </c>
      <c r="AD19" s="231" t="str">
        <f t="shared" si="2"/>
        <v>○</v>
      </c>
      <c r="AE19" s="35" t="str">
        <f t="shared" si="3"/>
        <v>申請しない場合は入力不要です。</v>
      </c>
      <c r="AF19" s="234" t="str">
        <f t="shared" si="4"/>
        <v>○</v>
      </c>
      <c r="AG19" s="234" t="str">
        <f t="shared" si="5"/>
        <v>○</v>
      </c>
      <c r="AH19" s="234" t="str">
        <f t="shared" si="6"/>
        <v>○</v>
      </c>
      <c r="AI19" s="231" t="str">
        <f t="shared" si="7"/>
        <v>○</v>
      </c>
      <c r="AJ19" s="14" t="str">
        <f t="shared" si="8"/>
        <v/>
      </c>
      <c r="AK19" s="52">
        <v>4</v>
      </c>
      <c r="AY19" s="765" t="e">
        <f>IF(BP19="○","個人防護具の申請を行わない場合は可",IF(BP19="×","　【未入力有】"&amp;CHAR(10)&amp;"　補助基準額を算出するため黄色セルを"&amp;CHAR(10)&amp;"　どちらも入力してください。"&amp;CHAR(10)&amp;"（「0」は入力しないでください。）",IF(BP19="◎","適切に入力されました。"&amp;CHAR(10)&amp;"延"&amp;#REF!&amp;"人×3,600円/円・日="&amp;TEXT(#REF!*3600,"#,##0")&amp;"円")))</f>
        <v>#REF!</v>
      </c>
      <c r="AZ19" s="766"/>
      <c r="BA19" s="766"/>
      <c r="BB19" s="766"/>
      <c r="BC19" s="767"/>
      <c r="BD19" s="766" t="str">
        <f>IF(BP20="×","【要修正】"&amp;CHAR(10)&amp;"入力が適切に完了していない項目があります。"&amp;CHAR(10)&amp;"判定欄が「×」の行は、記載が不十分または不要な入力がされていてる可能性がありますのでご確認をお願いします。",IF(BP20="○","個人防護具の補助申請を行わない場合は可",IF(BP20="◎","適切に入力がされました。"&amp;CHAR(10)&amp;"添付書類（発注、納品および支払いが確認できるもの）の御用意、御提出をお願いします。")))</f>
        <v>個人防護具の補助申請を行わない場合は可</v>
      </c>
      <c r="BE19" s="767"/>
      <c r="BF19" s="767"/>
      <c r="BG19" s="767"/>
      <c r="BH19" s="767"/>
      <c r="BO19" s="52" t="s">
        <v>128</v>
      </c>
      <c r="BP19" s="196" t="e">
        <f>IF(COUNTA(#REF!)=0,"○",IF(OR(COUNTA(#REF!)=1,#REF!=0,#REF!=0),"×",IF(COUNTA(#REF!)=2,"◎")))</f>
        <v>#REF!</v>
      </c>
      <c r="BQ19" s="768" t="e">
        <f xml:space="preserve">
IF(AND(BP19="×",BP20="×"),"×",
IF(AND(BP19="×",BP20="○"),"×",
IF(AND(BP19="×",BP20="◎"),"×",
IF(AND(BP19="○",BP20="×"),"×",
IF(AND(BP19="○",BP20="○"),"○",
IF(AND(BP19="○",BP20="◎"),"×",
IF(AND(BP19="◎",BP20="×"),"×",
IF(AND(BP19="◎",BP20="○"),"×",
IF(AND(BP19="◎",BP20="◎"),"◎",
)))))))))</f>
        <v>#REF!</v>
      </c>
      <c r="BR19" s="770" t="e">
        <f xml:space="preserve">
IF(AND(BP19="×",BP20="×"),"【要修正】「はじめに」及び「防護具情報」いずれも入力が不十分です。",
IF(AND(BP19="×",BP20="○"),"【要修正】「はじめに」が入力不十分、また「防護具情報」が未入力です。",
IF(AND(BP19="×",BP20="◎"),"【要修正】「はじめに」が入力不十分です。",
IF(AND(BP19="○",BP20="×"),"【要修正】「はじめに」が未入力、「防護具情報」が入力不十分です。",
IF(AND(BP19="○",BP20="○"),"個人防護具の補助申請を行わない場合は入力不要です。",
IF(AND(BP19="○",BP20="◎"),"【要修正】「はじめに」が未入力です。",
IF(AND(BP19="◎",BP20="×"),"【要修正】「防護具情報」が入力不十分です。",
IF(AND(BP19="◎",BP20="○"),"【要修正】「防護具情報」が入力不十分です。",
IF(AND(BP19="◎",BP20="◎"),"いずれの項目も適切に入力されました。",
)))))))))</f>
        <v>#REF!</v>
      </c>
      <c r="BS19" s="763"/>
      <c r="BT19" s="764"/>
      <c r="BU19" s="764"/>
      <c r="BV19" s="764"/>
      <c r="BW19" s="764"/>
    </row>
    <row r="20" spans="1:75" ht="24.95" customHeight="1">
      <c r="A20" s="38">
        <v>5</v>
      </c>
      <c r="B20" s="313"/>
      <c r="C20" s="313"/>
      <c r="D20" s="313"/>
      <c r="E20" s="314"/>
      <c r="F20" s="315"/>
      <c r="G20" s="316"/>
      <c r="H20" s="316"/>
      <c r="I20" s="45">
        <f t="shared" si="0"/>
        <v>0</v>
      </c>
      <c r="J20" s="317"/>
      <c r="K20" s="45">
        <f t="shared" si="1"/>
        <v>0</v>
      </c>
      <c r="L20" s="44" t="str">
        <f>IF(AD20="◎",COUNTIF($AD$16:AD20,"◎"),"")</f>
        <v/>
      </c>
      <c r="W20" s="234" t="str">
        <f>IF(B20="既設病床",はじめに入力してください!$K$12,IF(B20="新設病床",はじめに入力してください!$K$13,IF(B20="共通使用",1,"")))</f>
        <v/>
      </c>
      <c r="AC20" s="49" t="s">
        <v>69</v>
      </c>
      <c r="AD20" s="231" t="str">
        <f t="shared" si="2"/>
        <v>○</v>
      </c>
      <c r="AE20" s="35" t="str">
        <f t="shared" si="3"/>
        <v>申請しない場合は入力不要です。</v>
      </c>
      <c r="AF20" s="234" t="str">
        <f t="shared" si="4"/>
        <v>○</v>
      </c>
      <c r="AG20" s="234" t="str">
        <f t="shared" si="5"/>
        <v>○</v>
      </c>
      <c r="AH20" s="234" t="str">
        <f t="shared" si="6"/>
        <v>○</v>
      </c>
      <c r="AI20" s="231" t="str">
        <f t="shared" si="7"/>
        <v>○</v>
      </c>
      <c r="AJ20" s="14" t="str">
        <f t="shared" si="8"/>
        <v/>
      </c>
      <c r="AK20" s="52">
        <v>5</v>
      </c>
      <c r="AY20" s="766"/>
      <c r="AZ20" s="766"/>
      <c r="BA20" s="766"/>
      <c r="BB20" s="766"/>
      <c r="BC20" s="767"/>
      <c r="BD20" s="767"/>
      <c r="BE20" s="767"/>
      <c r="BF20" s="767"/>
      <c r="BG20" s="767"/>
      <c r="BH20" s="767"/>
      <c r="BO20" s="52" t="s">
        <v>130</v>
      </c>
      <c r="BP20" s="196" t="str">
        <f>IF(COUNTIF(AD16:AD47,"×")&gt;1,"×",IF(COUNTIF(AD16:AD47,"○")=32,"○","◎"))</f>
        <v>○</v>
      </c>
      <c r="BQ20" s="769"/>
      <c r="BR20" s="771"/>
      <c r="BS20" s="763"/>
      <c r="BT20" s="764"/>
      <c r="BU20" s="764"/>
      <c r="BV20" s="764"/>
      <c r="BW20" s="764"/>
    </row>
    <row r="21" spans="1:75" ht="24.95" customHeight="1">
      <c r="A21" s="38">
        <v>6</v>
      </c>
      <c r="B21" s="313"/>
      <c r="C21" s="313"/>
      <c r="D21" s="313"/>
      <c r="E21" s="314"/>
      <c r="F21" s="315"/>
      <c r="G21" s="316"/>
      <c r="H21" s="316"/>
      <c r="I21" s="45">
        <f t="shared" si="0"/>
        <v>0</v>
      </c>
      <c r="J21" s="317"/>
      <c r="K21" s="45">
        <f t="shared" si="1"/>
        <v>0</v>
      </c>
      <c r="L21" s="44" t="str">
        <f>IF(AD21="◎",COUNTIF($AD$16:AD21,"◎"),"")</f>
        <v/>
      </c>
      <c r="W21" s="234" t="str">
        <f>IF(B21="既設病床",はじめに入力してください!$K$12,IF(B21="新設病床",はじめに入力してください!$K$13,IF(B21="共通使用",1,"")))</f>
        <v/>
      </c>
      <c r="AC21" s="49" t="s">
        <v>69</v>
      </c>
      <c r="AD21" s="231" t="str">
        <f t="shared" si="2"/>
        <v>○</v>
      </c>
      <c r="AE21" s="35" t="str">
        <f t="shared" si="3"/>
        <v>申請しない場合は入力不要です。</v>
      </c>
      <c r="AF21" s="234" t="str">
        <f t="shared" si="4"/>
        <v>○</v>
      </c>
      <c r="AG21" s="234" t="str">
        <f t="shared" si="5"/>
        <v>○</v>
      </c>
      <c r="AH21" s="234" t="str">
        <f t="shared" si="6"/>
        <v>○</v>
      </c>
      <c r="AI21" s="231" t="str">
        <f t="shared" si="7"/>
        <v>○</v>
      </c>
      <c r="AJ21" s="14" t="str">
        <f t="shared" si="8"/>
        <v/>
      </c>
      <c r="AK21" s="52">
        <v>6</v>
      </c>
      <c r="AY21" s="766"/>
      <c r="AZ21" s="766"/>
      <c r="BA21" s="766"/>
      <c r="BB21" s="766"/>
      <c r="BC21" s="767"/>
      <c r="BD21" s="767"/>
      <c r="BE21" s="767"/>
      <c r="BF21" s="767"/>
      <c r="BG21" s="767"/>
      <c r="BH21" s="767"/>
      <c r="BO21" s="59" t="s">
        <v>127</v>
      </c>
      <c r="BP21" s="60"/>
      <c r="BQ21" s="60"/>
      <c r="BR21" s="55"/>
      <c r="BS21" s="55"/>
      <c r="BT21" s="197"/>
      <c r="BU21" s="197"/>
      <c r="BV21" s="197"/>
      <c r="BW21" s="197"/>
    </row>
    <row r="22" spans="1:75" ht="24.95" customHeight="1">
      <c r="A22" s="38">
        <v>7</v>
      </c>
      <c r="B22" s="313"/>
      <c r="C22" s="313"/>
      <c r="D22" s="313"/>
      <c r="E22" s="314"/>
      <c r="F22" s="315"/>
      <c r="G22" s="316"/>
      <c r="H22" s="316"/>
      <c r="I22" s="45">
        <f t="shared" si="0"/>
        <v>0</v>
      </c>
      <c r="J22" s="317"/>
      <c r="K22" s="45">
        <f t="shared" si="1"/>
        <v>0</v>
      </c>
      <c r="L22" s="44" t="str">
        <f>IF(AD22="◎",COUNTIF($AD$16:AD22,"◎"),"")</f>
        <v/>
      </c>
      <c r="W22" s="234" t="str">
        <f>IF(B22="既設病床",はじめに入力してください!$K$12,IF(B22="新設病床",はじめに入力してください!$K$13,IF(B22="共通使用",1,"")))</f>
        <v/>
      </c>
      <c r="AC22" s="49" t="s">
        <v>69</v>
      </c>
      <c r="AD22" s="231" t="str">
        <f t="shared" si="2"/>
        <v>○</v>
      </c>
      <c r="AE22" s="35" t="str">
        <f t="shared" si="3"/>
        <v>申請しない場合は入力不要です。</v>
      </c>
      <c r="AF22" s="234" t="str">
        <f t="shared" si="4"/>
        <v>○</v>
      </c>
      <c r="AG22" s="234" t="str">
        <f t="shared" si="5"/>
        <v>○</v>
      </c>
      <c r="AH22" s="234" t="str">
        <f t="shared" si="6"/>
        <v>○</v>
      </c>
      <c r="AI22" s="231" t="str">
        <f t="shared" si="7"/>
        <v>○</v>
      </c>
      <c r="AJ22" s="14" t="str">
        <f t="shared" si="8"/>
        <v/>
      </c>
      <c r="AK22" s="52">
        <v>7</v>
      </c>
      <c r="AY22" s="767"/>
      <c r="AZ22" s="767"/>
      <c r="BA22" s="767"/>
      <c r="BB22" s="767"/>
      <c r="BC22" s="767"/>
      <c r="BD22" s="767"/>
      <c r="BE22" s="767"/>
      <c r="BF22" s="767"/>
      <c r="BG22" s="767"/>
      <c r="BH22" s="767"/>
      <c r="BS22" s="55"/>
      <c r="BT22" s="197"/>
      <c r="BU22" s="197"/>
      <c r="BV22" s="197"/>
      <c r="BW22" s="197"/>
    </row>
    <row r="23" spans="1:75" ht="24.95" customHeight="1">
      <c r="A23" s="38">
        <v>8</v>
      </c>
      <c r="B23" s="313"/>
      <c r="C23" s="313"/>
      <c r="D23" s="313"/>
      <c r="E23" s="314"/>
      <c r="F23" s="315"/>
      <c r="G23" s="316"/>
      <c r="H23" s="316"/>
      <c r="I23" s="45">
        <f t="shared" si="0"/>
        <v>0</v>
      </c>
      <c r="J23" s="317"/>
      <c r="K23" s="45">
        <f t="shared" si="1"/>
        <v>0</v>
      </c>
      <c r="L23" s="44" t="str">
        <f>IF(AD23="◎",COUNTIF($AD$16:AD23,"◎"),"")</f>
        <v/>
      </c>
      <c r="T23" s="197"/>
      <c r="U23" s="197"/>
      <c r="V23" s="197"/>
      <c r="W23" s="234" t="str">
        <f>IF(B23="既設病床",はじめに入力してください!$K$12,IF(B23="新設病床",はじめに入力してください!$K$13,IF(B23="共通使用",1,"")))</f>
        <v/>
      </c>
      <c r="AC23" s="49" t="s">
        <v>69</v>
      </c>
      <c r="AD23" s="231" t="str">
        <f t="shared" si="2"/>
        <v>○</v>
      </c>
      <c r="AE23" s="35" t="str">
        <f t="shared" si="3"/>
        <v>申請しない場合は入力不要です。</v>
      </c>
      <c r="AF23" s="234" t="str">
        <f t="shared" si="4"/>
        <v>○</v>
      </c>
      <c r="AG23" s="234" t="str">
        <f t="shared" si="5"/>
        <v>○</v>
      </c>
      <c r="AH23" s="234" t="str">
        <f t="shared" si="6"/>
        <v>○</v>
      </c>
      <c r="AI23" s="231" t="str">
        <f t="shared" si="7"/>
        <v>○</v>
      </c>
      <c r="AJ23" s="14" t="str">
        <f t="shared" si="8"/>
        <v/>
      </c>
      <c r="AK23" s="52">
        <v>8</v>
      </c>
      <c r="AY23" s="762"/>
      <c r="AZ23" s="767"/>
      <c r="BA23" s="767"/>
      <c r="BB23" s="767"/>
      <c r="BC23" s="767"/>
      <c r="BD23" s="767"/>
      <c r="BE23" s="767"/>
      <c r="BF23" s="767"/>
      <c r="BG23" s="767"/>
      <c r="BH23" s="767"/>
      <c r="BS23" s="55"/>
      <c r="BT23" s="197"/>
      <c r="BU23" s="197"/>
      <c r="BV23" s="197"/>
      <c r="BW23" s="197"/>
    </row>
    <row r="24" spans="1:75" ht="24.95" customHeight="1">
      <c r="A24" s="38">
        <v>9</v>
      </c>
      <c r="B24" s="313"/>
      <c r="C24" s="313"/>
      <c r="D24" s="313"/>
      <c r="E24" s="314"/>
      <c r="F24" s="315"/>
      <c r="G24" s="316"/>
      <c r="H24" s="316"/>
      <c r="I24" s="45">
        <f t="shared" si="0"/>
        <v>0</v>
      </c>
      <c r="J24" s="317"/>
      <c r="K24" s="45">
        <f t="shared" si="1"/>
        <v>0</v>
      </c>
      <c r="L24" s="44" t="str">
        <f>IF(AD24="◎",COUNTIF($AD$16:AD24,"◎"),"")</f>
        <v/>
      </c>
      <c r="W24" s="234" t="str">
        <f>IF(B24="既設病床",はじめに入力してください!$K$12,IF(B24="新設病床",はじめに入力してください!$K$13,IF(B24="共通使用",1,"")))</f>
        <v/>
      </c>
      <c r="AC24" s="49" t="s">
        <v>69</v>
      </c>
      <c r="AD24" s="231" t="str">
        <f t="shared" si="2"/>
        <v>○</v>
      </c>
      <c r="AE24" s="35" t="str">
        <f t="shared" si="3"/>
        <v>申請しない場合は入力不要です。</v>
      </c>
      <c r="AF24" s="234" t="str">
        <f t="shared" si="4"/>
        <v>○</v>
      </c>
      <c r="AG24" s="234" t="str">
        <f t="shared" si="5"/>
        <v>○</v>
      </c>
      <c r="AH24" s="234" t="str">
        <f t="shared" si="6"/>
        <v>○</v>
      </c>
      <c r="AI24" s="231" t="str">
        <f t="shared" si="7"/>
        <v>○</v>
      </c>
      <c r="AJ24" s="14" t="str">
        <f t="shared" si="8"/>
        <v/>
      </c>
      <c r="AK24" s="52">
        <v>9</v>
      </c>
    </row>
    <row r="25" spans="1:75" ht="24.95" customHeight="1">
      <c r="A25" s="38">
        <v>10</v>
      </c>
      <c r="B25" s="313"/>
      <c r="C25" s="313"/>
      <c r="D25" s="313"/>
      <c r="E25" s="314"/>
      <c r="F25" s="315"/>
      <c r="G25" s="316"/>
      <c r="H25" s="316"/>
      <c r="I25" s="45">
        <f t="shared" si="0"/>
        <v>0</v>
      </c>
      <c r="J25" s="317"/>
      <c r="K25" s="45">
        <f t="shared" si="1"/>
        <v>0</v>
      </c>
      <c r="L25" s="44" t="str">
        <f>IF(AD25="◎",COUNTIF($AD$16:AD25,"◎"),"")</f>
        <v/>
      </c>
      <c r="W25" s="234" t="str">
        <f>IF(B25="既設病床",はじめに入力してください!$K$12,IF(B25="新設病床",はじめに入力してください!$K$13,IF(B25="共通使用",1,"")))</f>
        <v/>
      </c>
      <c r="AC25" s="49" t="s">
        <v>69</v>
      </c>
      <c r="AD25" s="231" t="str">
        <f t="shared" si="2"/>
        <v>○</v>
      </c>
      <c r="AE25" s="35" t="str">
        <f t="shared" si="3"/>
        <v>申請しない場合は入力不要です。</v>
      </c>
      <c r="AF25" s="234" t="str">
        <f t="shared" si="4"/>
        <v>○</v>
      </c>
      <c r="AG25" s="234" t="str">
        <f t="shared" si="5"/>
        <v>○</v>
      </c>
      <c r="AH25" s="234" t="str">
        <f t="shared" si="6"/>
        <v>○</v>
      </c>
      <c r="AI25" s="231" t="str">
        <f t="shared" si="7"/>
        <v>○</v>
      </c>
      <c r="AJ25" s="14" t="str">
        <f t="shared" si="8"/>
        <v/>
      </c>
      <c r="AK25" s="52">
        <v>10</v>
      </c>
    </row>
    <row r="26" spans="1:75" ht="24.95" customHeight="1">
      <c r="A26" s="38">
        <v>11</v>
      </c>
      <c r="B26" s="313"/>
      <c r="C26" s="313"/>
      <c r="D26" s="313"/>
      <c r="E26" s="314"/>
      <c r="F26" s="315"/>
      <c r="G26" s="316"/>
      <c r="H26" s="316"/>
      <c r="I26" s="45">
        <f t="shared" si="0"/>
        <v>0</v>
      </c>
      <c r="J26" s="317"/>
      <c r="K26" s="45">
        <f t="shared" si="1"/>
        <v>0</v>
      </c>
      <c r="L26" s="44" t="str">
        <f>IF(AD26="◎",COUNTIF($AD$16:AD26,"◎"),"")</f>
        <v/>
      </c>
      <c r="W26" s="234" t="str">
        <f>IF(B26="既設病床",はじめに入力してください!$K$12,IF(B26="新設病床",はじめに入力してください!$K$13,IF(B26="共通使用",1,"")))</f>
        <v/>
      </c>
      <c r="AC26" s="49" t="s">
        <v>69</v>
      </c>
      <c r="AD26" s="231" t="str">
        <f t="shared" si="2"/>
        <v>○</v>
      </c>
      <c r="AE26" s="35" t="str">
        <f t="shared" si="3"/>
        <v>申請しない場合は入力不要です。</v>
      </c>
      <c r="AF26" s="234" t="str">
        <f t="shared" si="4"/>
        <v>○</v>
      </c>
      <c r="AG26" s="234" t="str">
        <f t="shared" si="5"/>
        <v>○</v>
      </c>
      <c r="AH26" s="234" t="str">
        <f t="shared" si="6"/>
        <v>○</v>
      </c>
      <c r="AI26" s="231" t="str">
        <f t="shared" si="7"/>
        <v>○</v>
      </c>
      <c r="AJ26" s="14" t="str">
        <f t="shared" si="8"/>
        <v/>
      </c>
      <c r="AK26" s="52">
        <v>11</v>
      </c>
    </row>
    <row r="27" spans="1:75" ht="24.95" customHeight="1">
      <c r="A27" s="38">
        <v>12</v>
      </c>
      <c r="B27" s="313"/>
      <c r="C27" s="313"/>
      <c r="D27" s="313"/>
      <c r="E27" s="314"/>
      <c r="F27" s="315"/>
      <c r="G27" s="316"/>
      <c r="H27" s="316"/>
      <c r="I27" s="45">
        <f t="shared" si="0"/>
        <v>0</v>
      </c>
      <c r="J27" s="317"/>
      <c r="K27" s="45">
        <f t="shared" si="1"/>
        <v>0</v>
      </c>
      <c r="L27" s="44" t="str">
        <f>IF(AD27="◎",COUNTIF($AD$16:AD27,"◎"),"")</f>
        <v/>
      </c>
      <c r="W27" s="234" t="str">
        <f>IF(B27="既設病床",はじめに入力してください!$K$12,IF(B27="新設病床",はじめに入力してください!$K$13,IF(B27="共通使用",1,"")))</f>
        <v/>
      </c>
      <c r="AC27" s="49" t="s">
        <v>69</v>
      </c>
      <c r="AD27" s="231" t="str">
        <f t="shared" si="2"/>
        <v>○</v>
      </c>
      <c r="AE27" s="35" t="str">
        <f t="shared" si="3"/>
        <v>申請しない場合は入力不要です。</v>
      </c>
      <c r="AF27" s="234" t="str">
        <f t="shared" si="4"/>
        <v>○</v>
      </c>
      <c r="AG27" s="234" t="str">
        <f t="shared" si="5"/>
        <v>○</v>
      </c>
      <c r="AH27" s="234" t="str">
        <f t="shared" si="6"/>
        <v>○</v>
      </c>
      <c r="AI27" s="231" t="str">
        <f t="shared" si="7"/>
        <v>○</v>
      </c>
      <c r="AJ27" s="14" t="str">
        <f t="shared" si="8"/>
        <v/>
      </c>
      <c r="AK27" s="52">
        <v>12</v>
      </c>
    </row>
    <row r="28" spans="1:75" ht="24.95" customHeight="1">
      <c r="A28" s="38">
        <v>13</v>
      </c>
      <c r="B28" s="313"/>
      <c r="C28" s="313"/>
      <c r="D28" s="313"/>
      <c r="E28" s="314"/>
      <c r="F28" s="315"/>
      <c r="G28" s="316"/>
      <c r="H28" s="316"/>
      <c r="I28" s="45">
        <f t="shared" si="0"/>
        <v>0</v>
      </c>
      <c r="J28" s="317"/>
      <c r="K28" s="45">
        <f t="shared" si="1"/>
        <v>0</v>
      </c>
      <c r="L28" s="44" t="str">
        <f>IF(AD28="◎",COUNTIF($AD$16:AD28,"◎"),"")</f>
        <v/>
      </c>
      <c r="W28" s="234" t="str">
        <f>IF(B28="既設病床",はじめに入力してください!$K$12,IF(B28="新設病床",はじめに入力してください!$K$13,IF(B28="共通使用",1,"")))</f>
        <v/>
      </c>
      <c r="AC28" s="49" t="s">
        <v>69</v>
      </c>
      <c r="AD28" s="231" t="str">
        <f t="shared" si="2"/>
        <v>○</v>
      </c>
      <c r="AE28" s="35" t="str">
        <f t="shared" si="3"/>
        <v>申請しない場合は入力不要です。</v>
      </c>
      <c r="AF28" s="234" t="str">
        <f t="shared" si="4"/>
        <v>○</v>
      </c>
      <c r="AG28" s="234" t="str">
        <f t="shared" si="5"/>
        <v>○</v>
      </c>
      <c r="AH28" s="234" t="str">
        <f t="shared" si="6"/>
        <v>○</v>
      </c>
      <c r="AI28" s="231" t="str">
        <f t="shared" si="7"/>
        <v>○</v>
      </c>
      <c r="AJ28" s="14" t="str">
        <f t="shared" si="8"/>
        <v/>
      </c>
      <c r="AK28" s="52">
        <v>13</v>
      </c>
    </row>
    <row r="29" spans="1:75" ht="24.95" customHeight="1">
      <c r="A29" s="38">
        <v>14</v>
      </c>
      <c r="B29" s="313"/>
      <c r="C29" s="313"/>
      <c r="D29" s="313"/>
      <c r="E29" s="314"/>
      <c r="F29" s="315"/>
      <c r="G29" s="316"/>
      <c r="H29" s="316"/>
      <c r="I29" s="45">
        <f t="shared" si="0"/>
        <v>0</v>
      </c>
      <c r="J29" s="317"/>
      <c r="K29" s="45">
        <f t="shared" si="1"/>
        <v>0</v>
      </c>
      <c r="L29" s="44" t="str">
        <f>IF(AD29="◎",COUNTIF($AD$16:AD29,"◎"),"")</f>
        <v/>
      </c>
      <c r="W29" s="234" t="str">
        <f>IF(B29="既設病床",はじめに入力してください!$K$12,IF(B29="新設病床",はじめに入力してください!$K$13,IF(B29="共通使用",1,"")))</f>
        <v/>
      </c>
      <c r="AC29" s="49" t="s">
        <v>69</v>
      </c>
      <c r="AD29" s="231" t="str">
        <f t="shared" si="2"/>
        <v>○</v>
      </c>
      <c r="AE29" s="35" t="str">
        <f t="shared" si="3"/>
        <v>申請しない場合は入力不要です。</v>
      </c>
      <c r="AF29" s="234" t="str">
        <f t="shared" si="4"/>
        <v>○</v>
      </c>
      <c r="AG29" s="234" t="str">
        <f t="shared" si="5"/>
        <v>○</v>
      </c>
      <c r="AH29" s="234" t="str">
        <f t="shared" si="6"/>
        <v>○</v>
      </c>
      <c r="AI29" s="231" t="str">
        <f t="shared" si="7"/>
        <v>○</v>
      </c>
      <c r="AJ29" s="14" t="str">
        <f t="shared" si="8"/>
        <v/>
      </c>
      <c r="AK29" s="52">
        <v>14</v>
      </c>
    </row>
    <row r="30" spans="1:75" ht="24.95" customHeight="1">
      <c r="A30" s="38">
        <v>15</v>
      </c>
      <c r="B30" s="313"/>
      <c r="C30" s="313"/>
      <c r="D30" s="313"/>
      <c r="E30" s="314"/>
      <c r="F30" s="315"/>
      <c r="G30" s="316"/>
      <c r="H30" s="316"/>
      <c r="I30" s="45">
        <f t="shared" si="0"/>
        <v>0</v>
      </c>
      <c r="J30" s="317"/>
      <c r="K30" s="45">
        <f t="shared" si="1"/>
        <v>0</v>
      </c>
      <c r="L30" s="44" t="str">
        <f>IF(AD30="◎",COUNTIF($AD$16:AD30,"◎"),"")</f>
        <v/>
      </c>
      <c r="W30" s="234" t="str">
        <f>IF(B30="既設病床",はじめに入力してください!$K$12,IF(B30="新設病床",はじめに入力してください!$K$13,IF(B30="共通使用",1,"")))</f>
        <v/>
      </c>
      <c r="AC30" s="49" t="s">
        <v>69</v>
      </c>
      <c r="AD30" s="231" t="str">
        <f t="shared" si="2"/>
        <v>○</v>
      </c>
      <c r="AE30" s="35" t="str">
        <f t="shared" si="3"/>
        <v>申請しない場合は入力不要です。</v>
      </c>
      <c r="AF30" s="234" t="str">
        <f t="shared" si="4"/>
        <v>○</v>
      </c>
      <c r="AG30" s="234" t="str">
        <f t="shared" si="5"/>
        <v>○</v>
      </c>
      <c r="AH30" s="234" t="str">
        <f t="shared" si="6"/>
        <v>○</v>
      </c>
      <c r="AI30" s="231" t="str">
        <f t="shared" si="7"/>
        <v>○</v>
      </c>
      <c r="AJ30" s="14" t="str">
        <f t="shared" si="8"/>
        <v/>
      </c>
      <c r="AK30" s="52">
        <v>15</v>
      </c>
    </row>
    <row r="31" spans="1:75" ht="24.95" customHeight="1">
      <c r="A31" s="38">
        <v>16</v>
      </c>
      <c r="B31" s="313"/>
      <c r="C31" s="313"/>
      <c r="D31" s="313"/>
      <c r="E31" s="314"/>
      <c r="F31" s="315"/>
      <c r="G31" s="316"/>
      <c r="H31" s="316"/>
      <c r="I31" s="45">
        <f t="shared" si="0"/>
        <v>0</v>
      </c>
      <c r="J31" s="317"/>
      <c r="K31" s="45">
        <f t="shared" si="1"/>
        <v>0</v>
      </c>
      <c r="L31" s="44" t="str">
        <f>IF(AD31="◎",COUNTIF($AD$16:AD31,"◎"),"")</f>
        <v/>
      </c>
      <c r="W31" s="234" t="str">
        <f>IF(B31="既設病床",はじめに入力してください!$K$12,IF(B31="新設病床",はじめに入力してください!$K$13,IF(B31="共通使用",1,"")))</f>
        <v/>
      </c>
      <c r="AC31" s="49" t="s">
        <v>69</v>
      </c>
      <c r="AD31" s="231" t="str">
        <f t="shared" si="2"/>
        <v>○</v>
      </c>
      <c r="AE31" s="35" t="str">
        <f t="shared" si="3"/>
        <v>申請しない場合は入力不要です。</v>
      </c>
      <c r="AF31" s="234" t="str">
        <f t="shared" si="4"/>
        <v>○</v>
      </c>
      <c r="AG31" s="234" t="str">
        <f t="shared" si="5"/>
        <v>○</v>
      </c>
      <c r="AH31" s="234" t="str">
        <f t="shared" si="6"/>
        <v>○</v>
      </c>
      <c r="AI31" s="231" t="str">
        <f t="shared" si="7"/>
        <v>○</v>
      </c>
      <c r="AJ31" s="14" t="str">
        <f t="shared" si="8"/>
        <v/>
      </c>
      <c r="AK31" s="52">
        <v>16</v>
      </c>
    </row>
    <row r="32" spans="1:75" ht="24.95" customHeight="1">
      <c r="A32" s="38">
        <v>17</v>
      </c>
      <c r="B32" s="313"/>
      <c r="C32" s="313"/>
      <c r="D32" s="313"/>
      <c r="E32" s="314"/>
      <c r="F32" s="315"/>
      <c r="G32" s="316"/>
      <c r="H32" s="316"/>
      <c r="I32" s="45">
        <f t="shared" si="0"/>
        <v>0</v>
      </c>
      <c r="J32" s="317"/>
      <c r="K32" s="45">
        <f t="shared" si="1"/>
        <v>0</v>
      </c>
      <c r="L32" s="44" t="str">
        <f>IF(AD32="◎",COUNTIF($AD$16:AD32,"◎"),"")</f>
        <v/>
      </c>
      <c r="W32" s="234" t="str">
        <f>IF(B32="既設病床",はじめに入力してください!$K$12,IF(B32="新設病床",はじめに入力してください!$K$13,IF(B32="共通使用",1,"")))</f>
        <v/>
      </c>
      <c r="AC32" s="49" t="s">
        <v>69</v>
      </c>
      <c r="AD32" s="231" t="str">
        <f t="shared" si="2"/>
        <v>○</v>
      </c>
      <c r="AE32" s="35" t="str">
        <f t="shared" si="3"/>
        <v>申請しない場合は入力不要です。</v>
      </c>
      <c r="AF32" s="234" t="str">
        <f t="shared" si="4"/>
        <v>○</v>
      </c>
      <c r="AG32" s="234" t="str">
        <f t="shared" si="5"/>
        <v>○</v>
      </c>
      <c r="AH32" s="234" t="str">
        <f t="shared" si="6"/>
        <v>○</v>
      </c>
      <c r="AI32" s="231" t="str">
        <f t="shared" si="7"/>
        <v>○</v>
      </c>
      <c r="AJ32" s="14" t="str">
        <f t="shared" si="8"/>
        <v/>
      </c>
      <c r="AK32" s="52">
        <v>17</v>
      </c>
    </row>
    <row r="33" spans="1:37" ht="24.95" customHeight="1">
      <c r="A33" s="38">
        <v>18</v>
      </c>
      <c r="B33" s="313"/>
      <c r="C33" s="313"/>
      <c r="D33" s="313"/>
      <c r="E33" s="314"/>
      <c r="F33" s="315"/>
      <c r="G33" s="316"/>
      <c r="H33" s="316"/>
      <c r="I33" s="45">
        <f t="shared" si="0"/>
        <v>0</v>
      </c>
      <c r="J33" s="317"/>
      <c r="K33" s="45">
        <f t="shared" si="1"/>
        <v>0</v>
      </c>
      <c r="L33" s="44" t="str">
        <f>IF(AD33="◎",COUNTIF($AD$16:AD33,"◎"),"")</f>
        <v/>
      </c>
      <c r="W33" s="234" t="str">
        <f>IF(B33="既設病床",はじめに入力してください!$K$12,IF(B33="新設病床",はじめに入力してください!$K$13,IF(B33="共通使用",1,"")))</f>
        <v/>
      </c>
      <c r="AC33" s="49" t="s">
        <v>69</v>
      </c>
      <c r="AD33" s="231" t="str">
        <f t="shared" si="2"/>
        <v>○</v>
      </c>
      <c r="AE33" s="35" t="str">
        <f t="shared" si="3"/>
        <v>申請しない場合は入力不要です。</v>
      </c>
      <c r="AF33" s="234" t="str">
        <f t="shared" si="4"/>
        <v>○</v>
      </c>
      <c r="AG33" s="234" t="str">
        <f t="shared" si="5"/>
        <v>○</v>
      </c>
      <c r="AH33" s="234" t="str">
        <f t="shared" si="6"/>
        <v>○</v>
      </c>
      <c r="AI33" s="231" t="str">
        <f t="shared" si="7"/>
        <v>○</v>
      </c>
      <c r="AJ33" s="14" t="str">
        <f t="shared" si="8"/>
        <v/>
      </c>
      <c r="AK33" s="52">
        <v>18</v>
      </c>
    </row>
    <row r="34" spans="1:37" ht="24.95" customHeight="1">
      <c r="A34" s="38">
        <v>19</v>
      </c>
      <c r="B34" s="313"/>
      <c r="C34" s="313"/>
      <c r="D34" s="313"/>
      <c r="E34" s="314"/>
      <c r="F34" s="315"/>
      <c r="G34" s="316"/>
      <c r="H34" s="316"/>
      <c r="I34" s="45">
        <f t="shared" si="0"/>
        <v>0</v>
      </c>
      <c r="J34" s="317"/>
      <c r="K34" s="45">
        <f t="shared" si="1"/>
        <v>0</v>
      </c>
      <c r="L34" s="44" t="str">
        <f>IF(AD34="◎",COUNTIF($AD$16:AD34,"◎"),"")</f>
        <v/>
      </c>
      <c r="W34" s="234" t="str">
        <f>IF(B34="既設病床",はじめに入力してください!$K$12,IF(B34="新設病床",はじめに入力してください!$K$13,IF(B34="共通使用",1,"")))</f>
        <v/>
      </c>
      <c r="AC34" s="49" t="s">
        <v>69</v>
      </c>
      <c r="AD34" s="231" t="str">
        <f t="shared" si="2"/>
        <v>○</v>
      </c>
      <c r="AE34" s="35" t="str">
        <f t="shared" si="3"/>
        <v>申請しない場合は入力不要です。</v>
      </c>
      <c r="AF34" s="234" t="str">
        <f t="shared" si="4"/>
        <v>○</v>
      </c>
      <c r="AG34" s="234" t="str">
        <f t="shared" si="5"/>
        <v>○</v>
      </c>
      <c r="AH34" s="234" t="str">
        <f t="shared" si="6"/>
        <v>○</v>
      </c>
      <c r="AI34" s="231" t="str">
        <f t="shared" si="7"/>
        <v>○</v>
      </c>
      <c r="AJ34" s="14" t="str">
        <f t="shared" si="8"/>
        <v/>
      </c>
      <c r="AK34" s="52">
        <v>19</v>
      </c>
    </row>
    <row r="35" spans="1:37" ht="24.95" customHeight="1">
      <c r="A35" s="38">
        <v>20</v>
      </c>
      <c r="B35" s="313"/>
      <c r="C35" s="313"/>
      <c r="D35" s="313"/>
      <c r="E35" s="314"/>
      <c r="F35" s="315"/>
      <c r="G35" s="316"/>
      <c r="H35" s="316"/>
      <c r="I35" s="45">
        <f t="shared" si="0"/>
        <v>0</v>
      </c>
      <c r="J35" s="317"/>
      <c r="K35" s="45">
        <f t="shared" si="1"/>
        <v>0</v>
      </c>
      <c r="L35" s="44" t="str">
        <f>IF(AD35="◎",COUNTIF($AD$16:AD35,"◎"),"")</f>
        <v/>
      </c>
      <c r="W35" s="234" t="str">
        <f>IF(B35="既設病床",はじめに入力してください!$K$12,IF(B35="新設病床",はじめに入力してください!$K$13,IF(B35="共通使用",1,"")))</f>
        <v/>
      </c>
      <c r="AC35" s="49" t="s">
        <v>69</v>
      </c>
      <c r="AD35" s="231" t="str">
        <f t="shared" si="2"/>
        <v>○</v>
      </c>
      <c r="AE35" s="35" t="str">
        <f t="shared" si="3"/>
        <v>申請しない場合は入力不要です。</v>
      </c>
      <c r="AF35" s="234" t="str">
        <f t="shared" si="4"/>
        <v>○</v>
      </c>
      <c r="AG35" s="234" t="str">
        <f t="shared" si="5"/>
        <v>○</v>
      </c>
      <c r="AH35" s="234" t="str">
        <f t="shared" si="6"/>
        <v>○</v>
      </c>
      <c r="AI35" s="231" t="str">
        <f t="shared" si="7"/>
        <v>○</v>
      </c>
      <c r="AJ35" s="14" t="str">
        <f t="shared" si="8"/>
        <v/>
      </c>
      <c r="AK35" s="52">
        <v>20</v>
      </c>
    </row>
    <row r="36" spans="1:37" ht="24.95" customHeight="1">
      <c r="A36" s="38">
        <v>21</v>
      </c>
      <c r="B36" s="313"/>
      <c r="C36" s="313"/>
      <c r="D36" s="313"/>
      <c r="E36" s="314"/>
      <c r="F36" s="315"/>
      <c r="G36" s="316"/>
      <c r="H36" s="316"/>
      <c r="I36" s="45">
        <f t="shared" si="0"/>
        <v>0</v>
      </c>
      <c r="J36" s="317"/>
      <c r="K36" s="45">
        <f t="shared" si="1"/>
        <v>0</v>
      </c>
      <c r="L36" s="44" t="str">
        <f>IF(AD36="◎",COUNTIF($AD$16:AD36,"◎"),"")</f>
        <v/>
      </c>
      <c r="W36" s="234" t="str">
        <f>IF(B36="既設病床",はじめに入力してください!$K$12,IF(B36="新設病床",はじめに入力してください!$K$13,IF(B36="共通使用",1,"")))</f>
        <v/>
      </c>
      <c r="AC36" s="49" t="s">
        <v>69</v>
      </c>
      <c r="AD36" s="231" t="str">
        <f t="shared" si="2"/>
        <v>○</v>
      </c>
      <c r="AE36" s="35" t="str">
        <f t="shared" si="3"/>
        <v>申請しない場合は入力不要です。</v>
      </c>
      <c r="AF36" s="234" t="str">
        <f t="shared" si="4"/>
        <v>○</v>
      </c>
      <c r="AG36" s="234" t="str">
        <f t="shared" si="5"/>
        <v>○</v>
      </c>
      <c r="AH36" s="234" t="str">
        <f t="shared" si="6"/>
        <v>○</v>
      </c>
      <c r="AI36" s="231" t="str">
        <f t="shared" si="7"/>
        <v>○</v>
      </c>
      <c r="AJ36" s="14" t="str">
        <f t="shared" si="8"/>
        <v/>
      </c>
      <c r="AK36" s="52">
        <v>21</v>
      </c>
    </row>
    <row r="37" spans="1:37" ht="24.95" customHeight="1">
      <c r="A37" s="38">
        <v>22</v>
      </c>
      <c r="B37" s="313"/>
      <c r="C37" s="313"/>
      <c r="D37" s="313"/>
      <c r="E37" s="314"/>
      <c r="F37" s="315"/>
      <c r="G37" s="316"/>
      <c r="H37" s="316"/>
      <c r="I37" s="45">
        <f t="shared" si="0"/>
        <v>0</v>
      </c>
      <c r="J37" s="317"/>
      <c r="K37" s="45">
        <f t="shared" si="1"/>
        <v>0</v>
      </c>
      <c r="L37" s="44" t="str">
        <f>IF(AD37="◎",COUNTIF($AD$16:AD37,"◎"),"")</f>
        <v/>
      </c>
      <c r="W37" s="234" t="str">
        <f>IF(B37="既設病床",はじめに入力してください!$K$12,IF(B37="新設病床",はじめに入力してください!$K$13,IF(B37="共通使用",1,"")))</f>
        <v/>
      </c>
      <c r="AC37" s="49" t="s">
        <v>69</v>
      </c>
      <c r="AD37" s="231" t="str">
        <f t="shared" si="2"/>
        <v>○</v>
      </c>
      <c r="AE37" s="35" t="str">
        <f t="shared" si="3"/>
        <v>申請しない場合は入力不要です。</v>
      </c>
      <c r="AF37" s="234" t="str">
        <f t="shared" si="4"/>
        <v>○</v>
      </c>
      <c r="AG37" s="234" t="str">
        <f t="shared" si="5"/>
        <v>○</v>
      </c>
      <c r="AH37" s="234" t="str">
        <f t="shared" si="6"/>
        <v>○</v>
      </c>
      <c r="AI37" s="231" t="str">
        <f t="shared" si="7"/>
        <v>○</v>
      </c>
      <c r="AJ37" s="14" t="str">
        <f t="shared" si="8"/>
        <v/>
      </c>
      <c r="AK37" s="52">
        <v>22</v>
      </c>
    </row>
    <row r="38" spans="1:37" ht="24.95" customHeight="1">
      <c r="A38" s="38">
        <v>23</v>
      </c>
      <c r="B38" s="313"/>
      <c r="C38" s="313"/>
      <c r="D38" s="313"/>
      <c r="E38" s="314"/>
      <c r="F38" s="315"/>
      <c r="G38" s="316"/>
      <c r="H38" s="316"/>
      <c r="I38" s="45">
        <f t="shared" si="0"/>
        <v>0</v>
      </c>
      <c r="J38" s="317"/>
      <c r="K38" s="45">
        <f t="shared" si="1"/>
        <v>0</v>
      </c>
      <c r="L38" s="44" t="str">
        <f>IF(AD38="◎",COUNTIF($AD$16:AD38,"◎"),"")</f>
        <v/>
      </c>
      <c r="W38" s="234" t="str">
        <f>IF(B38="既設病床",はじめに入力してください!$K$12,IF(B38="新設病床",はじめに入力してください!$K$13,IF(B38="共通使用",1,"")))</f>
        <v/>
      </c>
      <c r="AC38" s="49" t="s">
        <v>69</v>
      </c>
      <c r="AD38" s="231" t="str">
        <f t="shared" si="2"/>
        <v>○</v>
      </c>
      <c r="AE38" s="35" t="str">
        <f t="shared" si="3"/>
        <v>申請しない場合は入力不要です。</v>
      </c>
      <c r="AF38" s="234" t="str">
        <f t="shared" si="4"/>
        <v>○</v>
      </c>
      <c r="AG38" s="234" t="str">
        <f t="shared" si="5"/>
        <v>○</v>
      </c>
      <c r="AH38" s="234" t="str">
        <f t="shared" si="6"/>
        <v>○</v>
      </c>
      <c r="AI38" s="231" t="str">
        <f t="shared" si="7"/>
        <v>○</v>
      </c>
      <c r="AJ38" s="14" t="str">
        <f t="shared" si="8"/>
        <v/>
      </c>
      <c r="AK38" s="52">
        <v>23</v>
      </c>
    </row>
    <row r="39" spans="1:37" ht="24.95" customHeight="1">
      <c r="A39" s="38">
        <v>24</v>
      </c>
      <c r="B39" s="313"/>
      <c r="C39" s="313"/>
      <c r="D39" s="313"/>
      <c r="E39" s="314"/>
      <c r="F39" s="315"/>
      <c r="G39" s="316"/>
      <c r="H39" s="316"/>
      <c r="I39" s="45">
        <f t="shared" si="0"/>
        <v>0</v>
      </c>
      <c r="J39" s="317"/>
      <c r="K39" s="45">
        <f t="shared" si="1"/>
        <v>0</v>
      </c>
      <c r="L39" s="44" t="str">
        <f>IF(AD39="◎",COUNTIF($AD$16:AD39,"◎"),"")</f>
        <v/>
      </c>
      <c r="W39" s="234" t="str">
        <f>IF(B39="既設病床",はじめに入力してください!$K$12,IF(B39="新設病床",はじめに入力してください!$K$13,IF(B39="共通使用",1,"")))</f>
        <v/>
      </c>
      <c r="AC39" s="49" t="s">
        <v>69</v>
      </c>
      <c r="AD39" s="231" t="str">
        <f t="shared" si="2"/>
        <v>○</v>
      </c>
      <c r="AE39" s="35" t="str">
        <f t="shared" si="3"/>
        <v>申請しない場合は入力不要です。</v>
      </c>
      <c r="AF39" s="234" t="str">
        <f t="shared" si="4"/>
        <v>○</v>
      </c>
      <c r="AG39" s="234" t="str">
        <f t="shared" si="5"/>
        <v>○</v>
      </c>
      <c r="AH39" s="234" t="str">
        <f t="shared" si="6"/>
        <v>○</v>
      </c>
      <c r="AI39" s="231" t="str">
        <f t="shared" si="7"/>
        <v>○</v>
      </c>
      <c r="AJ39" s="14" t="str">
        <f t="shared" si="8"/>
        <v/>
      </c>
      <c r="AK39" s="52">
        <v>24</v>
      </c>
    </row>
    <row r="40" spans="1:37" ht="24.95" customHeight="1">
      <c r="A40" s="38">
        <v>25</v>
      </c>
      <c r="B40" s="313"/>
      <c r="C40" s="313"/>
      <c r="D40" s="313"/>
      <c r="E40" s="314"/>
      <c r="F40" s="315"/>
      <c r="G40" s="316"/>
      <c r="H40" s="316"/>
      <c r="I40" s="45">
        <f t="shared" si="0"/>
        <v>0</v>
      </c>
      <c r="J40" s="317"/>
      <c r="K40" s="45">
        <f t="shared" si="1"/>
        <v>0</v>
      </c>
      <c r="L40" s="44" t="str">
        <f>IF(AD40="◎",COUNTIF($AD$16:AD40,"◎"),"")</f>
        <v/>
      </c>
      <c r="W40" s="234" t="str">
        <f>IF(B40="既設病床",はじめに入力してください!$K$12,IF(B40="新設病床",はじめに入力してください!$K$13,IF(B40="共通使用",1,"")))</f>
        <v/>
      </c>
      <c r="AC40" s="49" t="s">
        <v>69</v>
      </c>
      <c r="AD40" s="231" t="str">
        <f t="shared" si="2"/>
        <v>○</v>
      </c>
      <c r="AE40" s="35" t="str">
        <f t="shared" si="3"/>
        <v>申請しない場合は入力不要です。</v>
      </c>
      <c r="AF40" s="234" t="str">
        <f t="shared" si="4"/>
        <v>○</v>
      </c>
      <c r="AG40" s="234" t="str">
        <f t="shared" si="5"/>
        <v>○</v>
      </c>
      <c r="AH40" s="234" t="str">
        <f t="shared" si="6"/>
        <v>○</v>
      </c>
      <c r="AI40" s="231" t="str">
        <f t="shared" si="7"/>
        <v>○</v>
      </c>
      <c r="AJ40" s="14" t="str">
        <f t="shared" si="8"/>
        <v/>
      </c>
      <c r="AK40" s="52">
        <v>25</v>
      </c>
    </row>
    <row r="41" spans="1:37" ht="24.95" customHeight="1">
      <c r="A41" s="38">
        <v>26</v>
      </c>
      <c r="B41" s="313"/>
      <c r="C41" s="313"/>
      <c r="D41" s="313"/>
      <c r="E41" s="314"/>
      <c r="F41" s="315"/>
      <c r="G41" s="316"/>
      <c r="H41" s="316"/>
      <c r="I41" s="45">
        <f t="shared" si="0"/>
        <v>0</v>
      </c>
      <c r="J41" s="317"/>
      <c r="K41" s="45">
        <f t="shared" si="1"/>
        <v>0</v>
      </c>
      <c r="L41" s="44" t="str">
        <f>IF(AD41="◎",COUNTIF($AD$16:AD41,"◎"),"")</f>
        <v/>
      </c>
      <c r="W41" s="234" t="str">
        <f>IF(B41="既設病床",はじめに入力してください!$K$12,IF(B41="新設病床",はじめに入力してください!$K$13,IF(B41="共通使用",1,"")))</f>
        <v/>
      </c>
      <c r="AC41" s="49" t="s">
        <v>69</v>
      </c>
      <c r="AD41" s="231" t="str">
        <f t="shared" si="2"/>
        <v>○</v>
      </c>
      <c r="AE41" s="35" t="str">
        <f t="shared" si="3"/>
        <v>申請しない場合は入力不要です。</v>
      </c>
      <c r="AF41" s="234" t="str">
        <f t="shared" si="4"/>
        <v>○</v>
      </c>
      <c r="AG41" s="234" t="str">
        <f t="shared" si="5"/>
        <v>○</v>
      </c>
      <c r="AH41" s="234" t="str">
        <f t="shared" si="6"/>
        <v>○</v>
      </c>
      <c r="AI41" s="231" t="str">
        <f t="shared" si="7"/>
        <v>○</v>
      </c>
      <c r="AJ41" s="14" t="str">
        <f t="shared" si="8"/>
        <v/>
      </c>
      <c r="AK41" s="52">
        <v>26</v>
      </c>
    </row>
    <row r="42" spans="1:37" ht="24.95" customHeight="1">
      <c r="A42" s="38">
        <v>27</v>
      </c>
      <c r="B42" s="313"/>
      <c r="C42" s="313"/>
      <c r="D42" s="313"/>
      <c r="E42" s="314"/>
      <c r="F42" s="315"/>
      <c r="G42" s="316"/>
      <c r="H42" s="316"/>
      <c r="I42" s="45">
        <f t="shared" si="0"/>
        <v>0</v>
      </c>
      <c r="J42" s="317"/>
      <c r="K42" s="45">
        <f t="shared" si="1"/>
        <v>0</v>
      </c>
      <c r="L42" s="44" t="str">
        <f>IF(AD42="◎",COUNTIF($AD$16:AD42,"◎"),"")</f>
        <v/>
      </c>
      <c r="W42" s="234" t="str">
        <f>IF(B42="既設病床",はじめに入力してください!$K$12,IF(B42="新設病床",はじめに入力してください!$K$13,IF(B42="共通使用",1,"")))</f>
        <v/>
      </c>
      <c r="AC42" s="49" t="s">
        <v>69</v>
      </c>
      <c r="AD42" s="231" t="str">
        <f t="shared" si="2"/>
        <v>○</v>
      </c>
      <c r="AE42" s="35" t="str">
        <f t="shared" si="3"/>
        <v>申請しない場合は入力不要です。</v>
      </c>
      <c r="AF42" s="234" t="str">
        <f t="shared" si="4"/>
        <v>○</v>
      </c>
      <c r="AG42" s="234" t="str">
        <f t="shared" si="5"/>
        <v>○</v>
      </c>
      <c r="AH42" s="234" t="str">
        <f t="shared" si="6"/>
        <v>○</v>
      </c>
      <c r="AI42" s="231" t="str">
        <f t="shared" si="7"/>
        <v>○</v>
      </c>
      <c r="AJ42" s="14" t="str">
        <f t="shared" si="8"/>
        <v/>
      </c>
      <c r="AK42" s="52">
        <v>27</v>
      </c>
    </row>
    <row r="43" spans="1:37" ht="24.95" customHeight="1">
      <c r="A43" s="38">
        <v>28</v>
      </c>
      <c r="B43" s="313"/>
      <c r="C43" s="313"/>
      <c r="D43" s="313"/>
      <c r="E43" s="314"/>
      <c r="F43" s="315"/>
      <c r="G43" s="316"/>
      <c r="H43" s="316"/>
      <c r="I43" s="45">
        <f t="shared" si="0"/>
        <v>0</v>
      </c>
      <c r="J43" s="317"/>
      <c r="K43" s="45">
        <f t="shared" si="1"/>
        <v>0</v>
      </c>
      <c r="L43" s="44" t="str">
        <f>IF(AD43="◎",COUNTIF($AD$16:AD43,"◎"),"")</f>
        <v/>
      </c>
      <c r="W43" s="234" t="str">
        <f>IF(B43="既設病床",はじめに入力してください!$K$12,IF(B43="新設病床",はじめに入力してください!$K$13,IF(B43="共通使用",1,"")))</f>
        <v/>
      </c>
      <c r="AC43" s="49" t="s">
        <v>69</v>
      </c>
      <c r="AD43" s="231" t="str">
        <f t="shared" si="2"/>
        <v>○</v>
      </c>
      <c r="AE43" s="35" t="str">
        <f t="shared" si="3"/>
        <v>申請しない場合は入力不要です。</v>
      </c>
      <c r="AF43" s="234" t="str">
        <f t="shared" si="4"/>
        <v>○</v>
      </c>
      <c r="AG43" s="234" t="str">
        <f t="shared" si="5"/>
        <v>○</v>
      </c>
      <c r="AH43" s="234" t="str">
        <f t="shared" si="6"/>
        <v>○</v>
      </c>
      <c r="AI43" s="231" t="str">
        <f t="shared" si="7"/>
        <v>○</v>
      </c>
      <c r="AJ43" s="14" t="str">
        <f t="shared" si="8"/>
        <v/>
      </c>
      <c r="AK43" s="52">
        <v>28</v>
      </c>
    </row>
    <row r="44" spans="1:37" ht="24.95" customHeight="1">
      <c r="A44" s="38">
        <v>29</v>
      </c>
      <c r="B44" s="313"/>
      <c r="C44" s="313"/>
      <c r="D44" s="313"/>
      <c r="E44" s="314"/>
      <c r="F44" s="315"/>
      <c r="G44" s="316"/>
      <c r="H44" s="316"/>
      <c r="I44" s="45">
        <f t="shared" si="0"/>
        <v>0</v>
      </c>
      <c r="J44" s="317"/>
      <c r="K44" s="45">
        <f t="shared" si="1"/>
        <v>0</v>
      </c>
      <c r="L44" s="44" t="str">
        <f>IF(AD44="◎",COUNTIF($AD$16:AD44,"◎"),"")</f>
        <v/>
      </c>
      <c r="W44" s="234" t="str">
        <f>IF(B44="既設病床",はじめに入力してください!$K$12,IF(B44="新設病床",はじめに入力してください!$K$13,IF(B44="共通使用",1,"")))</f>
        <v/>
      </c>
      <c r="AC44" s="49" t="s">
        <v>69</v>
      </c>
      <c r="AD44" s="231" t="str">
        <f t="shared" si="2"/>
        <v>○</v>
      </c>
      <c r="AE44" s="35" t="str">
        <f t="shared" si="3"/>
        <v>申請しない場合は入力不要です。</v>
      </c>
      <c r="AF44" s="234" t="str">
        <f t="shared" si="4"/>
        <v>○</v>
      </c>
      <c r="AG44" s="234" t="str">
        <f t="shared" si="5"/>
        <v>○</v>
      </c>
      <c r="AH44" s="234" t="str">
        <f t="shared" si="6"/>
        <v>○</v>
      </c>
      <c r="AI44" s="231" t="str">
        <f t="shared" si="7"/>
        <v>○</v>
      </c>
      <c r="AJ44" s="14" t="str">
        <f t="shared" si="8"/>
        <v/>
      </c>
      <c r="AK44" s="52">
        <v>29</v>
      </c>
    </row>
    <row r="45" spans="1:37" ht="24.95" customHeight="1">
      <c r="A45" s="38">
        <v>30</v>
      </c>
      <c r="B45" s="313"/>
      <c r="C45" s="313"/>
      <c r="D45" s="313"/>
      <c r="E45" s="314"/>
      <c r="F45" s="315"/>
      <c r="G45" s="316"/>
      <c r="H45" s="316"/>
      <c r="I45" s="45">
        <f t="shared" si="0"/>
        <v>0</v>
      </c>
      <c r="J45" s="317"/>
      <c r="K45" s="45">
        <f t="shared" si="1"/>
        <v>0</v>
      </c>
      <c r="L45" s="44" t="str">
        <f>IF(AD45="◎",COUNTIF($AD$16:AD45,"◎"),"")</f>
        <v/>
      </c>
      <c r="W45" s="234" t="str">
        <f>IF(B45="既設病床",はじめに入力してください!$K$12,IF(B45="新設病床",はじめに入力してください!$K$13,IF(B45="共通使用",1,"")))</f>
        <v/>
      </c>
      <c r="AC45" s="49" t="s">
        <v>69</v>
      </c>
      <c r="AD45" s="231" t="str">
        <f t="shared" si="2"/>
        <v>○</v>
      </c>
      <c r="AE45" s="35" t="str">
        <f t="shared" si="3"/>
        <v>申請しない場合は入力不要です。</v>
      </c>
      <c r="AF45" s="234" t="str">
        <f t="shared" si="4"/>
        <v>○</v>
      </c>
      <c r="AG45" s="234" t="str">
        <f t="shared" si="5"/>
        <v>○</v>
      </c>
      <c r="AH45" s="234" t="str">
        <f t="shared" si="6"/>
        <v>○</v>
      </c>
      <c r="AI45" s="231" t="str">
        <f t="shared" si="7"/>
        <v>○</v>
      </c>
      <c r="AJ45" s="14" t="str">
        <f t="shared" si="8"/>
        <v/>
      </c>
      <c r="AK45" s="52">
        <v>30</v>
      </c>
    </row>
    <row r="46" spans="1:37" ht="24.95" customHeight="1">
      <c r="A46" s="38">
        <v>31</v>
      </c>
      <c r="B46" s="313"/>
      <c r="C46" s="313"/>
      <c r="D46" s="313"/>
      <c r="E46" s="314"/>
      <c r="F46" s="315"/>
      <c r="G46" s="316"/>
      <c r="H46" s="316"/>
      <c r="I46" s="45">
        <f t="shared" si="0"/>
        <v>0</v>
      </c>
      <c r="J46" s="317"/>
      <c r="K46" s="45">
        <f t="shared" si="1"/>
        <v>0</v>
      </c>
      <c r="L46" s="44" t="str">
        <f>IF(AD46="◎",COUNTIF($AD$16:AD46,"◎"),"")</f>
        <v/>
      </c>
      <c r="W46" s="234" t="str">
        <f>IF(B46="既設病床",はじめに入力してください!$K$12,IF(B46="新設病床",はじめに入力してください!$K$13,IF(B46="共通使用",1,"")))</f>
        <v/>
      </c>
      <c r="AC46" s="49" t="s">
        <v>69</v>
      </c>
      <c r="AD46" s="231" t="str">
        <f t="shared" si="2"/>
        <v>○</v>
      </c>
      <c r="AE46" s="35" t="str">
        <f t="shared" si="3"/>
        <v>申請しない場合は入力不要です。</v>
      </c>
      <c r="AF46" s="234" t="str">
        <f t="shared" si="4"/>
        <v>○</v>
      </c>
      <c r="AG46" s="234" t="str">
        <f t="shared" si="5"/>
        <v>○</v>
      </c>
      <c r="AH46" s="234" t="str">
        <f t="shared" si="6"/>
        <v>○</v>
      </c>
      <c r="AI46" s="231" t="str">
        <f t="shared" si="7"/>
        <v>○</v>
      </c>
      <c r="AJ46" s="14" t="str">
        <f t="shared" si="8"/>
        <v/>
      </c>
      <c r="AK46" s="52">
        <v>31</v>
      </c>
    </row>
    <row r="47" spans="1:37" ht="24.95" customHeight="1">
      <c r="A47" s="38">
        <v>32</v>
      </c>
      <c r="B47" s="313"/>
      <c r="C47" s="313"/>
      <c r="D47" s="313"/>
      <c r="E47" s="314"/>
      <c r="F47" s="315"/>
      <c r="G47" s="316"/>
      <c r="H47" s="316"/>
      <c r="I47" s="45">
        <f t="shared" si="0"/>
        <v>0</v>
      </c>
      <c r="J47" s="317"/>
      <c r="K47" s="45">
        <f t="shared" si="1"/>
        <v>0</v>
      </c>
      <c r="L47" s="44" t="str">
        <f>IF(AD47="◎",COUNTIF($AD$16:AD47,"◎"),"")</f>
        <v/>
      </c>
      <c r="W47" s="234" t="str">
        <f>IF(B47="既設病床",はじめに入力してください!$K$12,IF(B47="新設病床",はじめに入力してください!$K$13,IF(B47="共通使用",1,"")))</f>
        <v/>
      </c>
      <c r="AC47" s="49" t="s">
        <v>69</v>
      </c>
      <c r="AD47" s="231" t="str">
        <f t="shared" si="2"/>
        <v>○</v>
      </c>
      <c r="AE47" s="35" t="str">
        <f t="shared" si="3"/>
        <v>申請しない場合は入力不要です。</v>
      </c>
      <c r="AF47" s="234" t="str">
        <f t="shared" si="4"/>
        <v>○</v>
      </c>
      <c r="AG47" s="234" t="str">
        <f t="shared" si="5"/>
        <v>○</v>
      </c>
      <c r="AH47" s="234" t="str">
        <f t="shared" si="6"/>
        <v>○</v>
      </c>
      <c r="AI47" s="231" t="str">
        <f t="shared" si="7"/>
        <v>○</v>
      </c>
      <c r="AJ47" s="14" t="str">
        <f t="shared" si="8"/>
        <v/>
      </c>
      <c r="AK47" s="52">
        <v>32</v>
      </c>
    </row>
    <row r="48" spans="1:37" ht="24.95" customHeight="1">
      <c r="A48" s="38">
        <v>33</v>
      </c>
      <c r="B48" s="313"/>
      <c r="C48" s="313"/>
      <c r="D48" s="313"/>
      <c r="E48" s="314"/>
      <c r="F48" s="315"/>
      <c r="G48" s="316"/>
      <c r="H48" s="316"/>
      <c r="I48" s="45">
        <f t="shared" si="0"/>
        <v>0</v>
      </c>
      <c r="J48" s="317"/>
      <c r="K48" s="45">
        <f t="shared" si="1"/>
        <v>0</v>
      </c>
      <c r="L48" s="44" t="str">
        <f>IF(AD48="◎",COUNTIF($AD$16:AD48,"◎"),"")</f>
        <v/>
      </c>
      <c r="W48" s="234" t="str">
        <f>IF(B48="既設病床",はじめに入力してください!$K$12,IF(B48="新設病床",はじめに入力してください!$K$13,IF(B48="共通使用",1,"")))</f>
        <v/>
      </c>
      <c r="AC48" s="49" t="s">
        <v>69</v>
      </c>
      <c r="AD48" s="231" t="str">
        <f t="shared" si="2"/>
        <v>○</v>
      </c>
      <c r="AE48" s="35" t="str">
        <f t="shared" si="3"/>
        <v>申請しない場合は入力不要です。</v>
      </c>
      <c r="AF48" s="234" t="str">
        <f t="shared" si="4"/>
        <v>○</v>
      </c>
      <c r="AG48" s="234" t="str">
        <f t="shared" si="5"/>
        <v>○</v>
      </c>
      <c r="AH48" s="234" t="str">
        <f t="shared" si="6"/>
        <v>○</v>
      </c>
      <c r="AI48" s="231" t="str">
        <f t="shared" si="7"/>
        <v>○</v>
      </c>
      <c r="AJ48" s="14" t="str">
        <f t="shared" si="8"/>
        <v/>
      </c>
      <c r="AK48" s="52">
        <v>33</v>
      </c>
    </row>
    <row r="49" spans="1:37" ht="24.95" customHeight="1">
      <c r="A49" s="38">
        <v>34</v>
      </c>
      <c r="B49" s="313"/>
      <c r="C49" s="313"/>
      <c r="D49" s="313"/>
      <c r="E49" s="314"/>
      <c r="F49" s="315"/>
      <c r="G49" s="316"/>
      <c r="H49" s="316"/>
      <c r="I49" s="45">
        <f t="shared" si="0"/>
        <v>0</v>
      </c>
      <c r="J49" s="317"/>
      <c r="K49" s="45">
        <f t="shared" si="1"/>
        <v>0</v>
      </c>
      <c r="L49" s="44" t="str">
        <f>IF(AD49="◎",COUNTIF($AD$16:AD49,"◎"),"")</f>
        <v/>
      </c>
      <c r="W49" s="234" t="str">
        <f>IF(B49="既設病床",はじめに入力してください!$K$12,IF(B49="新設病床",はじめに入力してください!$K$13,IF(B49="共通使用",1,"")))</f>
        <v/>
      </c>
      <c r="AC49" s="49" t="s">
        <v>69</v>
      </c>
      <c r="AD49" s="231" t="str">
        <f t="shared" si="2"/>
        <v>○</v>
      </c>
      <c r="AE49" s="35" t="str">
        <f t="shared" si="3"/>
        <v>申請しない場合は入力不要です。</v>
      </c>
      <c r="AF49" s="234" t="str">
        <f t="shared" si="4"/>
        <v>○</v>
      </c>
      <c r="AG49" s="234" t="str">
        <f t="shared" si="5"/>
        <v>○</v>
      </c>
      <c r="AH49" s="234" t="str">
        <f t="shared" si="6"/>
        <v>○</v>
      </c>
      <c r="AI49" s="231" t="str">
        <f t="shared" si="7"/>
        <v>○</v>
      </c>
      <c r="AJ49" s="14" t="str">
        <f t="shared" si="8"/>
        <v/>
      </c>
      <c r="AK49" s="52">
        <v>34</v>
      </c>
    </row>
    <row r="50" spans="1:37" ht="24.95" customHeight="1">
      <c r="A50" s="38">
        <v>35</v>
      </c>
      <c r="B50" s="313"/>
      <c r="C50" s="313"/>
      <c r="D50" s="313"/>
      <c r="E50" s="314"/>
      <c r="F50" s="315"/>
      <c r="G50" s="316"/>
      <c r="H50" s="316"/>
      <c r="I50" s="45">
        <f t="shared" si="0"/>
        <v>0</v>
      </c>
      <c r="J50" s="317"/>
      <c r="K50" s="45">
        <f t="shared" si="1"/>
        <v>0</v>
      </c>
      <c r="L50" s="44" t="str">
        <f>IF(AD50="◎",COUNTIF($AD$16:AD50,"◎"),"")</f>
        <v/>
      </c>
      <c r="W50" s="234" t="str">
        <f>IF(B50="既設病床",はじめに入力してください!$K$12,IF(B50="新設病床",はじめに入力してください!$K$13,IF(B50="共通使用",1,"")))</f>
        <v/>
      </c>
      <c r="AC50" s="49" t="s">
        <v>69</v>
      </c>
      <c r="AD50" s="231" t="str">
        <f t="shared" si="2"/>
        <v>○</v>
      </c>
      <c r="AE50" s="35" t="str">
        <f t="shared" si="3"/>
        <v>申請しない場合は入力不要です。</v>
      </c>
      <c r="AF50" s="234" t="str">
        <f t="shared" si="4"/>
        <v>○</v>
      </c>
      <c r="AG50" s="234" t="str">
        <f t="shared" si="5"/>
        <v>○</v>
      </c>
      <c r="AH50" s="234" t="str">
        <f t="shared" si="6"/>
        <v>○</v>
      </c>
      <c r="AI50" s="231" t="str">
        <f t="shared" si="7"/>
        <v>○</v>
      </c>
      <c r="AJ50" s="14" t="str">
        <f t="shared" si="8"/>
        <v/>
      </c>
      <c r="AK50" s="52">
        <v>35</v>
      </c>
    </row>
  </sheetData>
  <sheetProtection algorithmName="SHA-512" hashValue="5q8UGGNl8w13tCvQdwkt2zOLIaSleiGWduy2Gt6n4Ua1fJXzwVR/R8CoFUuUoXoDE/0unh6Zee/fjyjMRx7SQw==" saltValue="VdTwMiBw5J3yezSsQSohbg==" spinCount="100000" sheet="1" insertRows="0"/>
  <mergeCells count="29">
    <mergeCell ref="AD7:AD13"/>
    <mergeCell ref="AE7:AG13"/>
    <mergeCell ref="B8:L8"/>
    <mergeCell ref="B9:C9"/>
    <mergeCell ref="H9:I9"/>
    <mergeCell ref="K9:L9"/>
    <mergeCell ref="B10:C10"/>
    <mergeCell ref="H10:I11"/>
    <mergeCell ref="K10:L11"/>
    <mergeCell ref="B11:C11"/>
    <mergeCell ref="B13:L13"/>
    <mergeCell ref="J10:J11"/>
    <mergeCell ref="F2:G2"/>
    <mergeCell ref="H2:L2"/>
    <mergeCell ref="B3:L6"/>
    <mergeCell ref="AD5:AD6"/>
    <mergeCell ref="AE5:AG6"/>
    <mergeCell ref="B14:D14"/>
    <mergeCell ref="E14:F14"/>
    <mergeCell ref="G14:J14"/>
    <mergeCell ref="K14:K15"/>
    <mergeCell ref="L14:L15"/>
    <mergeCell ref="AY18:BC18"/>
    <mergeCell ref="BD18:BH18"/>
    <mergeCell ref="BS18:BW20"/>
    <mergeCell ref="AY19:BC23"/>
    <mergeCell ref="BD19:BH23"/>
    <mergeCell ref="BQ19:BQ20"/>
    <mergeCell ref="BR19:BR20"/>
  </mergeCells>
  <phoneticPr fontId="1"/>
  <conditionalFormatting sqref="AY19">
    <cfRule type="containsText" dxfId="49" priority="12" operator="containsText" text="（補助対象員数）">
      <formula>NOT(ISERROR(SEARCH("（補助対象員数）",AY19)))</formula>
    </cfRule>
  </conditionalFormatting>
  <conditionalFormatting sqref="BD19:BG23">
    <cfRule type="containsText" dxfId="48" priority="9" operator="containsText" text="要修正">
      <formula>NOT(ISERROR(SEARCH("要修正",BD19)))</formula>
    </cfRule>
  </conditionalFormatting>
  <conditionalFormatting sqref="AY19:BC23">
    <cfRule type="containsText" dxfId="47" priority="8" operator="containsText" text="【未入力有】">
      <formula>NOT(ISERROR(SEARCH("【未入力有】",AY19)))</formula>
    </cfRule>
  </conditionalFormatting>
  <conditionalFormatting sqref="BP19:BQ20">
    <cfRule type="containsText" dxfId="46" priority="7" operator="containsText" text="×">
      <formula>NOT(ISERROR(SEARCH("×",BP19)))</formula>
    </cfRule>
  </conditionalFormatting>
  <conditionalFormatting sqref="BR19:BR20">
    <cfRule type="containsText" dxfId="45" priority="6" operator="containsText" text="要修正">
      <formula>NOT(ISERROR(SEARCH("要修正",BR19)))</formula>
    </cfRule>
  </conditionalFormatting>
  <conditionalFormatting sqref="AD7:AD13">
    <cfRule type="containsText" dxfId="44" priority="5" operator="containsText" text="×">
      <formula>NOT(ISERROR(SEARCH("×",AD7)))</formula>
    </cfRule>
  </conditionalFormatting>
  <conditionalFormatting sqref="AE7:AE13">
    <cfRule type="containsText" dxfId="43" priority="4" operator="containsText" text="要修正">
      <formula>NOT(ISERROR(SEARCH("要修正",AE7)))</formula>
    </cfRule>
  </conditionalFormatting>
  <conditionalFormatting sqref="AF16:AF50">
    <cfRule type="containsText" dxfId="42" priority="3" operator="containsText" text="【不備の点】">
      <formula>NOT(ISERROR(SEARCH("【不備の点】",AF16)))</formula>
    </cfRule>
  </conditionalFormatting>
  <conditionalFormatting sqref="AE16:AE50">
    <cfRule type="containsText" dxfId="41" priority="2" operator="containsText" text="【不備の点】">
      <formula>NOT(ISERROR(SEARCH("【不備の点】",AE16)))</formula>
    </cfRule>
  </conditionalFormatting>
  <conditionalFormatting sqref="AD16:AD50">
    <cfRule type="containsText" dxfId="40" priority="1" operator="containsText" text="×">
      <formula>NOT(ISERROR(SEARCH("×",AD16)))</formula>
    </cfRule>
  </conditionalFormatting>
  <dataValidations count="8">
    <dataValidation type="list" allowBlank="1" showInputMessage="1" showErrorMessage="1" promptTitle="補助対象の該当非該当" prompt="血液浄化装置の設備整備に係る経費が対象となります。_x000a_医療用消耗品等のランニングコストといった装置自体の整備と直接に関係しないものは補助対象外なので「対象外」を選択してください。_x000a_審査において確認、対象外と認めたものについては対象外として補正をお願いする場合があります。" sqref="J16:J50">
      <formula1>"補助対象,補助対象外"</formula1>
    </dataValidation>
    <dataValidation allowBlank="1" showInputMessage="1" showErrorMessage="1" promptTitle="金額の表示" prompt="数式が入力されているため、自動計算されます。" sqref="K16:K50 I16:I50"/>
    <dataValidation allowBlank="1" showInputMessage="1" showErrorMessage="1" promptTitle="添付書類番号" prompt="種類、規格、数量、単価が全て適切に入力され、右の「判定」が「◎」と表示されると自動で番号が表示されます。" sqref="L16:L50"/>
    <dataValidation allowBlank="1" showInputMessage="1" showErrorMessage="1" promptTitle="単価の入力" prompt="税抜額または税込額のいずれかを入力してください。_x000a_入力しない方は「0」は入力せず、空欄としてください。" sqref="G16:H50"/>
    <dataValidation allowBlank="1" showInputMessage="1" showErrorMessage="1" promptTitle="規格及び数量の入力" prompt="補助対象経費を計上する際、いずれも入力してください。" sqref="E16:F50"/>
    <dataValidation type="list" allowBlank="1" showInputMessage="1" showErrorMessage="1" promptTitle="装置、付属備品の別を選択" prompt="当該行に記載する品目が_x000a_・「装置」（本体）_x000a_・「付属備品」_x000a_の別をプルダウンから選択してください。" sqref="D16:D50">
      <formula1>"装置,付属備品"</formula1>
    </dataValidation>
    <dataValidation allowBlank="1" showInputMessage="1" showErrorMessage="1" promptTitle="補助対象金額" prompt="見積書金額×（見積書金額-割引額）/見積書金額_x000a_で算出されます。" sqref="K10:L11"/>
    <dataValidation allowBlank="1" showInputMessage="1" showErrorMessage="1" promptTitle="割引額がある場合は入力" prompt="割引がない場合は「0円」のままとしてください。" sqref="J10:J11"/>
  </dataValidations>
  <printOptions horizontalCentered="1"/>
  <pageMargins left="0.59055118110236227" right="0.39370078740157483" top="0.39370078740157483" bottom="0.39370078740157483" header="0.31496062992125984" footer="0.31496062992125984"/>
  <pageSetup paperSize="9" scale="53" fitToWidth="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promptTitle="配備する病床の「新設」「既設」の別を選択" prompt="ベッドに必ずしも紐付けるものではありませんが、１病床１台で紐付けした場合、配備する病床が_x000a_・令和３年度までにコロナ対応病床として指定済のものか_x000a_・令和４年度に指定を受けた・指定予定か_x000a_いずれかを選択してください。">
          <x14:formula1>
            <xm:f>はじめに入力してください!$AO$41:$AO$43</xm:f>
          </x14:formula1>
          <xm:sqref>B16:B50</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不足する病床に番号付けをした場合の番号を選択してください。_x000a_（例）_x000a_　既存の設備２台_x000a_　既設病床２床、新設病床３床の場合_x000a_→既存の設備２台は、既設病床１～２に配備_x000a_　３台申請する場合は「新設病床１」～「新設病床３」を選択して品目等必要情報を入力">
          <x14:formula1>
            <xm:f>OFFSET( はじめに入力してください!$AO$41, 0, MATCH(B16,はじめに入力してください!$AP$40:$AR$40,0), COUNTA(OFFSET(はじめに入力してください!$AO$41,0,MATCH(B16,はじめに入力してください!$AP$40:$AR$40,0),W16,1)),1)</xm:f>
          </x14:formula1>
          <xm:sqref>C16:C50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BW115"/>
  <sheetViews>
    <sheetView showGridLines="0" view="pageBreakPreview" zoomScale="50" zoomScaleNormal="100" zoomScaleSheetLayoutView="50" workbookViewId="0">
      <pane xSplit="1" ySplit="15" topLeftCell="B16" activePane="bottomRight" state="frozen"/>
      <selection activeCell="N3" sqref="N3:Q3"/>
      <selection pane="topRight" activeCell="N3" sqref="N3:Q3"/>
      <selection pane="bottomLeft" activeCell="N3" sqref="N3:Q3"/>
      <selection pane="bottomRight" activeCell="AK115" sqref="AK15:AK115"/>
    </sheetView>
  </sheetViews>
  <sheetFormatPr defaultColWidth="9" defaultRowHeight="20.100000000000001" customHeight="1"/>
  <cols>
    <col min="1" max="1" width="5.625" style="38" customWidth="1"/>
    <col min="2" max="4" width="11.625" style="38" customWidth="1"/>
    <col min="5" max="5" width="26.5" style="39" customWidth="1"/>
    <col min="6" max="7" width="11.625" style="40" customWidth="1"/>
    <col min="8" max="9" width="12.625" style="40" customWidth="1"/>
    <col min="10" max="10" width="12.625" style="25" customWidth="1"/>
    <col min="11" max="12" width="12.625" style="40" customWidth="1"/>
    <col min="13" max="13" width="2.625" style="40" customWidth="1"/>
    <col min="14" max="15" width="30.625" style="41" customWidth="1"/>
    <col min="16" max="16" width="40.625" style="41" customWidth="1"/>
    <col min="17" max="18" width="30.625" style="41" hidden="1" customWidth="1"/>
    <col min="19" max="22" width="12.625" style="41" hidden="1" customWidth="1"/>
    <col min="23" max="23" width="0" style="200" hidden="1" customWidth="1"/>
    <col min="24" max="24" width="10.375" style="41" hidden="1" customWidth="1"/>
    <col min="25" max="25" width="0" style="41" hidden="1" customWidth="1"/>
    <col min="26" max="28" width="9" style="41"/>
    <col min="29" max="29" width="3.625" style="49" customWidth="1"/>
    <col min="30" max="30" width="9.75" style="41" bestFit="1" customWidth="1"/>
    <col min="31" max="31" width="85.625" style="201" customWidth="1"/>
    <col min="32" max="35" width="10.625" style="41" customWidth="1"/>
    <col min="36" max="36" width="60.625" style="41" customWidth="1"/>
    <col min="37" max="52" width="9" style="41"/>
    <col min="53" max="53" width="20.625" style="41" customWidth="1"/>
    <col min="54" max="55" width="9" style="41"/>
    <col min="56" max="56" width="35.625" style="41" customWidth="1"/>
    <col min="57" max="16384" width="9" style="41"/>
  </cols>
  <sheetData>
    <row r="1" spans="1:37" ht="9.9499999999999993" customHeight="1"/>
    <row r="2" spans="1:37" ht="30" customHeight="1">
      <c r="B2" s="199" t="s">
        <v>230</v>
      </c>
      <c r="C2" s="36"/>
      <c r="D2" s="36"/>
      <c r="F2" s="772" t="s">
        <v>208</v>
      </c>
      <c r="G2" s="773"/>
      <c r="H2" s="772" t="str">
        <f>表紙!L9&amp;IF(はじめに入力してください!L20="","","※"&amp;はじめに入力してください!AE20)</f>
        <v/>
      </c>
      <c r="I2" s="774"/>
      <c r="J2" s="774"/>
      <c r="K2" s="774"/>
      <c r="L2" s="773"/>
    </row>
    <row r="3" spans="1:37" ht="20.100000000000001" customHeight="1">
      <c r="B3" s="775" t="str">
        <f>人工呼吸器明細!B3</f>
        <v>　まとめて「一式」と記載はせず、見積書、納品書等に記載の設備・付属備品ごとに分けて記載するようにしてください。
　整備する設備の配備先（既設又は新設病床、病床に番号付与した場合いずれの病床に充てるのか左部分「配備先・内容」欄で選択してください。
　配備先の病床の別及び、当該品目が「装置」か「付属備品」の別をプルダウンから選択してください。</v>
      </c>
      <c r="C3" s="755"/>
      <c r="D3" s="755"/>
      <c r="E3" s="755"/>
      <c r="F3" s="755"/>
      <c r="G3" s="755"/>
      <c r="H3" s="755"/>
      <c r="I3" s="755"/>
      <c r="J3" s="755"/>
      <c r="K3" s="755"/>
      <c r="L3" s="755"/>
      <c r="S3" s="55"/>
      <c r="T3" s="55"/>
      <c r="U3" s="55"/>
      <c r="V3" s="55"/>
    </row>
    <row r="4" spans="1:37" ht="20.100000000000001" customHeight="1">
      <c r="B4" s="755"/>
      <c r="C4" s="755"/>
      <c r="D4" s="755"/>
      <c r="E4" s="755"/>
      <c r="F4" s="755"/>
      <c r="G4" s="755"/>
      <c r="H4" s="755"/>
      <c r="I4" s="755"/>
      <c r="J4" s="755"/>
      <c r="K4" s="755"/>
      <c r="L4" s="755"/>
      <c r="S4" s="55"/>
      <c r="T4" s="55"/>
      <c r="U4" s="55"/>
      <c r="V4" s="55"/>
    </row>
    <row r="5" spans="1:37" ht="20.100000000000001" customHeight="1">
      <c r="B5" s="755"/>
      <c r="C5" s="755"/>
      <c r="D5" s="755"/>
      <c r="E5" s="755"/>
      <c r="F5" s="755"/>
      <c r="G5" s="755"/>
      <c r="H5" s="755"/>
      <c r="I5" s="755"/>
      <c r="J5" s="755"/>
      <c r="K5" s="755"/>
      <c r="L5" s="755"/>
      <c r="S5" s="55"/>
      <c r="T5" s="55"/>
      <c r="U5" s="55"/>
      <c r="V5" s="55"/>
      <c r="AD5" s="776" t="s">
        <v>122</v>
      </c>
      <c r="AE5" s="735" t="s">
        <v>121</v>
      </c>
      <c r="AF5" s="736"/>
      <c r="AG5" s="737"/>
    </row>
    <row r="6" spans="1:37" ht="20.100000000000001" customHeight="1">
      <c r="B6" s="755"/>
      <c r="C6" s="755"/>
      <c r="D6" s="755"/>
      <c r="E6" s="755"/>
      <c r="F6" s="755"/>
      <c r="G6" s="755"/>
      <c r="H6" s="755"/>
      <c r="I6" s="755"/>
      <c r="J6" s="755"/>
      <c r="K6" s="755"/>
      <c r="L6" s="755"/>
      <c r="S6" s="55"/>
      <c r="T6" s="55"/>
      <c r="U6" s="55"/>
      <c r="V6" s="55"/>
      <c r="AD6" s="777"/>
      <c r="AE6" s="738"/>
      <c r="AF6" s="739"/>
      <c r="AG6" s="740"/>
    </row>
    <row r="7" spans="1:37" ht="9.9499999999999993" customHeight="1">
      <c r="B7" s="56"/>
      <c r="C7" s="56"/>
      <c r="D7" s="56"/>
      <c r="E7" s="57"/>
      <c r="F7" s="58"/>
      <c r="G7" s="41"/>
      <c r="H7" s="41"/>
      <c r="I7" s="41"/>
      <c r="J7" s="200"/>
      <c r="K7" s="41"/>
      <c r="L7" s="41"/>
      <c r="S7" s="55"/>
      <c r="T7" s="55"/>
      <c r="U7" s="55"/>
      <c r="V7" s="55"/>
      <c r="AD7" s="768" t="str">
        <f xml:space="preserve">
IF(AND(COUNTA(D9)=0,COUNTIF(AD16:AD115,"○")=100),"○",
IF(AND(COUNTA(D9)=0,COUNTIF(AD16:AD115,"×")&gt;=1),"×",
IF(AND(COUNTA(D9)=0,COUNTIF(AD16:AD115,"×")=0,COUNTIF(AD16:AD115,"◎")&gt;=1),"×",
IF(AND(COUNTA(D9)=1,COUNTIF(AD16:AD115,"○")=100),"×",
IF(AND(COUNTA(D9)=1,COUNTIF(AD16:AD115,"×")&gt;=1),"×",
IF(AND(COUNTA(D9)=1,COUNTIF(AD16:AD115,"×")=0,COUNTIF(AD16:AD115,"◎")&gt;=1),"◎"))))))</f>
        <v>○</v>
      </c>
      <c r="AE7" s="741" t="str">
        <f xml:space="preserve">
IF(COUNTA(D9)=0,"【１．配備計画】既存配備の人工呼吸器台数が未入力です。"&amp;CHAR(10)&amp;CHAR(10),
IF(COUNTA(D9)=1,"【１．配備計画】適切に入力がされました。 "&amp;CHAR(10)&amp;CHAR(10)))
&amp;
IF(AD7="◎","【装置情報】適切に入力がされました。",
IF(AD7="○","",
IF(AD7="×","【２．装置情報】【要修正】以下の点につき御確認ください。"&amp;CHAR(10)&amp;AJ16&amp;AJ17&amp;AJ18&amp;AJ19&amp;AJ20&amp;AJ21&amp;AJ22&amp;AJ23&amp;AJ24&amp;AJ25&amp;AJ26&amp;AJ27&amp;AJ28&amp;AJ29&amp;AJ30&amp;AJ31&amp;AJ32&amp;AJ33&amp;AJ34&amp;AJ35&amp;AJ36&amp;AJ37&amp;AJ38&amp;AJ39&amp;AJ40&amp;AJ41&amp;AJ42&amp;AJ43&amp;AJ44&amp;AJ45&amp;AJ46&amp;AJ47&amp;AJ48&amp;AJ49&amp;AJ50&amp;AJ51&amp;AJ52&amp;AJ53&amp;AJ54&amp;AJ55&amp;AJ56&amp;AJ57&amp;AJ58&amp;AJ59&amp;AJ60&amp;AJ61&amp;AJ62&amp;AJ63&amp;AJ64&amp;AJ65&amp;AJ66&amp;AJ67&amp;AJ68&amp;AJ69&amp;AJ70&amp;AJ71&amp;AJ72&amp;AJ73&amp;AJ74&amp;AJ75&amp;AJ76&amp;AJ77&amp;AJ78&amp;AJ79&amp;AJ80&amp;AJ81&amp;AJ82&amp;AJ83&amp;AJ84&amp;AJ85&amp;AJ86&amp;AJ87&amp;AJ88&amp;AJ89&amp;AJ90&amp;AJ91&amp;AJ92&amp;AJ93&amp;AJ94&amp;AJ95&amp;AJ96&amp;AJ97&amp;AJ98&amp;AJ99&amp;AJ100&amp;AJ101&amp;AJ102&amp;AJ103&amp;AJ104&amp;AJ105&amp;AJ106&amp;AJ107&amp;AJ108&amp;AJ109&amp;AJ110&amp;AJ111&amp;AJ112&amp;AJ113&amp;AJ114&amp;AJ115
)))</f>
        <v xml:space="preserve">【１．配備計画】既存配備の人工呼吸器台数が未入力です。
</v>
      </c>
      <c r="AF7" s="736"/>
      <c r="AG7" s="737"/>
    </row>
    <row r="8" spans="1:37" ht="20.100000000000001" customHeight="1">
      <c r="B8" s="754" t="s">
        <v>221</v>
      </c>
      <c r="C8" s="755"/>
      <c r="D8" s="755"/>
      <c r="E8" s="755"/>
      <c r="F8" s="755"/>
      <c r="G8" s="755"/>
      <c r="H8" s="755"/>
      <c r="I8" s="755"/>
      <c r="J8" s="755"/>
      <c r="K8" s="755"/>
      <c r="L8" s="755"/>
      <c r="S8" s="55"/>
      <c r="T8" s="55"/>
      <c r="U8" s="55"/>
      <c r="V8" s="55"/>
      <c r="AD8" s="778"/>
      <c r="AE8" s="742"/>
      <c r="AF8" s="743"/>
      <c r="AG8" s="744"/>
    </row>
    <row r="9" spans="1:37" ht="20.100000000000001" customHeight="1">
      <c r="B9" s="748" t="s">
        <v>226</v>
      </c>
      <c r="C9" s="749"/>
      <c r="D9" s="318"/>
      <c r="E9" s="232" t="s">
        <v>209</v>
      </c>
      <c r="F9" s="202">
        <f>はじめに入力してください!K12</f>
        <v>0</v>
      </c>
      <c r="H9" s="709" t="s">
        <v>613</v>
      </c>
      <c r="I9" s="710"/>
      <c r="J9" s="50" t="s">
        <v>614</v>
      </c>
      <c r="K9" s="781" t="s">
        <v>212</v>
      </c>
      <c r="L9" s="782"/>
      <c r="S9" s="55"/>
      <c r="T9" s="55"/>
      <c r="U9" s="55"/>
      <c r="V9" s="55"/>
      <c r="AD9" s="779"/>
      <c r="AE9" s="745"/>
      <c r="AF9" s="743"/>
      <c r="AG9" s="744"/>
      <c r="AJ9" s="203"/>
    </row>
    <row r="10" spans="1:37" ht="20.100000000000001" customHeight="1" thickBot="1">
      <c r="B10" s="750" t="s">
        <v>227</v>
      </c>
      <c r="C10" s="751"/>
      <c r="D10" s="204">
        <f>COUNTIF(B16:B115,"装置")</f>
        <v>0</v>
      </c>
      <c r="E10" s="235" t="s">
        <v>210</v>
      </c>
      <c r="F10" s="207">
        <f>はじめに入力してください!K13</f>
        <v>0</v>
      </c>
      <c r="H10" s="756">
        <f>SUM(I16:I115)</f>
        <v>0</v>
      </c>
      <c r="I10" s="757"/>
      <c r="J10" s="716">
        <v>0</v>
      </c>
      <c r="K10" s="711">
        <f>IFERROR(ROUNDUP(SUM(K16:K115)*(H10-J10)/H10,0),0)</f>
        <v>0</v>
      </c>
      <c r="L10" s="712"/>
      <c r="S10" s="55"/>
      <c r="T10" s="55"/>
      <c r="U10" s="55"/>
      <c r="V10" s="55"/>
      <c r="AD10" s="779"/>
      <c r="AE10" s="745"/>
      <c r="AF10" s="743"/>
      <c r="AG10" s="744"/>
    </row>
    <row r="11" spans="1:37" ht="20.100000000000001" customHeight="1" thickTop="1">
      <c r="B11" s="752" t="s">
        <v>218</v>
      </c>
      <c r="C11" s="753"/>
      <c r="D11" s="205">
        <f>SUM(D9:D10)</f>
        <v>0</v>
      </c>
      <c r="E11" s="236" t="s">
        <v>211</v>
      </c>
      <c r="F11" s="208">
        <f>はじめに入力してください!M13</f>
        <v>0</v>
      </c>
      <c r="H11" s="757"/>
      <c r="I11" s="757"/>
      <c r="J11" s="717"/>
      <c r="K11" s="712"/>
      <c r="L11" s="712"/>
      <c r="S11" s="55"/>
      <c r="T11" s="55"/>
      <c r="U11" s="55"/>
      <c r="V11" s="55"/>
      <c r="AD11" s="779"/>
      <c r="AE11" s="745"/>
      <c r="AF11" s="743"/>
      <c r="AG11" s="744"/>
    </row>
    <row r="12" spans="1:37" ht="9.9499999999999993" customHeight="1">
      <c r="B12" s="56"/>
      <c r="C12" s="56"/>
      <c r="D12" s="56"/>
      <c r="E12" s="57"/>
      <c r="F12" s="58"/>
      <c r="G12" s="41"/>
      <c r="H12" s="41"/>
      <c r="I12" s="41"/>
      <c r="J12" s="200"/>
      <c r="K12" s="41"/>
      <c r="L12" s="41"/>
      <c r="S12" s="55"/>
      <c r="T12" s="55"/>
      <c r="U12" s="55"/>
      <c r="V12" s="55"/>
      <c r="AD12" s="779"/>
      <c r="AE12" s="746"/>
      <c r="AF12" s="743"/>
      <c r="AG12" s="744"/>
    </row>
    <row r="13" spans="1:37" ht="80.099999999999994" customHeight="1">
      <c r="B13" s="758" t="str">
        <f>人工呼吸器明細!B13</f>
        <v>２．装置情報（右端に表示の番号を、見積書あるいは納品書の内訳中、該当の部分に記入し記載の箇所を明示してください。）
　見積書等に記載の内訳は補助対象、対象外にかかわらず全て入力し、右上（実支出予定額）と見積金額とが一致するようにしてください。
　補助対象はコロナ病床施設の整備に限られるため医療用消耗品等は補助対象外です。
　記載いただいた補助対象外経費は「補助対象区分」欄で「対象外」を選択してください。（補助対象金額の算定から自動計算で除外されます。）</v>
      </c>
      <c r="C13" s="759"/>
      <c r="D13" s="759"/>
      <c r="E13" s="759"/>
      <c r="F13" s="759"/>
      <c r="G13" s="759"/>
      <c r="H13" s="759"/>
      <c r="I13" s="759"/>
      <c r="J13" s="759"/>
      <c r="K13" s="759"/>
      <c r="L13" s="759"/>
      <c r="S13" s="55"/>
      <c r="T13" s="55"/>
      <c r="U13" s="55"/>
      <c r="V13" s="55"/>
      <c r="AD13" s="780"/>
      <c r="AE13" s="747"/>
      <c r="AF13" s="739"/>
      <c r="AG13" s="740"/>
    </row>
    <row r="14" spans="1:37" ht="24.95" customHeight="1">
      <c r="B14" s="828" t="s">
        <v>200</v>
      </c>
      <c r="C14" s="829"/>
      <c r="D14" s="720" t="s">
        <v>204</v>
      </c>
      <c r="E14" s="774"/>
      <c r="F14" s="773"/>
      <c r="G14" s="723" t="s">
        <v>207</v>
      </c>
      <c r="H14" s="721"/>
      <c r="I14" s="721"/>
      <c r="J14" s="722"/>
      <c r="K14" s="724" t="s">
        <v>202</v>
      </c>
      <c r="L14" s="724" t="s">
        <v>213</v>
      </c>
      <c r="S14" s="55"/>
      <c r="T14" s="55"/>
      <c r="U14" s="55"/>
      <c r="V14" s="55"/>
    </row>
    <row r="15" spans="1:37" ht="24.95" customHeight="1">
      <c r="B15" s="830"/>
      <c r="C15" s="831"/>
      <c r="D15" s="720" t="s">
        <v>55</v>
      </c>
      <c r="E15" s="773"/>
      <c r="F15" s="42" t="s">
        <v>22</v>
      </c>
      <c r="G15" s="42" t="s">
        <v>71</v>
      </c>
      <c r="H15" s="42" t="s">
        <v>72</v>
      </c>
      <c r="I15" s="42" t="s">
        <v>73</v>
      </c>
      <c r="J15" s="42" t="s">
        <v>201</v>
      </c>
      <c r="K15" s="725"/>
      <c r="L15" s="725"/>
      <c r="AD15" s="62" t="s">
        <v>64</v>
      </c>
      <c r="AE15" s="206" t="s">
        <v>74</v>
      </c>
      <c r="AF15" s="63" t="s">
        <v>203</v>
      </c>
      <c r="AG15" s="234" t="s">
        <v>205</v>
      </c>
      <c r="AH15" s="234" t="s">
        <v>91</v>
      </c>
      <c r="AI15" s="231" t="s">
        <v>635</v>
      </c>
      <c r="AJ15" s="52" t="s">
        <v>121</v>
      </c>
      <c r="AK15" s="52" t="str">
        <f>AJ16&amp;AJ17&amp;AJ18&amp;AJ19&amp;AJ20&amp;AJ21&amp;AJ22&amp;AJ23&amp;AJ24&amp;AJ25&amp;AJ26&amp;AJ27&amp;AJ28&amp;AJ29&amp;AJ30&amp;AJ31&amp;AJ32&amp;AJ33&amp;AJ34&amp;AJ35&amp;AJ36&amp;AJ37&amp;AJ38&amp;AJ39&amp;AJ40&amp;AJ41&amp;AJ42&amp;AJ43&amp;AJ44&amp;AJ45&amp;AJ46&amp;AJ47&amp;AJ48&amp;AJ49&amp;AJ50&amp;AJ51&amp;AJ52&amp;AJ53&amp;AJ54&amp;AJ55&amp;AJ56&amp;AJ57&amp;AJ58&amp;AJ59&amp;AJ60&amp;AJ61&amp;AJ62&amp;AJ63&amp;AJ64&amp;AJ65&amp;AJ66&amp;AJ67&amp;AJ68&amp;AJ69&amp;AJ70&amp;AJ71&amp;AJ72&amp;AJ73&amp;AJ74&amp;AJ75&amp;AJ76&amp;AJ77&amp;AJ78&amp;AJ79&amp;AJ80&amp;AJ81&amp;AJ82&amp;AJ83&amp;AJ84&amp;AJ85&amp;AJ86&amp;AJ87&amp;AJ88&amp;AJ89&amp;AJ90&amp;AJ91&amp;AJ92&amp;AJ93&amp;AJ94&amp;AJ95&amp;AJ96&amp;AJ97&amp;AJ98&amp;AJ99&amp;AJ100&amp;AJ101&amp;AJ102&amp;AJ103&amp;AJ104&amp;AJ105&amp;AJ106&amp;AJ107&amp;AJ108&amp;AJ109&amp;AJ110&amp;AJ111&amp;AJ112&amp;AJ113&amp;AJ114&amp;AJ115</f>
        <v/>
      </c>
    </row>
    <row r="16" spans="1:37" ht="24.95" customHeight="1">
      <c r="A16" s="38">
        <v>1</v>
      </c>
      <c r="B16" s="832"/>
      <c r="C16" s="827"/>
      <c r="D16" s="826"/>
      <c r="E16" s="827"/>
      <c r="F16" s="315"/>
      <c r="G16" s="316"/>
      <c r="H16" s="316"/>
      <c r="I16" s="45">
        <f>IF(G16="",H16*F16,ROUNDDOWN(F16*G16*1.1,0))</f>
        <v>0</v>
      </c>
      <c r="J16" s="317"/>
      <c r="K16" s="45">
        <f>IF(J16="補助対象",I16,IF(J16="補助対象外",0,0))</f>
        <v>0</v>
      </c>
      <c r="L16" s="44" t="str">
        <f>IF(AD16="◎",COUNTIF($AD$16:AD16,"◎"),"")</f>
        <v/>
      </c>
      <c r="W16" s="234" t="str">
        <f>IF(B16="既設病床",はじめに入力してください!$K$12,IF(B16="新設病床",はじめに入力してください!$K$13,IF(B16="共通使用",1,"")))</f>
        <v/>
      </c>
      <c r="AC16" s="49" t="s">
        <v>69</v>
      </c>
      <c r="AD16" s="231" t="str">
        <f xml:space="preserve">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f>
        <v>○</v>
      </c>
      <c r="AE16" s="35" t="str">
        <f t="shared" ref="AE16:AE47" si="0" xml:space="preserve">
IF(AND(AF16="○",AG16="○",AH16="○",AI16="○"),"申請しない場合は入力不要です。",
IF(AND(AF16="○",AG16="○",AH16="○",AI16="◎"),"【要修正】【整備区分】未入力、【規格・数量】未入力、【単価】未入力"&amp;CHAR(10),
IF(AND(AF16="○",AG16="○",AH16="×",AI16="○"),"【要修正】【整備区分】未入力、【規格・数量】未入力、【単価】入力不十分、【補助対象区分】未入力"&amp;CHAR(10),
IF(AND(AF16="○",AG16="○",AH16="×",AI16="◎"),"【要修正】【整備区分】未入力、【規格・数量】未入力、【単価】入力不十分"&amp;CHAR(10),
IF(AND(AF16="○",AG16="○",AH16="◎",AI16="○"),"【要修正】【整備区分】未入力、【規格・数量】未入力、【補助対象区分】未入力"&amp;CHAR(10),
IF(AND(AF16="○",AG16="○",AH16="◎",AI16="◎"),"【要修正】【整備区分】未入力、【規格・数量】未入力"&amp;CHAR(10),
IF(AND(AF16="○",AG16="×",AH16="○",AI16="○"),"【要修正】【整備区分】未入力、【規格・数量】入力不十分、【単価】未入力、【補助対象区分】未入力"&amp;CHAR(10),
IF(AND(AF16="○",AG16="×",AH16="○",AI16="◎"),"【要修正】【整備区分】未入力、【規格・数量】入力不十分、【単価】未入力"&amp;CHAR(10),
IF(AND(AF16="○",AG16="×",AH16="×",AI16="○"),"【要修正】【整備区分】未入力、【規格・数量】入力不十分、【単価】入力不十分、【補助対象区分】未入力"&amp;CHAR(10),
IF(AND(AF16="○",AG16="×",AH16="×",AI16="◎"),"【要修正】【整備区分】未入力、【規格・数量】入力不十分、【単価】入力不十分"&amp;CHAR(10),
IF(AND(AF16="○",AG16="×",AH16="◎",AI16="○"),"【要修正】【整備区分】未入力、【規格・数量】入力不十分、【補助対象区分】未入力"&amp;CHAR(10),
IF(AND(AF16="○",AG16="×",AH16="◎",AI16="◎"),"【要修正】【整備区分】未入力、【規格・数量】入力不十分"&amp;CHAR(10),
IF(AND(AF16="○",AG16="◎",AH16="○",AI16="○"),"【要修正】【整備区分】未入力、【単価】未入力、【補助対象区分】未入力"&amp;CHAR(10),
IF(AND(AF16="○",AG16="◎",AH16="○",AI16="◎"),"【要修正】【整備区分】未入力、【単価】未入力"&amp;CHAR(10),
IF(AND(AF16="○",AG16="◎",AH16="×",AI16="○"),"【要修正】【整備区分】未入力、【単価】入力不十分、【補助対象区分】未入力"&amp;CHAR(10),
IF(AND(AF16="○",AG16="◎",AH16="×",AI16="◎"),"【要修正】【整備区分】未入力、【単価】入力不十分"&amp;CHAR(10),
IF(AND(AF16="○",AG16="◎",AH16="◎",AI16="○"),"【要修正】【整備区分】未入力、【補助対象区分】未入力"&amp;CHAR(10),
IF(AND(AF16="○",AG16="◎",AH16="◎",AI16="◎"),"【要修正】【整備区分】未入力"&amp;CHAR(10),
IF(AND(AF16="×",AG16="○",AH16="○",AI16="○"),"【要修正】【整備区分】入力不十分、【規格・数量】未入力、【単価】未入力、【補助対象区分】未入力"&amp;CHAR(10),
IF(AND(AF16="×",AG16="○",AH16="○",AI16="◎"),"【要修正】【整備区分】入力不十分、【規格・数量】未入力、【単価】未入力"&amp;CHAR(10),
IF(AND(AF16="×",AG16="○",AH16="×",AI16="○"),"【要修正】【整備区分】入力不十分、【規格・数量】未入力、【単価】入力不十分、【補助対象区分】未入力"&amp;CHAR(10),
IF(AND(AF16="×",AG16="○",AH16="×",AI16="◎"),"【要修正】【整備区分】入力不十分、【規格・数量】未入力、【単価】入力不十分"&amp;CHAR(10),
IF(AND(AF16="×",AG16="○",AH16="◎",AI16="○"),"【要修正】【整備区分】入力不十分、【規格・数量】未入力、【補助対象区分】未入力"&amp;CHAR(10),
IF(AND(AF16="×",AG16="○",AH16="◎",AI16="◎"),"【要修正】【整備区分】入力不十分、【規格・数量】未入力"&amp;CHAR(10),
IF(AND(AF16="×",AG16="×",AH16="○",AI16="○"),"【要修正】【整備区分】入力不十分、【規格・数量】入力不十分、【単価】未入力、【補助対象区分】未入力"&amp;CHAR(10),
IF(AND(AF16="×",AG16="×",AH16="○",AI16="◎"),"【要修正】【整備区分】入力不十分、【規格・数量】入力不十分、【単価】未入力"&amp;CHAR(10),
IF(AND(AF16="×",AG16="×",AH16="×",AI16="○"),"【要修正】【整備区分】入力不十分、【規格・数量】入力不十分、【単価】入力不十分、【補助対象区分】未入力"&amp;CHAR(10),
IF(AND(AF16="×",AG16="×",AH16="×",AI16="◎"),"【要修正】【整備区分】入力不十分、【規格・数量】入力不十分、【単価】入力不十分"&amp;CHAR(10),
IF(AND(AF16="×",AG16="×",AH16="◎",AI16="○"),"【要修正】【整備区分】入力不十分、【規格・数量】入力不十分、【補助対象区分】未入力"&amp;CHAR(10),
IF(AND(AF16="×",AG16="×",AH16="◎",AI16="◎"),"【要修正】【整備区分】入力不十分、【規格・数量】入力不十分"&amp;CHAR(10),
IF(AND(AF16="×",AG16="◎",AH16="○",AI16="○"),"【要修正】【整備区分】入力不十分、【単価】未入力、【補助対象区分】未入力"&amp;CHAR(10),
IF(AND(AF16="×",AG16="◎",AH16="○",AI16="◎"),"【要修正】【整備区分】入力不十分、【単価】未入力"&amp;CHAR(10),
IF(AND(AF16="×",AG16="◎",AH16="×",AI16="○"),"【要修正】【整備区分】入力不十分、【単価】入力不十分、【補助対象区分】未入力"&amp;CHAR(10),
IF(AND(AF16="×",AG16="◎",AH16="×",AI16="◎"),"【要修正】【整備区分】入力不十分、【単価】入力不十分"&amp;CHAR(10),
IF(AND(AF16="×",AG16="◎",AH16="◎",AI16="○"),"【要修正】【整備区分】入力不十分、【補助対象区分】未入力"&amp;CHAR(10),
IF(AND(AF16="×",AG16="◎",AH16="◎",AI16="◎"),"【要修正】【整備区分】入力不十分"&amp;CHAR(10),
IF(AND(AF16="◎",AG16="○",AH16="○",AI16="○"),"【要修正】【規格・数量】未入力、【単価】未入力、【補助対象区分】未入力"&amp;CHAR(10),
IF(AND(AF16="◎",AG16="○",AH16="○",AI16="◎"),"【要修正】【規格・数量】未入力、【単価】未入力"&amp;CHAR(10),
IF(AND(AF16="◎",AG16="○",AH16="×",AI16="○"),"【要修正】【規格・数量】未入力、【単価】入力不十分、【補助対象区分】未入力"&amp;CHAR(10),
IF(AND(AF16="◎",AG16="○",AH16="×",AI16="◎"),"【要修正】【規格・数量】未入力、【単価】入力不十分"&amp;CHAR(10),
IF(AND(AF16="◎",AG16="○",AH16="◎",AI16="○"),"【要修正】【規格・数量】未入力、【補助対象区分】未入力"&amp;CHAR(10),
IF(AND(AF16="◎",AG16="○",AH16="◎",AI16="◎"),"【要修正】【規格・数量】未入力"&amp;CHAR(10),
IF(AND(AF16="◎",AG16="×",AH16="○",AI16="○"),"【要修正】【規格・数量】入力不十分、【単価】未入力、【補助対象区分】未入力"&amp;CHAR(10),
IF(AND(AF16="◎",AG16="×",AH16="○",AI16="◎"),"【要修正】【規格・数量】入力不十分、【単価】未入力"&amp;CHAR(10),
IF(AND(AF16="◎",AG16="×",AH16="×",AI16="○"),"【要修正】【規格・数量】入力不十分、【単価】入力不十分、【補助対象区分】未入力"&amp;CHAR(10),
IF(AND(AF16="◎",AG16="×",AH16="×",AI16="◎"),"【要修正】【規格・数量】入力不十分、【単価】入力不十分"&amp;CHAR(10),
IF(AND(AF16="◎",AG16="×",AH16="◎",AI16="○"),"【要修正】【規格・数量】入力不十分、【補助対象区分】未入力"&amp;CHAR(10),
IF(AND(AF16="◎",AG16="×",AH16="◎",AI16="◎"),"【要修正】【規格・数量】入力不十分"&amp;CHAR(10),
IF(AND(AF16="◎",AG16="◎",AH16="○",AI16="○"),"【要修正】【単価】未入力、【補助対象区分】未入力"&amp;CHAR(10),
IF(AND(AF16="◎",AG16="◎",AH16="○",AI16="◎"),"【要修正】【単価】未入力"&amp;CHAR(10),
IF(AND(AF16="◎",AG16="◎",AH16="×",AI16="○"),"【要修正】【単価】入力不十分、【補助対象区分】未入力"&amp;CHAR(10),
IF(AND(AF16="◎",AG16="◎",AH16="×",AI16="◎"),"【要修正】【単価】入力不十分"&amp;CHAR(10),
IF(AND(AF16="◎",AG16="◎",AH16="◎",AI16="○"),"【要修正】【補助対象区分】未入力"&amp;CHAR(10),
IF(AND(AF16="◎",AG16="◎",AH16="◎",AI16="◎"),"適切に入力がされました。",
))))))))))))))))))))))))))))))))))))))))))))))))))))))</f>
        <v>申請しない場合は入力不要です。</v>
      </c>
      <c r="AF16" s="234" t="str">
        <f>IF(COUNTA(B16)=0,"○",IF(COUNTA(B16)=1,"◎"))</f>
        <v>○</v>
      </c>
      <c r="AG16" s="234" t="str">
        <f>IF(COUNTA(D16,F16)=0,"○",IF(AND(COUNTA(D16,F16)&gt;=1,COUNTA(D16,F16)&lt;2),"×",IF(COUNTA(D16,F16)=2,"◎")))</f>
        <v>○</v>
      </c>
      <c r="AH16" s="234" t="str">
        <f>IF(COUNTA(G16:H16)=0,"○",IF(COUNTA(G16:H16)=1,"◎",IF(COUNTA(G16:H16)=2,"×")))</f>
        <v>○</v>
      </c>
      <c r="AI16" s="231" t="str">
        <f>IF(COUNTA(J16)=0,"○",IF(COUNTA(J16)=1,"◎"))</f>
        <v>○</v>
      </c>
      <c r="AJ16" s="14" t="str">
        <f t="shared" ref="AJ16:AJ47" si="1" xml:space="preserve">
IF(AND(AF16="○",AG16="○",AH16="○",AI16="○"),"",
IF(AND(AF16="○",AG16="○",AH16="○",AI16="◎"),"【"&amp;AK16&amp;"行目】【整備区分】未入力、【規格・数量】未入力、【単価】未入力"&amp;CHAR(10),
IF(AND(AF16="○",AG16="○",AH16="×",AI16="○"),"【"&amp;AK16&amp;"行目】【整備区分】未入力、【規格・数量】未入力、【単価】入力不十分、【補助対象区分】未入力"&amp;CHAR(10),
IF(AND(AF16="○",AG16="○",AH16="×",AI16="◎"),"【"&amp;AK16&amp;"行目】【整備区分】未入力、【規格・数量】未入力、【単価】入力不十分"&amp;CHAR(10),
IF(AND(AF16="○",AG16="○",AH16="◎",AI16="○"),"【"&amp;AK16&amp;"行目】【整備区分】未入力、【規格・数量】未入力、【補助対象区分】未入力"&amp;CHAR(10),
IF(AND(AF16="○",AG16="○",AH16="◎",AI16="◎"),"【"&amp;AK16&amp;"行目】【整備区分】未入力、【規格・数量】未入力"&amp;CHAR(10),
IF(AND(AF16="○",AG16="×",AH16="○",AI16="○"),"【"&amp;AK16&amp;"行目】【整備区分】未入力、【規格・数量】入力不十分、【単価】未入力、【補助対象区分】未入力"&amp;CHAR(10),
IF(AND(AF16="○",AG16="×",AH16="○",AI16="◎"),"【"&amp;AK16&amp;"行目】【整備区分】未入力、【規格・数量】入力不十分、【単価】未入力"&amp;CHAR(10),
IF(AND(AF16="○",AG16="×",AH16="×",AI16="○"),"【"&amp;AK16&amp;"行目】【整備区分】未入力、【規格・数量】入力不十分、【単価】入力不十分、【補助対象区分】未入力"&amp;CHAR(10),
IF(AND(AF16="○",AG16="×",AH16="×",AI16="◎"),"【"&amp;AK16&amp;"行目】【整備区分】未入力、【規格・数量】入力不十分、【単価】入力不十分"&amp;CHAR(10),
IF(AND(AF16="○",AG16="×",AH16="◎",AI16="○"),"【"&amp;AK16&amp;"行目】【整備区分】未入力、【規格・数量】入力不十分、【補助対象区分】未入力"&amp;CHAR(10),
IF(AND(AF16="○",AG16="×",AH16="◎",AI16="◎"),"【"&amp;AK16&amp;"行目】【整備区分】未入力、【規格・数量】入力不十分"&amp;CHAR(10),
IF(AND(AF16="○",AG16="◎",AH16="○",AI16="○"),"【"&amp;AK16&amp;"行目】【整備区分】未入力、【単価】未入力、【補助対象区分】未入力"&amp;CHAR(10),
IF(AND(AF16="○",AG16="◎",AH16="○",AI16="◎"),"【"&amp;AK16&amp;"行目】【整備区分】未入力、【単価】未入力"&amp;CHAR(10),
IF(AND(AF16="○",AG16="◎",AH16="×",AI16="○"),"【"&amp;AK16&amp;"行目】【整備区分】未入力、【単価】入力不十分、【補助対象区分】未入力"&amp;CHAR(10),
IF(AND(AF16="○",AG16="◎",AH16="×",AI16="◎"),"【"&amp;AK16&amp;"行目】【整備区分】未入力、【単価】入力不十分"&amp;CHAR(10),
IF(AND(AF16="○",AG16="◎",AH16="◎",AI16="○"),"【"&amp;AK16&amp;"行目】【整備区分】未入力、【補助対象区分】未入力"&amp;CHAR(10),
IF(AND(AF16="○",AG16="◎",AH16="◎",AI16="◎"),"【"&amp;AK16&amp;"行目】【整備区分】未入力"&amp;CHAR(10),
IF(AND(AF16="×",AG16="○",AH16="○",AI16="○"),"【"&amp;AK16&amp;"行目】【整備区分】入力不十分、【規格・数量】未入力、【単価】未入力、【補助対象区分】未入力"&amp;CHAR(10),
IF(AND(AF16="×",AG16="○",AH16="○",AI16="◎"),"【"&amp;AK16&amp;"行目】【整備区分】入力不十分、【規格・数量】未入力、【単価】未入力"&amp;CHAR(10),
IF(AND(AF16="×",AG16="○",AH16="×",AI16="○"),"【"&amp;AK16&amp;"行目】【整備区分】入力不十分、【規格・数量】未入力、【単価】入力不十分、【補助対象区分】未入力"&amp;CHAR(10),
IF(AND(AF16="×",AG16="○",AH16="×",AI16="◎"),"【"&amp;AK16&amp;"行目】【整備区分】入力不十分、【規格・数量】未入力、【単価】入力不十分"&amp;CHAR(10),
IF(AND(AF16="×",AG16="○",AH16="◎",AI16="○"),"【"&amp;AK16&amp;"行目】【整備区分】入力不十分、【規格・数量】未入力、【補助対象区分】未入力"&amp;CHAR(10),
IF(AND(AF16="×",AG16="○",AH16="◎",AI16="◎"),"【"&amp;AK16&amp;"行目】【整備区分】入力不十分、【規格・数量】未入力"&amp;CHAR(10),
IF(AND(AF16="×",AG16="×",AH16="○",AI16="○"),"【"&amp;AK16&amp;"行目】【整備区分】入力不十分、【規格・数量】入力不十分、【単価】未入力、【補助対象区分】未入力"&amp;CHAR(10),
IF(AND(AF16="×",AG16="×",AH16="○",AI16="◎"),"【"&amp;AK16&amp;"行目】【整備区分】入力不十分、【規格・数量】入力不十分、【単価】未入力"&amp;CHAR(10),
IF(AND(AF16="×",AG16="×",AH16="×",AI16="○"),"【"&amp;AK16&amp;"行目】【整備区分】入力不十分、【規格・数量】入力不十分、【単価】入力不十分、【補助対象区分】未入力"&amp;CHAR(10),
IF(AND(AF16="×",AG16="×",AH16="×",AI16="◎"),"【"&amp;AK16&amp;"行目】【整備区分】入力不十分、【規格・数量】入力不十分、【単価】入力不十分"&amp;CHAR(10),
IF(AND(AF16="×",AG16="×",AH16="◎",AI16="○"),"【"&amp;AK16&amp;"行目】【整備区分】入力不十分、【規格・数量】入力不十分、【補助対象区分】未入力"&amp;CHAR(10),
IF(AND(AF16="×",AG16="×",AH16="◎",AI16="◎"),"【"&amp;AK16&amp;"行目】【整備区分】入力不十分、【規格・数量】入力不十分"&amp;CHAR(10),
IF(AND(AF16="×",AG16="◎",AH16="○",AI16="○"),"【"&amp;AK16&amp;"行目】【整備区分】入力不十分、【単価】未入力、【補助対象区分】未入力"&amp;CHAR(10),
IF(AND(AF16="×",AG16="◎",AH16="○",AI16="◎"),"【"&amp;AK16&amp;"行目】【整備区分】入力不十分、【単価】未入力"&amp;CHAR(10),
IF(AND(AF16="×",AG16="◎",AH16="×",AI16="○"),"【"&amp;AK16&amp;"行目】【整備区分】入力不十分、【単価】入力不十分、【補助対象区分】未入力"&amp;CHAR(10),
IF(AND(AF16="×",AG16="◎",AH16="×",AI16="◎"),"【"&amp;AK16&amp;"行目】【整備区分】入力不十分、【単価】入力不十分"&amp;CHAR(10),
IF(AND(AF16="×",AG16="◎",AH16="◎",AI16="○"),"【"&amp;AK16&amp;"行目】【整備区分】入力不十分、【補助対象区分】未入力"&amp;CHAR(10),
IF(AND(AF16="×",AG16="◎",AH16="◎",AI16="◎"),"【"&amp;AK16&amp;"行目】【整備区分】入力不十分"&amp;CHAR(10),
IF(AND(AF16="◎",AG16="○",AH16="○",AI16="○"),"【"&amp;AK16&amp;"行目】【規格・数量】未入力、【単価】未入力、【補助対象区分】未入力"&amp;CHAR(10),
IF(AND(AF16="◎",AG16="○",AH16="○",AI16="◎"),"【"&amp;AK16&amp;"行目】【規格・数量】未入力、【単価】未入力"&amp;CHAR(10),
IF(AND(AF16="◎",AG16="○",AH16="×",AI16="○"),"【"&amp;AK16&amp;"行目】【規格・数量】未入力、【単価】入力不十分、【補助対象区分】未入力"&amp;CHAR(10),
IF(AND(AF16="◎",AG16="○",AH16="×",AI16="◎"),"【"&amp;AK16&amp;"行目】【規格・数量】未入力、【単価】入力不十分"&amp;CHAR(10),
IF(AND(AF16="◎",AG16="○",AH16="◎",AI16="○"),"【"&amp;AK16&amp;"行目】【規格・数量】未入力、【補助対象区分】未入力"&amp;CHAR(10),
IF(AND(AF16="◎",AG16="○",AH16="◎",AI16="◎"),"【"&amp;AK16&amp;"行目】【規格・数量】未入力"&amp;CHAR(10),
IF(AND(AF16="◎",AG16="×",AH16="○",AI16="○"),"【"&amp;AK16&amp;"行目】【規格・数量】入力不十分、【単価】未入力、【補助対象区分】未入力"&amp;CHAR(10),
IF(AND(AF16="◎",AG16="×",AH16="○",AI16="◎"),"【"&amp;AK16&amp;"行目】【規格・数量】入力不十分、【単価】未入力"&amp;CHAR(10),
IF(AND(AF16="◎",AG16="×",AH16="×",AI16="○"),"【"&amp;AK16&amp;"行目】【規格・数量】入力不十分、【単価】入力不十分、【補助対象区分】未入力"&amp;CHAR(10),
IF(AND(AF16="◎",AG16="×",AH16="×",AI16="◎"),"【"&amp;AK16&amp;"行目】【規格・数量】入力不十分、【単価】入力不十分"&amp;CHAR(10),
IF(AND(AF16="◎",AG16="×",AH16="◎",AI16="○"),"【"&amp;AK16&amp;"行目】【規格・数量】入力不十分、【補助対象区分】未入力"&amp;CHAR(10),
IF(AND(AF16="◎",AG16="×",AH16="◎",AI16="◎"),"【"&amp;AK16&amp;"行目】【規格・数量】入力不十分"&amp;CHAR(10),
IF(AND(AF16="◎",AG16="◎",AH16="○",AI16="○"),"【"&amp;AK16&amp;"行目】【単価】未入力、【補助対象区分】未入力"&amp;CHAR(10),
IF(AND(AF16="◎",AG16="◎",AH16="○",AI16="◎"),"【"&amp;AK16&amp;"行目】【単価】未入力"&amp;CHAR(10),
IF(AND(AF16="◎",AG16="◎",AH16="×",AI16="○"),"【"&amp;AK16&amp;"行目】【単価】入力不十分、【補助対象区分】未入力"&amp;CHAR(10),
IF(AND(AF16="◎",AG16="◎",AH16="×",AI16="◎"),"【"&amp;AK16&amp;"行目】【単価】入力不十分"&amp;CHAR(10),
IF(AND(AF16="◎",AG16="◎",AH16="◎",AI16="○"),"【"&amp;AK16&amp;"行目】【補助対象区分】未入力"&amp;CHAR(10),
IF(AND(AF16="◎",AG16="◎",AH16="◎",AI16="◎"),"",
))))))))))))))))))))))))))))))))))))))))))))))))))))))</f>
        <v/>
      </c>
      <c r="AK16" s="52">
        <v>1</v>
      </c>
    </row>
    <row r="17" spans="1:75" ht="24.95" customHeight="1">
      <c r="A17" s="38">
        <v>2</v>
      </c>
      <c r="B17" s="832"/>
      <c r="C17" s="827"/>
      <c r="D17" s="826"/>
      <c r="E17" s="827"/>
      <c r="F17" s="315"/>
      <c r="G17" s="316"/>
      <c r="H17" s="316"/>
      <c r="I17" s="45">
        <f t="shared" ref="I17:I80" si="2">IF(G17="",H17*F17,ROUNDDOWN(F17*G17*1.1,0))</f>
        <v>0</v>
      </c>
      <c r="J17" s="317"/>
      <c r="K17" s="45">
        <f t="shared" ref="K17:K80" si="3">IF(J17="補助対象",I17,IF(J17="補助対象外",0,0))</f>
        <v>0</v>
      </c>
      <c r="L17" s="44" t="str">
        <f>IF(AD17="◎",COUNTIF($AD$16:AD17,"◎"),"")</f>
        <v/>
      </c>
      <c r="W17" s="234" t="str">
        <f>IF(B17="既設病床",はじめに入力してください!$K$12,IF(B17="新設病床",はじめに入力してください!$K$13,IF(B17="共通使用",1,"")))</f>
        <v/>
      </c>
      <c r="X17" s="41" t="e">
        <f ca="1">OFFSET(#REF!,
0,
MATCH(B17,#REF!,0),
COUNTA(OFFSET(#REF!,0,MATCH(B17,#REF!,0), 150,1)),1)</f>
        <v>#REF!</v>
      </c>
      <c r="AC17" s="49" t="s">
        <v>69</v>
      </c>
      <c r="AD17" s="239" t="str">
        <f t="shared" ref="AD17:AD80" si="4" xml:space="preserve">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f>
        <v>○</v>
      </c>
      <c r="AE17" s="35" t="str">
        <f t="shared" si="0"/>
        <v>申請しない場合は入力不要です。</v>
      </c>
      <c r="AF17" s="240" t="str">
        <f t="shared" ref="AF17:AF80" si="5">IF(COUNTA(B17)=0,"○",IF(COUNTA(B17)=1,"◎"))</f>
        <v>○</v>
      </c>
      <c r="AG17" s="240" t="str">
        <f t="shared" ref="AG17:AG80" si="6">IF(COUNTA(D17,F17)=0,"○",IF(AND(COUNTA(D17,F17)&gt;=1,COUNTA(D17,F17)&lt;2),"×",IF(COUNTA(D17,F17)=2,"◎")))</f>
        <v>○</v>
      </c>
      <c r="AH17" s="240" t="str">
        <f t="shared" ref="AH17:AH80" si="7">IF(COUNTA(G17:H17)=0,"○",IF(COUNTA(G17:H17)=1,"◎",IF(COUNTA(G17:H17)=2,"×")))</f>
        <v>○</v>
      </c>
      <c r="AI17" s="239" t="str">
        <f t="shared" ref="AI17:AI80" si="8">IF(COUNTA(J17)=0,"○",IF(COUNTA(J17)=1,"◎"))</f>
        <v>○</v>
      </c>
      <c r="AJ17" s="14" t="str">
        <f t="shared" si="1"/>
        <v/>
      </c>
      <c r="AK17" s="52">
        <v>2</v>
      </c>
    </row>
    <row r="18" spans="1:75" ht="24.95" customHeight="1">
      <c r="A18" s="38">
        <v>3</v>
      </c>
      <c r="B18" s="832"/>
      <c r="C18" s="827"/>
      <c r="D18" s="826"/>
      <c r="E18" s="827"/>
      <c r="F18" s="315"/>
      <c r="G18" s="316"/>
      <c r="H18" s="316"/>
      <c r="I18" s="45">
        <f t="shared" si="2"/>
        <v>0</v>
      </c>
      <c r="J18" s="317"/>
      <c r="K18" s="45">
        <f t="shared" si="3"/>
        <v>0</v>
      </c>
      <c r="L18" s="44" t="str">
        <f>IF(AD18="◎",COUNTIF($AD$16:AD18,"◎"),"")</f>
        <v/>
      </c>
      <c r="W18" s="234" t="str">
        <f>IF(B18="既設病床",はじめに入力してください!$K$12,IF(B18="新設病床",はじめに入力してください!$K$13,IF(B18="共通使用",1,"")))</f>
        <v/>
      </c>
      <c r="AC18" s="49" t="s">
        <v>69</v>
      </c>
      <c r="AD18" s="239" t="str">
        <f t="shared" si="4"/>
        <v>○</v>
      </c>
      <c r="AE18" s="35" t="str">
        <f t="shared" si="0"/>
        <v>申請しない場合は入力不要です。</v>
      </c>
      <c r="AF18" s="240" t="str">
        <f t="shared" si="5"/>
        <v>○</v>
      </c>
      <c r="AG18" s="240" t="str">
        <f t="shared" si="6"/>
        <v>○</v>
      </c>
      <c r="AH18" s="240" t="str">
        <f t="shared" si="7"/>
        <v>○</v>
      </c>
      <c r="AI18" s="239" t="str">
        <f t="shared" si="8"/>
        <v>○</v>
      </c>
      <c r="AJ18" s="14" t="str">
        <f t="shared" si="1"/>
        <v/>
      </c>
      <c r="AK18" s="52">
        <v>3</v>
      </c>
      <c r="AY18" s="823"/>
      <c r="AZ18" s="823"/>
      <c r="BA18" s="823"/>
      <c r="BB18" s="823"/>
      <c r="BC18" s="823"/>
      <c r="BD18" s="823"/>
      <c r="BE18" s="823"/>
      <c r="BF18" s="823"/>
      <c r="BG18" s="823"/>
      <c r="BH18" s="823"/>
      <c r="BO18" s="198" t="s">
        <v>123</v>
      </c>
      <c r="BP18" s="198" t="s">
        <v>64</v>
      </c>
      <c r="BQ18" s="198" t="s">
        <v>122</v>
      </c>
      <c r="BR18" s="198" t="s">
        <v>121</v>
      </c>
      <c r="BS18" s="763" t="s">
        <v>89</v>
      </c>
      <c r="BT18" s="764"/>
      <c r="BU18" s="764"/>
      <c r="BV18" s="764"/>
      <c r="BW18" s="764"/>
    </row>
    <row r="19" spans="1:75" ht="24.95" customHeight="1">
      <c r="A19" s="38">
        <v>4</v>
      </c>
      <c r="B19" s="832"/>
      <c r="C19" s="827"/>
      <c r="D19" s="826"/>
      <c r="E19" s="827"/>
      <c r="F19" s="315"/>
      <c r="G19" s="316"/>
      <c r="H19" s="316"/>
      <c r="I19" s="45">
        <f t="shared" si="2"/>
        <v>0</v>
      </c>
      <c r="J19" s="317"/>
      <c r="K19" s="45">
        <f t="shared" si="3"/>
        <v>0</v>
      </c>
      <c r="L19" s="44" t="str">
        <f>IF(AD19="◎",COUNTIF($AD$16:AD19,"◎"),"")</f>
        <v/>
      </c>
      <c r="W19" s="234" t="str">
        <f>IF(B19="既設病床",はじめに入力してください!$K$12,IF(B19="新設病床",はじめに入力してください!$K$13,IF(B19="共通使用",1,"")))</f>
        <v/>
      </c>
      <c r="Y19" s="203" t="s">
        <v>217</v>
      </c>
      <c r="AC19" s="49" t="s">
        <v>69</v>
      </c>
      <c r="AD19" s="239" t="str">
        <f t="shared" si="4"/>
        <v>○</v>
      </c>
      <c r="AE19" s="35" t="str">
        <f t="shared" si="0"/>
        <v>申請しない場合は入力不要です。</v>
      </c>
      <c r="AF19" s="240" t="str">
        <f t="shared" si="5"/>
        <v>○</v>
      </c>
      <c r="AG19" s="240" t="str">
        <f t="shared" si="6"/>
        <v>○</v>
      </c>
      <c r="AH19" s="240" t="str">
        <f t="shared" si="7"/>
        <v>○</v>
      </c>
      <c r="AI19" s="239" t="str">
        <f t="shared" si="8"/>
        <v>○</v>
      </c>
      <c r="AJ19" s="14" t="str">
        <f t="shared" si="1"/>
        <v/>
      </c>
      <c r="AK19" s="52">
        <v>4</v>
      </c>
      <c r="AY19" s="824"/>
      <c r="AZ19" s="825"/>
      <c r="BA19" s="825"/>
      <c r="BB19" s="825"/>
      <c r="BC19" s="823"/>
      <c r="BD19" s="825"/>
      <c r="BE19" s="823"/>
      <c r="BF19" s="823"/>
      <c r="BG19" s="823"/>
      <c r="BH19" s="823"/>
      <c r="BO19" s="52" t="s">
        <v>128</v>
      </c>
      <c r="BP19" s="196" t="e">
        <f>IF(COUNTA(#REF!)=0,"○",IF(OR(COUNTA(#REF!)=1,#REF!=0,#REF!=0),"×",IF(COUNTA(#REF!)=2,"◎")))</f>
        <v>#REF!</v>
      </c>
      <c r="BQ19" s="768" t="e">
        <f xml:space="preserve">
IF(AND(BP19="×",BP20="×"),"×",
IF(AND(BP19="×",BP20="○"),"×",
IF(AND(BP19="×",BP20="◎"),"×",
IF(AND(BP19="○",BP20="×"),"×",
IF(AND(BP19="○",BP20="○"),"○",
IF(AND(BP19="○",BP20="◎"),"×",
IF(AND(BP19="◎",BP20="×"),"×",
IF(AND(BP19="◎",BP20="○"),"×",
IF(AND(BP19="◎",BP20="◎"),"◎",
)))))))))</f>
        <v>#REF!</v>
      </c>
      <c r="BR19" s="770" t="e">
        <f xml:space="preserve">
IF(AND(BP19="×",BP20="×"),"【要修正】「はじめに」及び「防護具情報」いずれも入力が不十分です。",
IF(AND(BP19="×",BP20="○"),"【要修正】「はじめに」が入力不十分、また「防護具情報」が未入力です。",
IF(AND(BP19="×",BP20="◎"),"【要修正】「はじめに」が入力不十分です。",
IF(AND(BP19="○",BP20="×"),"【要修正】「はじめに」が未入力、「防護具情報」が入力不十分です。",
IF(AND(BP19="○",BP20="○"),"個人防護具の補助申請を行わない場合は入力不要です。",
IF(AND(BP19="○",BP20="◎"),"【要修正】「はじめに」が未入力です。",
IF(AND(BP19="◎",BP20="×"),"【要修正】「防護具情報」が入力不十分です。",
IF(AND(BP19="◎",BP20="○"),"【要修正】「防護具情報」が入力不十分です。",
IF(AND(BP19="◎",BP20="◎"),"いずれの項目も適切に入力されました。",
)))))))))</f>
        <v>#REF!</v>
      </c>
      <c r="BS19" s="763"/>
      <c r="BT19" s="764"/>
      <c r="BU19" s="764"/>
      <c r="BV19" s="764"/>
      <c r="BW19" s="764"/>
    </row>
    <row r="20" spans="1:75" ht="24.95" customHeight="1">
      <c r="A20" s="38">
        <v>5</v>
      </c>
      <c r="B20" s="832"/>
      <c r="C20" s="827"/>
      <c r="D20" s="826"/>
      <c r="E20" s="827"/>
      <c r="F20" s="315"/>
      <c r="G20" s="316"/>
      <c r="H20" s="316"/>
      <c r="I20" s="45">
        <f t="shared" si="2"/>
        <v>0</v>
      </c>
      <c r="J20" s="317"/>
      <c r="K20" s="45">
        <f t="shared" si="3"/>
        <v>0</v>
      </c>
      <c r="L20" s="44" t="str">
        <f>IF(AD20="◎",COUNTIF($AD$16:AD20,"◎"),"")</f>
        <v/>
      </c>
      <c r="W20" s="234" t="str">
        <f>IF(B20="既設病床",はじめに入力してください!$K$12,IF(B20="新設病床",はじめに入力してください!$K$13,IF(B20="共通使用",1,"")))</f>
        <v/>
      </c>
      <c r="AC20" s="49" t="s">
        <v>69</v>
      </c>
      <c r="AD20" s="239" t="str">
        <f t="shared" si="4"/>
        <v>○</v>
      </c>
      <c r="AE20" s="35" t="str">
        <f t="shared" si="0"/>
        <v>申請しない場合は入力不要です。</v>
      </c>
      <c r="AF20" s="240" t="str">
        <f t="shared" si="5"/>
        <v>○</v>
      </c>
      <c r="AG20" s="240" t="str">
        <f t="shared" si="6"/>
        <v>○</v>
      </c>
      <c r="AH20" s="240" t="str">
        <f t="shared" si="7"/>
        <v>○</v>
      </c>
      <c r="AI20" s="239" t="str">
        <f t="shared" si="8"/>
        <v>○</v>
      </c>
      <c r="AJ20" s="14" t="str">
        <f t="shared" si="1"/>
        <v/>
      </c>
      <c r="AK20" s="52">
        <v>5</v>
      </c>
      <c r="AY20" s="825"/>
      <c r="AZ20" s="825"/>
      <c r="BA20" s="825"/>
      <c r="BB20" s="825"/>
      <c r="BC20" s="823"/>
      <c r="BD20" s="823"/>
      <c r="BE20" s="823"/>
      <c r="BF20" s="823"/>
      <c r="BG20" s="823"/>
      <c r="BH20" s="823"/>
      <c r="BO20" s="52" t="s">
        <v>130</v>
      </c>
      <c r="BP20" s="196" t="str">
        <f>IF(COUNTIF(AD16:AD47,"×")&gt;1,"×",IF(COUNTIF(AD16:AD47,"○")=32,"○","◎"))</f>
        <v>○</v>
      </c>
      <c r="BQ20" s="769"/>
      <c r="BR20" s="771"/>
      <c r="BS20" s="763"/>
      <c r="BT20" s="764"/>
      <c r="BU20" s="764"/>
      <c r="BV20" s="764"/>
      <c r="BW20" s="764"/>
    </row>
    <row r="21" spans="1:75" ht="24.95" customHeight="1">
      <c r="A21" s="38">
        <v>6</v>
      </c>
      <c r="B21" s="832"/>
      <c r="C21" s="827"/>
      <c r="D21" s="826"/>
      <c r="E21" s="827"/>
      <c r="F21" s="315"/>
      <c r="G21" s="316"/>
      <c r="H21" s="316"/>
      <c r="I21" s="45">
        <f t="shared" si="2"/>
        <v>0</v>
      </c>
      <c r="J21" s="317"/>
      <c r="K21" s="45">
        <f t="shared" si="3"/>
        <v>0</v>
      </c>
      <c r="L21" s="44" t="str">
        <f>IF(AD21="◎",COUNTIF($AD$16:AD21,"◎"),"")</f>
        <v/>
      </c>
      <c r="W21" s="234" t="str">
        <f>IF(B21="既設病床",はじめに入力してください!$K$12,IF(B21="新設病床",はじめに入力してください!$K$13,IF(B21="共通使用",1,"")))</f>
        <v/>
      </c>
      <c r="AC21" s="49" t="s">
        <v>69</v>
      </c>
      <c r="AD21" s="239" t="str">
        <f t="shared" si="4"/>
        <v>○</v>
      </c>
      <c r="AE21" s="35" t="str">
        <f t="shared" si="0"/>
        <v>申請しない場合は入力不要です。</v>
      </c>
      <c r="AF21" s="240" t="str">
        <f t="shared" si="5"/>
        <v>○</v>
      </c>
      <c r="AG21" s="240" t="str">
        <f t="shared" si="6"/>
        <v>○</v>
      </c>
      <c r="AH21" s="240" t="str">
        <f t="shared" si="7"/>
        <v>○</v>
      </c>
      <c r="AI21" s="239" t="str">
        <f t="shared" si="8"/>
        <v>○</v>
      </c>
      <c r="AJ21" s="14" t="str">
        <f t="shared" si="1"/>
        <v/>
      </c>
      <c r="AK21" s="52">
        <v>6</v>
      </c>
      <c r="AY21" s="825"/>
      <c r="AZ21" s="825"/>
      <c r="BA21" s="825"/>
      <c r="BB21" s="825"/>
      <c r="BC21" s="823"/>
      <c r="BD21" s="823"/>
      <c r="BE21" s="823"/>
      <c r="BF21" s="823"/>
      <c r="BG21" s="823"/>
      <c r="BH21" s="823"/>
      <c r="BO21" s="59" t="s">
        <v>127</v>
      </c>
      <c r="BP21" s="60"/>
      <c r="BQ21" s="60"/>
      <c r="BR21" s="55"/>
      <c r="BS21" s="55"/>
      <c r="BT21" s="197"/>
      <c r="BU21" s="197"/>
      <c r="BV21" s="197"/>
      <c r="BW21" s="197"/>
    </row>
    <row r="22" spans="1:75" ht="24.95" customHeight="1">
      <c r="A22" s="38">
        <v>7</v>
      </c>
      <c r="B22" s="832"/>
      <c r="C22" s="827"/>
      <c r="D22" s="826"/>
      <c r="E22" s="827"/>
      <c r="F22" s="315"/>
      <c r="G22" s="316"/>
      <c r="H22" s="316"/>
      <c r="I22" s="45">
        <f t="shared" si="2"/>
        <v>0</v>
      </c>
      <c r="J22" s="317"/>
      <c r="K22" s="45">
        <f t="shared" si="3"/>
        <v>0</v>
      </c>
      <c r="L22" s="44" t="str">
        <f>IF(AD22="◎",COUNTIF($AD$16:AD22,"◎"),"")</f>
        <v/>
      </c>
      <c r="W22" s="234" t="str">
        <f>IF(B22="既設病床",はじめに入力してください!$K$12,IF(B22="新設病床",はじめに入力してください!$K$13,IF(B22="共通使用",1,"")))</f>
        <v/>
      </c>
      <c r="AC22" s="49" t="s">
        <v>69</v>
      </c>
      <c r="AD22" s="239" t="str">
        <f t="shared" si="4"/>
        <v>○</v>
      </c>
      <c r="AE22" s="35" t="str">
        <f t="shared" si="0"/>
        <v>申請しない場合は入力不要です。</v>
      </c>
      <c r="AF22" s="240" t="str">
        <f t="shared" si="5"/>
        <v>○</v>
      </c>
      <c r="AG22" s="240" t="str">
        <f t="shared" si="6"/>
        <v>○</v>
      </c>
      <c r="AH22" s="240" t="str">
        <f t="shared" si="7"/>
        <v>○</v>
      </c>
      <c r="AI22" s="239" t="str">
        <f t="shared" si="8"/>
        <v>○</v>
      </c>
      <c r="AJ22" s="14" t="str">
        <f t="shared" si="1"/>
        <v/>
      </c>
      <c r="AK22" s="52">
        <v>7</v>
      </c>
      <c r="AY22" s="823"/>
      <c r="AZ22" s="823"/>
      <c r="BA22" s="823"/>
      <c r="BB22" s="823"/>
      <c r="BC22" s="823"/>
      <c r="BD22" s="823"/>
      <c r="BE22" s="823"/>
      <c r="BF22" s="823"/>
      <c r="BG22" s="823"/>
      <c r="BH22" s="823"/>
      <c r="BS22" s="55"/>
      <c r="BT22" s="197"/>
      <c r="BU22" s="197"/>
      <c r="BV22" s="197"/>
      <c r="BW22" s="197"/>
    </row>
    <row r="23" spans="1:75" ht="24.95" customHeight="1">
      <c r="A23" s="38">
        <v>8</v>
      </c>
      <c r="B23" s="832"/>
      <c r="C23" s="827"/>
      <c r="D23" s="826"/>
      <c r="E23" s="827"/>
      <c r="F23" s="315"/>
      <c r="G23" s="316"/>
      <c r="H23" s="316"/>
      <c r="I23" s="45">
        <f t="shared" si="2"/>
        <v>0</v>
      </c>
      <c r="J23" s="317"/>
      <c r="K23" s="45">
        <f t="shared" si="3"/>
        <v>0</v>
      </c>
      <c r="L23" s="44" t="str">
        <f>IF(AD23="◎",COUNTIF($AD$16:AD23,"◎"),"")</f>
        <v/>
      </c>
      <c r="T23" s="197"/>
      <c r="U23" s="197"/>
      <c r="V23" s="197"/>
      <c r="W23" s="234" t="str">
        <f>IF(B23="既設病床",はじめに入力してください!$K$12,IF(B23="新設病床",はじめに入力してください!$K$13,IF(B23="共通使用",1,"")))</f>
        <v/>
      </c>
      <c r="AC23" s="49" t="s">
        <v>69</v>
      </c>
      <c r="AD23" s="239" t="str">
        <f t="shared" si="4"/>
        <v>○</v>
      </c>
      <c r="AE23" s="35" t="str">
        <f t="shared" si="0"/>
        <v>申請しない場合は入力不要です。</v>
      </c>
      <c r="AF23" s="240" t="str">
        <f t="shared" si="5"/>
        <v>○</v>
      </c>
      <c r="AG23" s="240" t="str">
        <f t="shared" si="6"/>
        <v>○</v>
      </c>
      <c r="AH23" s="240" t="str">
        <f t="shared" si="7"/>
        <v>○</v>
      </c>
      <c r="AI23" s="239" t="str">
        <f t="shared" si="8"/>
        <v>○</v>
      </c>
      <c r="AJ23" s="14" t="str">
        <f t="shared" si="1"/>
        <v/>
      </c>
      <c r="AK23" s="52">
        <v>8</v>
      </c>
      <c r="AY23" s="823"/>
      <c r="AZ23" s="823"/>
      <c r="BA23" s="823"/>
      <c r="BB23" s="823"/>
      <c r="BC23" s="823"/>
      <c r="BD23" s="823"/>
      <c r="BE23" s="823"/>
      <c r="BF23" s="823"/>
      <c r="BG23" s="823"/>
      <c r="BH23" s="823"/>
      <c r="BS23" s="55"/>
      <c r="BT23" s="197"/>
      <c r="BU23" s="197"/>
      <c r="BV23" s="197"/>
      <c r="BW23" s="197"/>
    </row>
    <row r="24" spans="1:75" ht="24.95" customHeight="1">
      <c r="A24" s="38">
        <v>9</v>
      </c>
      <c r="B24" s="832"/>
      <c r="C24" s="827"/>
      <c r="D24" s="826"/>
      <c r="E24" s="827"/>
      <c r="F24" s="315"/>
      <c r="G24" s="316"/>
      <c r="H24" s="316"/>
      <c r="I24" s="45">
        <f t="shared" si="2"/>
        <v>0</v>
      </c>
      <c r="J24" s="317"/>
      <c r="K24" s="45">
        <f t="shared" si="3"/>
        <v>0</v>
      </c>
      <c r="L24" s="44" t="str">
        <f>IF(AD24="◎",COUNTIF($AD$16:AD24,"◎"),"")</f>
        <v/>
      </c>
      <c r="W24" s="234" t="str">
        <f>IF(B24="既設病床",はじめに入力してください!$K$12,IF(B24="新設病床",はじめに入力してください!$K$13,IF(B24="共通使用",1,"")))</f>
        <v/>
      </c>
      <c r="AC24" s="49" t="s">
        <v>69</v>
      </c>
      <c r="AD24" s="239" t="str">
        <f t="shared" si="4"/>
        <v>○</v>
      </c>
      <c r="AE24" s="35" t="str">
        <f t="shared" si="0"/>
        <v>申請しない場合は入力不要です。</v>
      </c>
      <c r="AF24" s="240" t="str">
        <f t="shared" si="5"/>
        <v>○</v>
      </c>
      <c r="AG24" s="240" t="str">
        <f t="shared" si="6"/>
        <v>○</v>
      </c>
      <c r="AH24" s="240" t="str">
        <f t="shared" si="7"/>
        <v>○</v>
      </c>
      <c r="AI24" s="239" t="str">
        <f t="shared" si="8"/>
        <v>○</v>
      </c>
      <c r="AJ24" s="14" t="str">
        <f t="shared" si="1"/>
        <v/>
      </c>
      <c r="AK24" s="52">
        <v>9</v>
      </c>
    </row>
    <row r="25" spans="1:75" ht="24.95" customHeight="1">
      <c r="A25" s="38">
        <v>10</v>
      </c>
      <c r="B25" s="832"/>
      <c r="C25" s="827"/>
      <c r="D25" s="826"/>
      <c r="E25" s="827"/>
      <c r="F25" s="315"/>
      <c r="G25" s="316"/>
      <c r="H25" s="316"/>
      <c r="I25" s="45">
        <f t="shared" si="2"/>
        <v>0</v>
      </c>
      <c r="J25" s="317"/>
      <c r="K25" s="45">
        <f t="shared" si="3"/>
        <v>0</v>
      </c>
      <c r="L25" s="44" t="str">
        <f>IF(AD25="◎",COUNTIF($AD$16:AD25,"◎"),"")</f>
        <v/>
      </c>
      <c r="W25" s="234" t="str">
        <f>IF(B25="既設病床",はじめに入力してください!$K$12,IF(B25="新設病床",はじめに入力してください!$K$13,IF(B25="共通使用",1,"")))</f>
        <v/>
      </c>
      <c r="AC25" s="49" t="s">
        <v>69</v>
      </c>
      <c r="AD25" s="239" t="str">
        <f t="shared" si="4"/>
        <v>○</v>
      </c>
      <c r="AE25" s="35" t="str">
        <f t="shared" si="0"/>
        <v>申請しない場合は入力不要です。</v>
      </c>
      <c r="AF25" s="240" t="str">
        <f t="shared" si="5"/>
        <v>○</v>
      </c>
      <c r="AG25" s="240" t="str">
        <f t="shared" si="6"/>
        <v>○</v>
      </c>
      <c r="AH25" s="240" t="str">
        <f t="shared" si="7"/>
        <v>○</v>
      </c>
      <c r="AI25" s="239" t="str">
        <f t="shared" si="8"/>
        <v>○</v>
      </c>
      <c r="AJ25" s="14" t="str">
        <f t="shared" si="1"/>
        <v/>
      </c>
      <c r="AK25" s="52">
        <v>10</v>
      </c>
    </row>
    <row r="26" spans="1:75" ht="24.95" customHeight="1">
      <c r="A26" s="38">
        <v>11</v>
      </c>
      <c r="B26" s="832"/>
      <c r="C26" s="827"/>
      <c r="D26" s="826"/>
      <c r="E26" s="827"/>
      <c r="F26" s="315"/>
      <c r="G26" s="316"/>
      <c r="H26" s="316"/>
      <c r="I26" s="45">
        <f t="shared" si="2"/>
        <v>0</v>
      </c>
      <c r="J26" s="317"/>
      <c r="K26" s="45">
        <f t="shared" si="3"/>
        <v>0</v>
      </c>
      <c r="L26" s="44" t="str">
        <f>IF(AD26="◎",COUNTIF($AD$16:AD26,"◎"),"")</f>
        <v/>
      </c>
      <c r="W26" s="234" t="str">
        <f>IF(B26="既設病床",はじめに入力してください!$K$12,IF(B26="新設病床",はじめに入力してください!$K$13,IF(B26="共通使用",1,"")))</f>
        <v/>
      </c>
      <c r="AC26" s="49" t="s">
        <v>69</v>
      </c>
      <c r="AD26" s="239" t="str">
        <f t="shared" si="4"/>
        <v>○</v>
      </c>
      <c r="AE26" s="35" t="str">
        <f t="shared" si="0"/>
        <v>申請しない場合は入力不要です。</v>
      </c>
      <c r="AF26" s="240" t="str">
        <f t="shared" si="5"/>
        <v>○</v>
      </c>
      <c r="AG26" s="240" t="str">
        <f t="shared" si="6"/>
        <v>○</v>
      </c>
      <c r="AH26" s="240" t="str">
        <f t="shared" si="7"/>
        <v>○</v>
      </c>
      <c r="AI26" s="239" t="str">
        <f t="shared" si="8"/>
        <v>○</v>
      </c>
      <c r="AJ26" s="14" t="str">
        <f t="shared" si="1"/>
        <v/>
      </c>
      <c r="AK26" s="52">
        <v>11</v>
      </c>
    </row>
    <row r="27" spans="1:75" ht="24.95" customHeight="1">
      <c r="A27" s="38">
        <v>12</v>
      </c>
      <c r="B27" s="832"/>
      <c r="C27" s="827"/>
      <c r="D27" s="826"/>
      <c r="E27" s="827"/>
      <c r="F27" s="315"/>
      <c r="G27" s="316"/>
      <c r="H27" s="316"/>
      <c r="I27" s="45">
        <f t="shared" si="2"/>
        <v>0</v>
      </c>
      <c r="J27" s="317"/>
      <c r="K27" s="45">
        <f t="shared" si="3"/>
        <v>0</v>
      </c>
      <c r="L27" s="44" t="str">
        <f>IF(AD27="◎",COUNTIF($AD$16:AD27,"◎"),"")</f>
        <v/>
      </c>
      <c r="W27" s="234" t="str">
        <f>IF(B27="既設病床",はじめに入力してください!$K$12,IF(B27="新設病床",はじめに入力してください!$K$13,IF(B27="共通使用",1,"")))</f>
        <v/>
      </c>
      <c r="AC27" s="49" t="s">
        <v>69</v>
      </c>
      <c r="AD27" s="239" t="str">
        <f t="shared" si="4"/>
        <v>○</v>
      </c>
      <c r="AE27" s="35" t="str">
        <f t="shared" si="0"/>
        <v>申請しない場合は入力不要です。</v>
      </c>
      <c r="AF27" s="240" t="str">
        <f t="shared" si="5"/>
        <v>○</v>
      </c>
      <c r="AG27" s="240" t="str">
        <f t="shared" si="6"/>
        <v>○</v>
      </c>
      <c r="AH27" s="240" t="str">
        <f t="shared" si="7"/>
        <v>○</v>
      </c>
      <c r="AI27" s="239" t="str">
        <f t="shared" si="8"/>
        <v>○</v>
      </c>
      <c r="AJ27" s="14" t="str">
        <f t="shared" si="1"/>
        <v/>
      </c>
      <c r="AK27" s="52">
        <v>12</v>
      </c>
    </row>
    <row r="28" spans="1:75" ht="24.95" customHeight="1">
      <c r="A28" s="38">
        <v>13</v>
      </c>
      <c r="B28" s="832"/>
      <c r="C28" s="827"/>
      <c r="D28" s="826"/>
      <c r="E28" s="827"/>
      <c r="F28" s="315"/>
      <c r="G28" s="316"/>
      <c r="H28" s="316"/>
      <c r="I28" s="45">
        <f t="shared" si="2"/>
        <v>0</v>
      </c>
      <c r="J28" s="317"/>
      <c r="K28" s="45">
        <f t="shared" si="3"/>
        <v>0</v>
      </c>
      <c r="L28" s="44" t="str">
        <f>IF(AD28="◎",COUNTIF($AD$16:AD28,"◎"),"")</f>
        <v/>
      </c>
      <c r="W28" s="234" t="str">
        <f>IF(B28="既設病床",はじめに入力してください!$K$12,IF(B28="新設病床",はじめに入力してください!$K$13,IF(B28="共通使用",1,"")))</f>
        <v/>
      </c>
      <c r="AC28" s="49" t="s">
        <v>69</v>
      </c>
      <c r="AD28" s="239" t="str">
        <f t="shared" si="4"/>
        <v>○</v>
      </c>
      <c r="AE28" s="35" t="str">
        <f t="shared" si="0"/>
        <v>申請しない場合は入力不要です。</v>
      </c>
      <c r="AF28" s="240" t="str">
        <f t="shared" si="5"/>
        <v>○</v>
      </c>
      <c r="AG28" s="240" t="str">
        <f t="shared" si="6"/>
        <v>○</v>
      </c>
      <c r="AH28" s="240" t="str">
        <f t="shared" si="7"/>
        <v>○</v>
      </c>
      <c r="AI28" s="239" t="str">
        <f t="shared" si="8"/>
        <v>○</v>
      </c>
      <c r="AJ28" s="14" t="str">
        <f t="shared" si="1"/>
        <v/>
      </c>
      <c r="AK28" s="52">
        <v>13</v>
      </c>
    </row>
    <row r="29" spans="1:75" ht="24.95" customHeight="1">
      <c r="A29" s="38">
        <v>14</v>
      </c>
      <c r="B29" s="832"/>
      <c r="C29" s="827"/>
      <c r="D29" s="826"/>
      <c r="E29" s="827"/>
      <c r="F29" s="315"/>
      <c r="G29" s="316"/>
      <c r="H29" s="316"/>
      <c r="I29" s="45">
        <f t="shared" si="2"/>
        <v>0</v>
      </c>
      <c r="J29" s="317"/>
      <c r="K29" s="45">
        <f t="shared" si="3"/>
        <v>0</v>
      </c>
      <c r="L29" s="44" t="str">
        <f>IF(AD29="◎",COUNTIF($AD$16:AD29,"◎"),"")</f>
        <v/>
      </c>
      <c r="W29" s="234" t="str">
        <f>IF(B29="既設病床",はじめに入力してください!$K$12,IF(B29="新設病床",はじめに入力してください!$K$13,IF(B29="共通使用",1,"")))</f>
        <v/>
      </c>
      <c r="AC29" s="49" t="s">
        <v>69</v>
      </c>
      <c r="AD29" s="239" t="str">
        <f t="shared" si="4"/>
        <v>○</v>
      </c>
      <c r="AE29" s="35" t="str">
        <f t="shared" si="0"/>
        <v>申請しない場合は入力不要です。</v>
      </c>
      <c r="AF29" s="240" t="str">
        <f t="shared" si="5"/>
        <v>○</v>
      </c>
      <c r="AG29" s="240" t="str">
        <f t="shared" si="6"/>
        <v>○</v>
      </c>
      <c r="AH29" s="240" t="str">
        <f t="shared" si="7"/>
        <v>○</v>
      </c>
      <c r="AI29" s="239" t="str">
        <f t="shared" si="8"/>
        <v>○</v>
      </c>
      <c r="AJ29" s="14" t="str">
        <f t="shared" si="1"/>
        <v/>
      </c>
      <c r="AK29" s="52">
        <v>14</v>
      </c>
    </row>
    <row r="30" spans="1:75" ht="24.95" customHeight="1">
      <c r="A30" s="38">
        <v>15</v>
      </c>
      <c r="B30" s="832"/>
      <c r="C30" s="827"/>
      <c r="D30" s="826"/>
      <c r="E30" s="827"/>
      <c r="F30" s="315"/>
      <c r="G30" s="316"/>
      <c r="H30" s="316"/>
      <c r="I30" s="45">
        <f t="shared" si="2"/>
        <v>0</v>
      </c>
      <c r="J30" s="317"/>
      <c r="K30" s="45">
        <f t="shared" si="3"/>
        <v>0</v>
      </c>
      <c r="L30" s="44" t="str">
        <f>IF(AD30="◎",COUNTIF($AD$16:AD30,"◎"),"")</f>
        <v/>
      </c>
      <c r="W30" s="234" t="str">
        <f>IF(B30="既設病床",はじめに入力してください!$K$12,IF(B30="新設病床",はじめに入力してください!$K$13,IF(B30="共通使用",1,"")))</f>
        <v/>
      </c>
      <c r="AC30" s="49" t="s">
        <v>69</v>
      </c>
      <c r="AD30" s="239" t="str">
        <f t="shared" si="4"/>
        <v>○</v>
      </c>
      <c r="AE30" s="35" t="str">
        <f t="shared" si="0"/>
        <v>申請しない場合は入力不要です。</v>
      </c>
      <c r="AF30" s="240" t="str">
        <f t="shared" si="5"/>
        <v>○</v>
      </c>
      <c r="AG30" s="240" t="str">
        <f t="shared" si="6"/>
        <v>○</v>
      </c>
      <c r="AH30" s="240" t="str">
        <f t="shared" si="7"/>
        <v>○</v>
      </c>
      <c r="AI30" s="239" t="str">
        <f t="shared" si="8"/>
        <v>○</v>
      </c>
      <c r="AJ30" s="14" t="str">
        <f t="shared" si="1"/>
        <v/>
      </c>
      <c r="AK30" s="52">
        <v>15</v>
      </c>
    </row>
    <row r="31" spans="1:75" ht="24.95" customHeight="1">
      <c r="A31" s="38">
        <v>16</v>
      </c>
      <c r="B31" s="832"/>
      <c r="C31" s="827"/>
      <c r="D31" s="826"/>
      <c r="E31" s="827"/>
      <c r="F31" s="315"/>
      <c r="G31" s="316"/>
      <c r="H31" s="316"/>
      <c r="I31" s="45">
        <f t="shared" si="2"/>
        <v>0</v>
      </c>
      <c r="J31" s="317"/>
      <c r="K31" s="45">
        <f t="shared" si="3"/>
        <v>0</v>
      </c>
      <c r="L31" s="44" t="str">
        <f>IF(AD31="◎",COUNTIF($AD$16:AD31,"◎"),"")</f>
        <v/>
      </c>
      <c r="W31" s="234" t="str">
        <f>IF(B31="既設病床",はじめに入力してください!$K$12,IF(B31="新設病床",はじめに入力してください!$K$13,IF(B31="共通使用",1,"")))</f>
        <v/>
      </c>
      <c r="AC31" s="49" t="s">
        <v>69</v>
      </c>
      <c r="AD31" s="239" t="str">
        <f t="shared" si="4"/>
        <v>○</v>
      </c>
      <c r="AE31" s="35" t="str">
        <f t="shared" si="0"/>
        <v>申請しない場合は入力不要です。</v>
      </c>
      <c r="AF31" s="240" t="str">
        <f t="shared" si="5"/>
        <v>○</v>
      </c>
      <c r="AG31" s="240" t="str">
        <f t="shared" si="6"/>
        <v>○</v>
      </c>
      <c r="AH31" s="240" t="str">
        <f t="shared" si="7"/>
        <v>○</v>
      </c>
      <c r="AI31" s="239" t="str">
        <f t="shared" si="8"/>
        <v>○</v>
      </c>
      <c r="AJ31" s="14" t="str">
        <f t="shared" si="1"/>
        <v/>
      </c>
      <c r="AK31" s="52">
        <v>16</v>
      </c>
    </row>
    <row r="32" spans="1:75" ht="24.95" customHeight="1">
      <c r="A32" s="38">
        <v>17</v>
      </c>
      <c r="B32" s="832"/>
      <c r="C32" s="827"/>
      <c r="D32" s="826"/>
      <c r="E32" s="827"/>
      <c r="F32" s="315"/>
      <c r="G32" s="316"/>
      <c r="H32" s="316"/>
      <c r="I32" s="45">
        <f t="shared" si="2"/>
        <v>0</v>
      </c>
      <c r="J32" s="317"/>
      <c r="K32" s="45">
        <f t="shared" si="3"/>
        <v>0</v>
      </c>
      <c r="L32" s="44" t="str">
        <f>IF(AD32="◎",COUNTIF($AD$16:AD32,"◎"),"")</f>
        <v/>
      </c>
      <c r="W32" s="234" t="str">
        <f>IF(B32="既設病床",はじめに入力してください!$K$12,IF(B32="新設病床",はじめに入力してください!$K$13,IF(B32="共通使用",1,"")))</f>
        <v/>
      </c>
      <c r="AC32" s="49" t="s">
        <v>69</v>
      </c>
      <c r="AD32" s="239" t="str">
        <f t="shared" si="4"/>
        <v>○</v>
      </c>
      <c r="AE32" s="35" t="str">
        <f t="shared" si="0"/>
        <v>申請しない場合は入力不要です。</v>
      </c>
      <c r="AF32" s="240" t="str">
        <f t="shared" si="5"/>
        <v>○</v>
      </c>
      <c r="AG32" s="240" t="str">
        <f t="shared" si="6"/>
        <v>○</v>
      </c>
      <c r="AH32" s="240" t="str">
        <f t="shared" si="7"/>
        <v>○</v>
      </c>
      <c r="AI32" s="239" t="str">
        <f t="shared" si="8"/>
        <v>○</v>
      </c>
      <c r="AJ32" s="14" t="str">
        <f t="shared" si="1"/>
        <v/>
      </c>
      <c r="AK32" s="52">
        <v>17</v>
      </c>
    </row>
    <row r="33" spans="1:37" ht="24.95" customHeight="1">
      <c r="A33" s="38">
        <v>18</v>
      </c>
      <c r="B33" s="832"/>
      <c r="C33" s="827"/>
      <c r="D33" s="826"/>
      <c r="E33" s="827"/>
      <c r="F33" s="315"/>
      <c r="G33" s="316"/>
      <c r="H33" s="316"/>
      <c r="I33" s="45">
        <f t="shared" si="2"/>
        <v>0</v>
      </c>
      <c r="J33" s="317"/>
      <c r="K33" s="45">
        <f t="shared" si="3"/>
        <v>0</v>
      </c>
      <c r="L33" s="44" t="str">
        <f>IF(AD33="◎",COUNTIF($AD$16:AD33,"◎"),"")</f>
        <v/>
      </c>
      <c r="W33" s="234" t="str">
        <f>IF(B33="既設病床",はじめに入力してください!$K$12,IF(B33="新設病床",はじめに入力してください!$K$13,IF(B33="共通使用",1,"")))</f>
        <v/>
      </c>
      <c r="AC33" s="49" t="s">
        <v>69</v>
      </c>
      <c r="AD33" s="239" t="str">
        <f t="shared" si="4"/>
        <v>○</v>
      </c>
      <c r="AE33" s="35" t="str">
        <f t="shared" si="0"/>
        <v>申請しない場合は入力不要です。</v>
      </c>
      <c r="AF33" s="240" t="str">
        <f t="shared" si="5"/>
        <v>○</v>
      </c>
      <c r="AG33" s="240" t="str">
        <f t="shared" si="6"/>
        <v>○</v>
      </c>
      <c r="AH33" s="240" t="str">
        <f t="shared" si="7"/>
        <v>○</v>
      </c>
      <c r="AI33" s="239" t="str">
        <f t="shared" si="8"/>
        <v>○</v>
      </c>
      <c r="AJ33" s="14" t="str">
        <f t="shared" si="1"/>
        <v/>
      </c>
      <c r="AK33" s="52">
        <v>18</v>
      </c>
    </row>
    <row r="34" spans="1:37" ht="24.95" customHeight="1">
      <c r="A34" s="38">
        <v>19</v>
      </c>
      <c r="B34" s="832"/>
      <c r="C34" s="827"/>
      <c r="D34" s="826"/>
      <c r="E34" s="827"/>
      <c r="F34" s="315"/>
      <c r="G34" s="316"/>
      <c r="H34" s="316"/>
      <c r="I34" s="45">
        <f t="shared" si="2"/>
        <v>0</v>
      </c>
      <c r="J34" s="317"/>
      <c r="K34" s="45">
        <f t="shared" si="3"/>
        <v>0</v>
      </c>
      <c r="L34" s="44" t="str">
        <f>IF(AD34="◎",COUNTIF($AD$16:AD34,"◎"),"")</f>
        <v/>
      </c>
      <c r="W34" s="234" t="str">
        <f>IF(B34="既設病床",はじめに入力してください!$K$12,IF(B34="新設病床",はじめに入力してください!$K$13,IF(B34="共通使用",1,"")))</f>
        <v/>
      </c>
      <c r="AC34" s="49" t="s">
        <v>69</v>
      </c>
      <c r="AD34" s="239" t="str">
        <f t="shared" si="4"/>
        <v>○</v>
      </c>
      <c r="AE34" s="35" t="str">
        <f t="shared" si="0"/>
        <v>申請しない場合は入力不要です。</v>
      </c>
      <c r="AF34" s="240" t="str">
        <f t="shared" si="5"/>
        <v>○</v>
      </c>
      <c r="AG34" s="240" t="str">
        <f t="shared" si="6"/>
        <v>○</v>
      </c>
      <c r="AH34" s="240" t="str">
        <f t="shared" si="7"/>
        <v>○</v>
      </c>
      <c r="AI34" s="239" t="str">
        <f t="shared" si="8"/>
        <v>○</v>
      </c>
      <c r="AJ34" s="14" t="str">
        <f t="shared" si="1"/>
        <v/>
      </c>
      <c r="AK34" s="52">
        <v>19</v>
      </c>
    </row>
    <row r="35" spans="1:37" ht="24.95" customHeight="1">
      <c r="A35" s="38">
        <v>20</v>
      </c>
      <c r="B35" s="832"/>
      <c r="C35" s="827"/>
      <c r="D35" s="826"/>
      <c r="E35" s="827"/>
      <c r="F35" s="315"/>
      <c r="G35" s="316"/>
      <c r="H35" s="316"/>
      <c r="I35" s="45">
        <f t="shared" si="2"/>
        <v>0</v>
      </c>
      <c r="J35" s="317"/>
      <c r="K35" s="45">
        <f t="shared" si="3"/>
        <v>0</v>
      </c>
      <c r="L35" s="44" t="str">
        <f>IF(AD35="◎",COUNTIF($AD$16:AD35,"◎"),"")</f>
        <v/>
      </c>
      <c r="W35" s="234" t="str">
        <f>IF(B35="既設病床",はじめに入力してください!$K$12,IF(B35="新設病床",はじめに入力してください!$K$13,IF(B35="共通使用",1,"")))</f>
        <v/>
      </c>
      <c r="AC35" s="49" t="s">
        <v>69</v>
      </c>
      <c r="AD35" s="239" t="str">
        <f t="shared" si="4"/>
        <v>○</v>
      </c>
      <c r="AE35" s="35" t="str">
        <f t="shared" si="0"/>
        <v>申請しない場合は入力不要です。</v>
      </c>
      <c r="AF35" s="240" t="str">
        <f t="shared" si="5"/>
        <v>○</v>
      </c>
      <c r="AG35" s="240" t="str">
        <f t="shared" si="6"/>
        <v>○</v>
      </c>
      <c r="AH35" s="240" t="str">
        <f t="shared" si="7"/>
        <v>○</v>
      </c>
      <c r="AI35" s="239" t="str">
        <f t="shared" si="8"/>
        <v>○</v>
      </c>
      <c r="AJ35" s="14" t="str">
        <f t="shared" si="1"/>
        <v/>
      </c>
      <c r="AK35" s="52">
        <v>20</v>
      </c>
    </row>
    <row r="36" spans="1:37" ht="24.95" customHeight="1">
      <c r="A36" s="38">
        <v>21</v>
      </c>
      <c r="B36" s="832"/>
      <c r="C36" s="827"/>
      <c r="D36" s="826"/>
      <c r="E36" s="827"/>
      <c r="F36" s="315"/>
      <c r="G36" s="316"/>
      <c r="H36" s="316"/>
      <c r="I36" s="45">
        <f t="shared" si="2"/>
        <v>0</v>
      </c>
      <c r="J36" s="317"/>
      <c r="K36" s="45">
        <f t="shared" si="3"/>
        <v>0</v>
      </c>
      <c r="L36" s="44" t="str">
        <f>IF(AD36="◎",COUNTIF($AD$16:AD36,"◎"),"")</f>
        <v/>
      </c>
      <c r="W36" s="234" t="str">
        <f>IF(B36="既設病床",はじめに入力してください!$K$12,IF(B36="新設病床",はじめに入力してください!$K$13,IF(B36="共通使用",1,"")))</f>
        <v/>
      </c>
      <c r="AC36" s="49" t="s">
        <v>69</v>
      </c>
      <c r="AD36" s="239" t="str">
        <f t="shared" si="4"/>
        <v>○</v>
      </c>
      <c r="AE36" s="35" t="str">
        <f t="shared" si="0"/>
        <v>申請しない場合は入力不要です。</v>
      </c>
      <c r="AF36" s="240" t="str">
        <f t="shared" si="5"/>
        <v>○</v>
      </c>
      <c r="AG36" s="240" t="str">
        <f t="shared" si="6"/>
        <v>○</v>
      </c>
      <c r="AH36" s="240" t="str">
        <f t="shared" si="7"/>
        <v>○</v>
      </c>
      <c r="AI36" s="239" t="str">
        <f t="shared" si="8"/>
        <v>○</v>
      </c>
      <c r="AJ36" s="14" t="str">
        <f t="shared" si="1"/>
        <v/>
      </c>
      <c r="AK36" s="52">
        <v>21</v>
      </c>
    </row>
    <row r="37" spans="1:37" ht="24.95" customHeight="1">
      <c r="A37" s="38">
        <v>22</v>
      </c>
      <c r="B37" s="832"/>
      <c r="C37" s="827"/>
      <c r="D37" s="826"/>
      <c r="E37" s="827"/>
      <c r="F37" s="315"/>
      <c r="G37" s="316"/>
      <c r="H37" s="316"/>
      <c r="I37" s="45">
        <f t="shared" si="2"/>
        <v>0</v>
      </c>
      <c r="J37" s="317"/>
      <c r="K37" s="45">
        <f t="shared" si="3"/>
        <v>0</v>
      </c>
      <c r="L37" s="44" t="str">
        <f>IF(AD37="◎",COUNTIF($AD$16:AD37,"◎"),"")</f>
        <v/>
      </c>
      <c r="W37" s="234" t="str">
        <f>IF(B37="既設病床",はじめに入力してください!$K$12,IF(B37="新設病床",はじめに入力してください!$K$13,IF(B37="共通使用",1,"")))</f>
        <v/>
      </c>
      <c r="AC37" s="49" t="s">
        <v>69</v>
      </c>
      <c r="AD37" s="239" t="str">
        <f t="shared" si="4"/>
        <v>○</v>
      </c>
      <c r="AE37" s="35" t="str">
        <f t="shared" si="0"/>
        <v>申請しない場合は入力不要です。</v>
      </c>
      <c r="AF37" s="240" t="str">
        <f t="shared" si="5"/>
        <v>○</v>
      </c>
      <c r="AG37" s="240" t="str">
        <f t="shared" si="6"/>
        <v>○</v>
      </c>
      <c r="AH37" s="240" t="str">
        <f t="shared" si="7"/>
        <v>○</v>
      </c>
      <c r="AI37" s="239" t="str">
        <f t="shared" si="8"/>
        <v>○</v>
      </c>
      <c r="AJ37" s="14" t="str">
        <f t="shared" si="1"/>
        <v/>
      </c>
      <c r="AK37" s="52">
        <v>22</v>
      </c>
    </row>
    <row r="38" spans="1:37" ht="24.95" customHeight="1">
      <c r="A38" s="38">
        <v>23</v>
      </c>
      <c r="B38" s="832"/>
      <c r="C38" s="827"/>
      <c r="D38" s="826"/>
      <c r="E38" s="827"/>
      <c r="F38" s="315"/>
      <c r="G38" s="316"/>
      <c r="H38" s="316"/>
      <c r="I38" s="45">
        <f t="shared" si="2"/>
        <v>0</v>
      </c>
      <c r="J38" s="317"/>
      <c r="K38" s="45">
        <f t="shared" si="3"/>
        <v>0</v>
      </c>
      <c r="L38" s="44" t="str">
        <f>IF(AD38="◎",COUNTIF($AD$16:AD38,"◎"),"")</f>
        <v/>
      </c>
      <c r="W38" s="234" t="str">
        <f>IF(B38="既設病床",はじめに入力してください!$K$12,IF(B38="新設病床",はじめに入力してください!$K$13,IF(B38="共通使用",1,"")))</f>
        <v/>
      </c>
      <c r="AC38" s="49" t="s">
        <v>69</v>
      </c>
      <c r="AD38" s="239" t="str">
        <f t="shared" si="4"/>
        <v>○</v>
      </c>
      <c r="AE38" s="35" t="str">
        <f t="shared" si="0"/>
        <v>申請しない場合は入力不要です。</v>
      </c>
      <c r="AF38" s="240" t="str">
        <f t="shared" si="5"/>
        <v>○</v>
      </c>
      <c r="AG38" s="240" t="str">
        <f t="shared" si="6"/>
        <v>○</v>
      </c>
      <c r="AH38" s="240" t="str">
        <f t="shared" si="7"/>
        <v>○</v>
      </c>
      <c r="AI38" s="239" t="str">
        <f t="shared" si="8"/>
        <v>○</v>
      </c>
      <c r="AJ38" s="14" t="str">
        <f t="shared" si="1"/>
        <v/>
      </c>
      <c r="AK38" s="52">
        <v>23</v>
      </c>
    </row>
    <row r="39" spans="1:37" ht="24.95" customHeight="1">
      <c r="A39" s="38">
        <v>24</v>
      </c>
      <c r="B39" s="832"/>
      <c r="C39" s="827"/>
      <c r="D39" s="826"/>
      <c r="E39" s="827"/>
      <c r="F39" s="315"/>
      <c r="G39" s="316"/>
      <c r="H39" s="316"/>
      <c r="I39" s="45">
        <f t="shared" si="2"/>
        <v>0</v>
      </c>
      <c r="J39" s="317"/>
      <c r="K39" s="45">
        <f t="shared" si="3"/>
        <v>0</v>
      </c>
      <c r="L39" s="44" t="str">
        <f>IF(AD39="◎",COUNTIF($AD$16:AD39,"◎"),"")</f>
        <v/>
      </c>
      <c r="W39" s="234" t="str">
        <f>IF(B39="既設病床",はじめに入力してください!$K$12,IF(B39="新設病床",はじめに入力してください!$K$13,IF(B39="共通使用",1,"")))</f>
        <v/>
      </c>
      <c r="AC39" s="49" t="s">
        <v>69</v>
      </c>
      <c r="AD39" s="239" t="str">
        <f t="shared" si="4"/>
        <v>○</v>
      </c>
      <c r="AE39" s="35" t="str">
        <f t="shared" si="0"/>
        <v>申請しない場合は入力不要です。</v>
      </c>
      <c r="AF39" s="240" t="str">
        <f t="shared" si="5"/>
        <v>○</v>
      </c>
      <c r="AG39" s="240" t="str">
        <f t="shared" si="6"/>
        <v>○</v>
      </c>
      <c r="AH39" s="240" t="str">
        <f t="shared" si="7"/>
        <v>○</v>
      </c>
      <c r="AI39" s="239" t="str">
        <f t="shared" si="8"/>
        <v>○</v>
      </c>
      <c r="AJ39" s="14" t="str">
        <f t="shared" si="1"/>
        <v/>
      </c>
      <c r="AK39" s="52">
        <v>24</v>
      </c>
    </row>
    <row r="40" spans="1:37" ht="24.95" customHeight="1">
      <c r="A40" s="38">
        <v>25</v>
      </c>
      <c r="B40" s="832"/>
      <c r="C40" s="827"/>
      <c r="D40" s="826"/>
      <c r="E40" s="827"/>
      <c r="F40" s="315"/>
      <c r="G40" s="316"/>
      <c r="H40" s="316"/>
      <c r="I40" s="45">
        <f t="shared" si="2"/>
        <v>0</v>
      </c>
      <c r="J40" s="317"/>
      <c r="K40" s="45">
        <f t="shared" si="3"/>
        <v>0</v>
      </c>
      <c r="L40" s="44" t="str">
        <f>IF(AD40="◎",COUNTIF($AD$16:AD40,"◎"),"")</f>
        <v/>
      </c>
      <c r="W40" s="234" t="str">
        <f>IF(B40="既設病床",はじめに入力してください!$K$12,IF(B40="新設病床",はじめに入力してください!$K$13,IF(B40="共通使用",1,"")))</f>
        <v/>
      </c>
      <c r="AC40" s="49" t="s">
        <v>69</v>
      </c>
      <c r="AD40" s="239" t="str">
        <f t="shared" si="4"/>
        <v>○</v>
      </c>
      <c r="AE40" s="35" t="str">
        <f t="shared" si="0"/>
        <v>申請しない場合は入力不要です。</v>
      </c>
      <c r="AF40" s="240" t="str">
        <f t="shared" si="5"/>
        <v>○</v>
      </c>
      <c r="AG40" s="240" t="str">
        <f t="shared" si="6"/>
        <v>○</v>
      </c>
      <c r="AH40" s="240" t="str">
        <f t="shared" si="7"/>
        <v>○</v>
      </c>
      <c r="AI40" s="239" t="str">
        <f t="shared" si="8"/>
        <v>○</v>
      </c>
      <c r="AJ40" s="14" t="str">
        <f t="shared" si="1"/>
        <v/>
      </c>
      <c r="AK40" s="52">
        <v>25</v>
      </c>
    </row>
    <row r="41" spans="1:37" ht="24.95" customHeight="1">
      <c r="A41" s="38">
        <v>26</v>
      </c>
      <c r="B41" s="832"/>
      <c r="C41" s="827"/>
      <c r="D41" s="826"/>
      <c r="E41" s="827"/>
      <c r="F41" s="315"/>
      <c r="G41" s="316"/>
      <c r="H41" s="316"/>
      <c r="I41" s="45">
        <f t="shared" si="2"/>
        <v>0</v>
      </c>
      <c r="J41" s="317"/>
      <c r="K41" s="45">
        <f t="shared" si="3"/>
        <v>0</v>
      </c>
      <c r="L41" s="44" t="str">
        <f>IF(AD41="◎",COUNTIF($AD$16:AD41,"◎"),"")</f>
        <v/>
      </c>
      <c r="W41" s="234" t="str">
        <f>IF(B41="既設病床",はじめに入力してください!$K$12,IF(B41="新設病床",はじめに入力してください!$K$13,IF(B41="共通使用",1,"")))</f>
        <v/>
      </c>
      <c r="AC41" s="49" t="s">
        <v>69</v>
      </c>
      <c r="AD41" s="239" t="str">
        <f t="shared" si="4"/>
        <v>○</v>
      </c>
      <c r="AE41" s="35" t="str">
        <f t="shared" si="0"/>
        <v>申請しない場合は入力不要です。</v>
      </c>
      <c r="AF41" s="240" t="str">
        <f t="shared" si="5"/>
        <v>○</v>
      </c>
      <c r="AG41" s="240" t="str">
        <f t="shared" si="6"/>
        <v>○</v>
      </c>
      <c r="AH41" s="240" t="str">
        <f t="shared" si="7"/>
        <v>○</v>
      </c>
      <c r="AI41" s="239" t="str">
        <f t="shared" si="8"/>
        <v>○</v>
      </c>
      <c r="AJ41" s="14" t="str">
        <f t="shared" si="1"/>
        <v/>
      </c>
      <c r="AK41" s="52">
        <v>26</v>
      </c>
    </row>
    <row r="42" spans="1:37" ht="24.95" customHeight="1">
      <c r="A42" s="38">
        <v>27</v>
      </c>
      <c r="B42" s="832"/>
      <c r="C42" s="827"/>
      <c r="D42" s="826"/>
      <c r="E42" s="827"/>
      <c r="F42" s="315"/>
      <c r="G42" s="316"/>
      <c r="H42" s="316"/>
      <c r="I42" s="45">
        <f t="shared" si="2"/>
        <v>0</v>
      </c>
      <c r="J42" s="317"/>
      <c r="K42" s="45">
        <f t="shared" si="3"/>
        <v>0</v>
      </c>
      <c r="L42" s="44" t="str">
        <f>IF(AD42="◎",COUNTIF($AD$16:AD42,"◎"),"")</f>
        <v/>
      </c>
      <c r="W42" s="234" t="str">
        <f>IF(B42="既設病床",はじめに入力してください!$K$12,IF(B42="新設病床",はじめに入力してください!$K$13,IF(B42="共通使用",1,"")))</f>
        <v/>
      </c>
      <c r="AC42" s="49" t="s">
        <v>69</v>
      </c>
      <c r="AD42" s="239" t="str">
        <f t="shared" si="4"/>
        <v>○</v>
      </c>
      <c r="AE42" s="35" t="str">
        <f t="shared" si="0"/>
        <v>申請しない場合は入力不要です。</v>
      </c>
      <c r="AF42" s="240" t="str">
        <f t="shared" si="5"/>
        <v>○</v>
      </c>
      <c r="AG42" s="240" t="str">
        <f t="shared" si="6"/>
        <v>○</v>
      </c>
      <c r="AH42" s="240" t="str">
        <f t="shared" si="7"/>
        <v>○</v>
      </c>
      <c r="AI42" s="239" t="str">
        <f t="shared" si="8"/>
        <v>○</v>
      </c>
      <c r="AJ42" s="14" t="str">
        <f t="shared" si="1"/>
        <v/>
      </c>
      <c r="AK42" s="52">
        <v>27</v>
      </c>
    </row>
    <row r="43" spans="1:37" ht="24.95" customHeight="1">
      <c r="A43" s="38">
        <v>28</v>
      </c>
      <c r="B43" s="832"/>
      <c r="C43" s="827"/>
      <c r="D43" s="826"/>
      <c r="E43" s="827"/>
      <c r="F43" s="315"/>
      <c r="G43" s="316"/>
      <c r="H43" s="316"/>
      <c r="I43" s="45">
        <f t="shared" si="2"/>
        <v>0</v>
      </c>
      <c r="J43" s="317"/>
      <c r="K43" s="45">
        <f t="shared" si="3"/>
        <v>0</v>
      </c>
      <c r="L43" s="44" t="str">
        <f>IF(AD43="◎",COUNTIF($AD$16:AD43,"◎"),"")</f>
        <v/>
      </c>
      <c r="W43" s="234" t="str">
        <f>IF(B43="既設病床",はじめに入力してください!$K$12,IF(B43="新設病床",はじめに入力してください!$K$13,IF(B43="共通使用",1,"")))</f>
        <v/>
      </c>
      <c r="AC43" s="49" t="s">
        <v>69</v>
      </c>
      <c r="AD43" s="239" t="str">
        <f t="shared" si="4"/>
        <v>○</v>
      </c>
      <c r="AE43" s="35" t="str">
        <f t="shared" si="0"/>
        <v>申請しない場合は入力不要です。</v>
      </c>
      <c r="AF43" s="240" t="str">
        <f t="shared" si="5"/>
        <v>○</v>
      </c>
      <c r="AG43" s="240" t="str">
        <f t="shared" si="6"/>
        <v>○</v>
      </c>
      <c r="AH43" s="240" t="str">
        <f t="shared" si="7"/>
        <v>○</v>
      </c>
      <c r="AI43" s="239" t="str">
        <f t="shared" si="8"/>
        <v>○</v>
      </c>
      <c r="AJ43" s="14" t="str">
        <f t="shared" si="1"/>
        <v/>
      </c>
      <c r="AK43" s="52">
        <v>28</v>
      </c>
    </row>
    <row r="44" spans="1:37" ht="24.95" customHeight="1">
      <c r="A44" s="38">
        <v>29</v>
      </c>
      <c r="B44" s="832"/>
      <c r="C44" s="827"/>
      <c r="D44" s="826"/>
      <c r="E44" s="827"/>
      <c r="F44" s="315"/>
      <c r="G44" s="316"/>
      <c r="H44" s="316"/>
      <c r="I44" s="45">
        <f t="shared" si="2"/>
        <v>0</v>
      </c>
      <c r="J44" s="317"/>
      <c r="K44" s="45">
        <f t="shared" si="3"/>
        <v>0</v>
      </c>
      <c r="L44" s="44" t="str">
        <f>IF(AD44="◎",COUNTIF($AD$16:AD44,"◎"),"")</f>
        <v/>
      </c>
      <c r="W44" s="234" t="str">
        <f>IF(B44="既設病床",はじめに入力してください!$K$12,IF(B44="新設病床",はじめに入力してください!$K$13,IF(B44="共通使用",1,"")))</f>
        <v/>
      </c>
      <c r="AC44" s="49" t="s">
        <v>69</v>
      </c>
      <c r="AD44" s="239" t="str">
        <f t="shared" si="4"/>
        <v>○</v>
      </c>
      <c r="AE44" s="35" t="str">
        <f t="shared" si="0"/>
        <v>申請しない場合は入力不要です。</v>
      </c>
      <c r="AF44" s="240" t="str">
        <f t="shared" si="5"/>
        <v>○</v>
      </c>
      <c r="AG44" s="240" t="str">
        <f t="shared" si="6"/>
        <v>○</v>
      </c>
      <c r="AH44" s="240" t="str">
        <f t="shared" si="7"/>
        <v>○</v>
      </c>
      <c r="AI44" s="239" t="str">
        <f t="shared" si="8"/>
        <v>○</v>
      </c>
      <c r="AJ44" s="14" t="str">
        <f t="shared" si="1"/>
        <v/>
      </c>
      <c r="AK44" s="52">
        <v>29</v>
      </c>
    </row>
    <row r="45" spans="1:37" ht="24.95" customHeight="1">
      <c r="A45" s="38">
        <v>30</v>
      </c>
      <c r="B45" s="832"/>
      <c r="C45" s="827"/>
      <c r="D45" s="826"/>
      <c r="E45" s="827"/>
      <c r="F45" s="315"/>
      <c r="G45" s="316"/>
      <c r="H45" s="316"/>
      <c r="I45" s="45">
        <f t="shared" si="2"/>
        <v>0</v>
      </c>
      <c r="J45" s="317"/>
      <c r="K45" s="45">
        <f t="shared" si="3"/>
        <v>0</v>
      </c>
      <c r="L45" s="44" t="str">
        <f>IF(AD45="◎",COUNTIF($AD$16:AD45,"◎"),"")</f>
        <v/>
      </c>
      <c r="W45" s="234" t="str">
        <f>IF(B45="既設病床",はじめに入力してください!$K$12,IF(B45="新設病床",はじめに入力してください!$K$13,IF(B45="共通使用",1,"")))</f>
        <v/>
      </c>
      <c r="AC45" s="49" t="s">
        <v>69</v>
      </c>
      <c r="AD45" s="239" t="str">
        <f t="shared" si="4"/>
        <v>○</v>
      </c>
      <c r="AE45" s="35" t="str">
        <f t="shared" si="0"/>
        <v>申請しない場合は入力不要です。</v>
      </c>
      <c r="AF45" s="240" t="str">
        <f t="shared" si="5"/>
        <v>○</v>
      </c>
      <c r="AG45" s="240" t="str">
        <f t="shared" si="6"/>
        <v>○</v>
      </c>
      <c r="AH45" s="240" t="str">
        <f t="shared" si="7"/>
        <v>○</v>
      </c>
      <c r="AI45" s="239" t="str">
        <f t="shared" si="8"/>
        <v>○</v>
      </c>
      <c r="AJ45" s="14" t="str">
        <f t="shared" si="1"/>
        <v/>
      </c>
      <c r="AK45" s="52">
        <v>30</v>
      </c>
    </row>
    <row r="46" spans="1:37" ht="24.95" customHeight="1">
      <c r="A46" s="38">
        <v>31</v>
      </c>
      <c r="B46" s="832"/>
      <c r="C46" s="827"/>
      <c r="D46" s="826"/>
      <c r="E46" s="827"/>
      <c r="F46" s="315"/>
      <c r="G46" s="316"/>
      <c r="H46" s="316"/>
      <c r="I46" s="45">
        <f t="shared" si="2"/>
        <v>0</v>
      </c>
      <c r="J46" s="317"/>
      <c r="K46" s="45">
        <f t="shared" si="3"/>
        <v>0</v>
      </c>
      <c r="L46" s="44" t="str">
        <f>IF(AD46="◎",COUNTIF($AD$16:AD46,"◎"),"")</f>
        <v/>
      </c>
      <c r="W46" s="234" t="str">
        <f>IF(B46="既設病床",はじめに入力してください!$K$12,IF(B46="新設病床",はじめに入力してください!$K$13,IF(B46="共通使用",1,"")))</f>
        <v/>
      </c>
      <c r="AC46" s="49" t="s">
        <v>69</v>
      </c>
      <c r="AD46" s="239" t="str">
        <f t="shared" si="4"/>
        <v>○</v>
      </c>
      <c r="AE46" s="35" t="str">
        <f t="shared" si="0"/>
        <v>申請しない場合は入力不要です。</v>
      </c>
      <c r="AF46" s="240" t="str">
        <f t="shared" si="5"/>
        <v>○</v>
      </c>
      <c r="AG46" s="240" t="str">
        <f t="shared" si="6"/>
        <v>○</v>
      </c>
      <c r="AH46" s="240" t="str">
        <f t="shared" si="7"/>
        <v>○</v>
      </c>
      <c r="AI46" s="239" t="str">
        <f t="shared" si="8"/>
        <v>○</v>
      </c>
      <c r="AJ46" s="14" t="str">
        <f t="shared" si="1"/>
        <v/>
      </c>
      <c r="AK46" s="52">
        <v>31</v>
      </c>
    </row>
    <row r="47" spans="1:37" ht="24.95" customHeight="1">
      <c r="A47" s="38">
        <v>32</v>
      </c>
      <c r="B47" s="832"/>
      <c r="C47" s="827"/>
      <c r="D47" s="826"/>
      <c r="E47" s="827"/>
      <c r="F47" s="315"/>
      <c r="G47" s="316"/>
      <c r="H47" s="316"/>
      <c r="I47" s="45">
        <f t="shared" si="2"/>
        <v>0</v>
      </c>
      <c r="J47" s="317"/>
      <c r="K47" s="45">
        <f t="shared" si="3"/>
        <v>0</v>
      </c>
      <c r="L47" s="44" t="str">
        <f>IF(AD47="◎",COUNTIF($AD$16:AD47,"◎"),"")</f>
        <v/>
      </c>
      <c r="W47" s="234" t="str">
        <f>IF(B47="既設病床",はじめに入力してください!$K$12,IF(B47="新設病床",はじめに入力してください!$K$13,IF(B47="共通使用",1,"")))</f>
        <v/>
      </c>
      <c r="AC47" s="49" t="s">
        <v>69</v>
      </c>
      <c r="AD47" s="239" t="str">
        <f t="shared" si="4"/>
        <v>○</v>
      </c>
      <c r="AE47" s="35" t="str">
        <f t="shared" si="0"/>
        <v>申請しない場合は入力不要です。</v>
      </c>
      <c r="AF47" s="240" t="str">
        <f t="shared" si="5"/>
        <v>○</v>
      </c>
      <c r="AG47" s="240" t="str">
        <f t="shared" si="6"/>
        <v>○</v>
      </c>
      <c r="AH47" s="240" t="str">
        <f t="shared" si="7"/>
        <v>○</v>
      </c>
      <c r="AI47" s="239" t="str">
        <f t="shared" si="8"/>
        <v>○</v>
      </c>
      <c r="AJ47" s="14" t="str">
        <f t="shared" si="1"/>
        <v/>
      </c>
      <c r="AK47" s="52">
        <v>32</v>
      </c>
    </row>
    <row r="48" spans="1:37" ht="24.95" customHeight="1">
      <c r="A48" s="38">
        <v>33</v>
      </c>
      <c r="B48" s="832"/>
      <c r="C48" s="827"/>
      <c r="D48" s="826"/>
      <c r="E48" s="827"/>
      <c r="F48" s="315"/>
      <c r="G48" s="316"/>
      <c r="H48" s="316"/>
      <c r="I48" s="45">
        <f t="shared" si="2"/>
        <v>0</v>
      </c>
      <c r="J48" s="317"/>
      <c r="K48" s="45">
        <f t="shared" si="3"/>
        <v>0</v>
      </c>
      <c r="L48" s="44" t="str">
        <f>IF(AD48="◎",COUNTIF($AD$16:AD48,"◎"),"")</f>
        <v/>
      </c>
      <c r="W48" s="234" t="str">
        <f>IF(B48="既設病床",はじめに入力してください!$K$12,IF(B48="新設病床",はじめに入力してください!$K$13,IF(B48="共通使用",1,"")))</f>
        <v/>
      </c>
      <c r="AC48" s="49" t="s">
        <v>69</v>
      </c>
      <c r="AD48" s="239" t="str">
        <f t="shared" si="4"/>
        <v>○</v>
      </c>
      <c r="AE48" s="35" t="str">
        <f t="shared" ref="AE48:AE79" si="9" xml:space="preserve">
IF(AND(AF48="○",AG48="○",AH48="○",AI48="○"),"申請しない場合は入力不要です。",
IF(AND(AF48="○",AG48="○",AH48="○",AI48="◎"),"【要修正】【整備区分】未入力、【規格・数量】未入力、【単価】未入力"&amp;CHAR(10),
IF(AND(AF48="○",AG48="○",AH48="×",AI48="○"),"【要修正】【整備区分】未入力、【規格・数量】未入力、【単価】入力不十分、【補助対象区分】未入力"&amp;CHAR(10),
IF(AND(AF48="○",AG48="○",AH48="×",AI48="◎"),"【要修正】【整備区分】未入力、【規格・数量】未入力、【単価】入力不十分"&amp;CHAR(10),
IF(AND(AF48="○",AG48="○",AH48="◎",AI48="○"),"【要修正】【整備区分】未入力、【規格・数量】未入力、【補助対象区分】未入力"&amp;CHAR(10),
IF(AND(AF48="○",AG48="○",AH48="◎",AI48="◎"),"【要修正】【整備区分】未入力、【規格・数量】未入力"&amp;CHAR(10),
IF(AND(AF48="○",AG48="×",AH48="○",AI48="○"),"【要修正】【整備区分】未入力、【規格・数量】入力不十分、【単価】未入力、【補助対象区分】未入力"&amp;CHAR(10),
IF(AND(AF48="○",AG48="×",AH48="○",AI48="◎"),"【要修正】【整備区分】未入力、【規格・数量】入力不十分、【単価】未入力"&amp;CHAR(10),
IF(AND(AF48="○",AG48="×",AH48="×",AI48="○"),"【要修正】【整備区分】未入力、【規格・数量】入力不十分、【単価】入力不十分、【補助対象区分】未入力"&amp;CHAR(10),
IF(AND(AF48="○",AG48="×",AH48="×",AI48="◎"),"【要修正】【整備区分】未入力、【規格・数量】入力不十分、【単価】入力不十分"&amp;CHAR(10),
IF(AND(AF48="○",AG48="×",AH48="◎",AI48="○"),"【要修正】【整備区分】未入力、【規格・数量】入力不十分、【補助対象区分】未入力"&amp;CHAR(10),
IF(AND(AF48="○",AG48="×",AH48="◎",AI48="◎"),"【要修正】【整備区分】未入力、【規格・数量】入力不十分"&amp;CHAR(10),
IF(AND(AF48="○",AG48="◎",AH48="○",AI48="○"),"【要修正】【整備区分】未入力、【単価】未入力、【補助対象区分】未入力"&amp;CHAR(10),
IF(AND(AF48="○",AG48="◎",AH48="○",AI48="◎"),"【要修正】【整備区分】未入力、【単価】未入力"&amp;CHAR(10),
IF(AND(AF48="○",AG48="◎",AH48="×",AI48="○"),"【要修正】【整備区分】未入力、【単価】入力不十分、【補助対象区分】未入力"&amp;CHAR(10),
IF(AND(AF48="○",AG48="◎",AH48="×",AI48="◎"),"【要修正】【整備区分】未入力、【単価】入力不十分"&amp;CHAR(10),
IF(AND(AF48="○",AG48="◎",AH48="◎",AI48="○"),"【要修正】【整備区分】未入力、【補助対象区分】未入力"&amp;CHAR(10),
IF(AND(AF48="○",AG48="◎",AH48="◎",AI48="◎"),"【要修正】【整備区分】未入力"&amp;CHAR(10),
IF(AND(AF48="×",AG48="○",AH48="○",AI48="○"),"【要修正】【整備区分】入力不十分、【規格・数量】未入力、【単価】未入力、【補助対象区分】未入力"&amp;CHAR(10),
IF(AND(AF48="×",AG48="○",AH48="○",AI48="◎"),"【要修正】【整備区分】入力不十分、【規格・数量】未入力、【単価】未入力"&amp;CHAR(10),
IF(AND(AF48="×",AG48="○",AH48="×",AI48="○"),"【要修正】【整備区分】入力不十分、【規格・数量】未入力、【単価】入力不十分、【補助対象区分】未入力"&amp;CHAR(10),
IF(AND(AF48="×",AG48="○",AH48="×",AI48="◎"),"【要修正】【整備区分】入力不十分、【規格・数量】未入力、【単価】入力不十分"&amp;CHAR(10),
IF(AND(AF48="×",AG48="○",AH48="◎",AI48="○"),"【要修正】【整備区分】入力不十分、【規格・数量】未入力、【補助対象区分】未入力"&amp;CHAR(10),
IF(AND(AF48="×",AG48="○",AH48="◎",AI48="◎"),"【要修正】【整備区分】入力不十分、【規格・数量】未入力"&amp;CHAR(10),
IF(AND(AF48="×",AG48="×",AH48="○",AI48="○"),"【要修正】【整備区分】入力不十分、【規格・数量】入力不十分、【単価】未入力、【補助対象区分】未入力"&amp;CHAR(10),
IF(AND(AF48="×",AG48="×",AH48="○",AI48="◎"),"【要修正】【整備区分】入力不十分、【規格・数量】入力不十分、【単価】未入力"&amp;CHAR(10),
IF(AND(AF48="×",AG48="×",AH48="×",AI48="○"),"【要修正】【整備区分】入力不十分、【規格・数量】入力不十分、【単価】入力不十分、【補助対象区分】未入力"&amp;CHAR(10),
IF(AND(AF48="×",AG48="×",AH48="×",AI48="◎"),"【要修正】【整備区分】入力不十分、【規格・数量】入力不十分、【単価】入力不十分"&amp;CHAR(10),
IF(AND(AF48="×",AG48="×",AH48="◎",AI48="○"),"【要修正】【整備区分】入力不十分、【規格・数量】入力不十分、【補助対象区分】未入力"&amp;CHAR(10),
IF(AND(AF48="×",AG48="×",AH48="◎",AI48="◎"),"【要修正】【整備区分】入力不十分、【規格・数量】入力不十分"&amp;CHAR(10),
IF(AND(AF48="×",AG48="◎",AH48="○",AI48="○"),"【要修正】【整備区分】入力不十分、【単価】未入力、【補助対象区分】未入力"&amp;CHAR(10),
IF(AND(AF48="×",AG48="◎",AH48="○",AI48="◎"),"【要修正】【整備区分】入力不十分、【単価】未入力"&amp;CHAR(10),
IF(AND(AF48="×",AG48="◎",AH48="×",AI48="○"),"【要修正】【整備区分】入力不十分、【単価】入力不十分、【補助対象区分】未入力"&amp;CHAR(10),
IF(AND(AF48="×",AG48="◎",AH48="×",AI48="◎"),"【要修正】【整備区分】入力不十分、【単価】入力不十分"&amp;CHAR(10),
IF(AND(AF48="×",AG48="◎",AH48="◎",AI48="○"),"【要修正】【整備区分】入力不十分、【補助対象区分】未入力"&amp;CHAR(10),
IF(AND(AF48="×",AG48="◎",AH48="◎",AI48="◎"),"【要修正】【整備区分】入力不十分"&amp;CHAR(10),
IF(AND(AF48="◎",AG48="○",AH48="○",AI48="○"),"【要修正】【規格・数量】未入力、【単価】未入力、【補助対象区分】未入力"&amp;CHAR(10),
IF(AND(AF48="◎",AG48="○",AH48="○",AI48="◎"),"【要修正】【規格・数量】未入力、【単価】未入力"&amp;CHAR(10),
IF(AND(AF48="◎",AG48="○",AH48="×",AI48="○"),"【要修正】【規格・数量】未入力、【単価】入力不十分、【補助対象区分】未入力"&amp;CHAR(10),
IF(AND(AF48="◎",AG48="○",AH48="×",AI48="◎"),"【要修正】【規格・数量】未入力、【単価】入力不十分"&amp;CHAR(10),
IF(AND(AF48="◎",AG48="○",AH48="◎",AI48="○"),"【要修正】【規格・数量】未入力、【補助対象区分】未入力"&amp;CHAR(10),
IF(AND(AF48="◎",AG48="○",AH48="◎",AI48="◎"),"【要修正】【規格・数量】未入力"&amp;CHAR(10),
IF(AND(AF48="◎",AG48="×",AH48="○",AI48="○"),"【要修正】【規格・数量】入力不十分、【単価】未入力、【補助対象区分】未入力"&amp;CHAR(10),
IF(AND(AF48="◎",AG48="×",AH48="○",AI48="◎"),"【要修正】【規格・数量】入力不十分、【単価】未入力"&amp;CHAR(10),
IF(AND(AF48="◎",AG48="×",AH48="×",AI48="○"),"【要修正】【規格・数量】入力不十分、【単価】入力不十分、【補助対象区分】未入力"&amp;CHAR(10),
IF(AND(AF48="◎",AG48="×",AH48="×",AI48="◎"),"【要修正】【規格・数量】入力不十分、【単価】入力不十分"&amp;CHAR(10),
IF(AND(AF48="◎",AG48="×",AH48="◎",AI48="○"),"【要修正】【規格・数量】入力不十分、【補助対象区分】未入力"&amp;CHAR(10),
IF(AND(AF48="◎",AG48="×",AH48="◎",AI48="◎"),"【要修正】【規格・数量】入力不十分"&amp;CHAR(10),
IF(AND(AF48="◎",AG48="◎",AH48="○",AI48="○"),"【要修正】【単価】未入力、【補助対象区分】未入力"&amp;CHAR(10),
IF(AND(AF48="◎",AG48="◎",AH48="○",AI48="◎"),"【要修正】【単価】未入力"&amp;CHAR(10),
IF(AND(AF48="◎",AG48="◎",AH48="×",AI48="○"),"【要修正】【単価】入力不十分、【補助対象区分】未入力"&amp;CHAR(10),
IF(AND(AF48="◎",AG48="◎",AH48="×",AI48="◎"),"【要修正】【単価】入力不十分"&amp;CHAR(10),
IF(AND(AF48="◎",AG48="◎",AH48="◎",AI48="○"),"【要修正】【補助対象区分】未入力"&amp;CHAR(10),
IF(AND(AF48="◎",AG48="◎",AH48="◎",AI48="◎"),"適切に入力がされました。",
))))))))))))))))))))))))))))))))))))))))))))))))))))))</f>
        <v>申請しない場合は入力不要です。</v>
      </c>
      <c r="AF48" s="240" t="str">
        <f t="shared" si="5"/>
        <v>○</v>
      </c>
      <c r="AG48" s="240" t="str">
        <f t="shared" si="6"/>
        <v>○</v>
      </c>
      <c r="AH48" s="240" t="str">
        <f t="shared" si="7"/>
        <v>○</v>
      </c>
      <c r="AI48" s="239" t="str">
        <f t="shared" si="8"/>
        <v>○</v>
      </c>
      <c r="AJ48" s="14" t="str">
        <f t="shared" ref="AJ48:AJ79" si="10" xml:space="preserve">
IF(AND(AF48="○",AG48="○",AH48="○",AI48="○"),"",
IF(AND(AF48="○",AG48="○",AH48="○",AI48="◎"),"【"&amp;AK48&amp;"行目】【整備区分】未入力、【規格・数量】未入力、【単価】未入力"&amp;CHAR(10),
IF(AND(AF48="○",AG48="○",AH48="×",AI48="○"),"【"&amp;AK48&amp;"行目】【整備区分】未入力、【規格・数量】未入力、【単価】入力不十分、【補助対象区分】未入力"&amp;CHAR(10),
IF(AND(AF48="○",AG48="○",AH48="×",AI48="◎"),"【"&amp;AK48&amp;"行目】【整備区分】未入力、【規格・数量】未入力、【単価】入力不十分"&amp;CHAR(10),
IF(AND(AF48="○",AG48="○",AH48="◎",AI48="○"),"【"&amp;AK48&amp;"行目】【整備区分】未入力、【規格・数量】未入力、【補助対象区分】未入力"&amp;CHAR(10),
IF(AND(AF48="○",AG48="○",AH48="◎",AI48="◎"),"【"&amp;AK48&amp;"行目】【整備区分】未入力、【規格・数量】未入力"&amp;CHAR(10),
IF(AND(AF48="○",AG48="×",AH48="○",AI48="○"),"【"&amp;AK48&amp;"行目】【整備区分】未入力、【規格・数量】入力不十分、【単価】未入力、【補助対象区分】未入力"&amp;CHAR(10),
IF(AND(AF48="○",AG48="×",AH48="○",AI48="◎"),"【"&amp;AK48&amp;"行目】【整備区分】未入力、【規格・数量】入力不十分、【単価】未入力"&amp;CHAR(10),
IF(AND(AF48="○",AG48="×",AH48="×",AI48="○"),"【"&amp;AK48&amp;"行目】【整備区分】未入力、【規格・数量】入力不十分、【単価】入力不十分、【補助対象区分】未入力"&amp;CHAR(10),
IF(AND(AF48="○",AG48="×",AH48="×",AI48="◎"),"【"&amp;AK48&amp;"行目】【整備区分】未入力、【規格・数量】入力不十分、【単価】入力不十分"&amp;CHAR(10),
IF(AND(AF48="○",AG48="×",AH48="◎",AI48="○"),"【"&amp;AK48&amp;"行目】【整備区分】未入力、【規格・数量】入力不十分、【補助対象区分】未入力"&amp;CHAR(10),
IF(AND(AF48="○",AG48="×",AH48="◎",AI48="◎"),"【"&amp;AK48&amp;"行目】【整備区分】未入力、【規格・数量】入力不十分"&amp;CHAR(10),
IF(AND(AF48="○",AG48="◎",AH48="○",AI48="○"),"【"&amp;AK48&amp;"行目】【整備区分】未入力、【単価】未入力、【補助対象区分】未入力"&amp;CHAR(10),
IF(AND(AF48="○",AG48="◎",AH48="○",AI48="◎"),"【"&amp;AK48&amp;"行目】【整備区分】未入力、【単価】未入力"&amp;CHAR(10),
IF(AND(AF48="○",AG48="◎",AH48="×",AI48="○"),"【"&amp;AK48&amp;"行目】【整備区分】未入力、【単価】入力不十分、【補助対象区分】未入力"&amp;CHAR(10),
IF(AND(AF48="○",AG48="◎",AH48="×",AI48="◎"),"【"&amp;AK48&amp;"行目】【整備区分】未入力、【単価】入力不十分"&amp;CHAR(10),
IF(AND(AF48="○",AG48="◎",AH48="◎",AI48="○"),"【"&amp;AK48&amp;"行目】【整備区分】未入力、【補助対象区分】未入力"&amp;CHAR(10),
IF(AND(AF48="○",AG48="◎",AH48="◎",AI48="◎"),"【"&amp;AK48&amp;"行目】【整備区分】未入力"&amp;CHAR(10),
IF(AND(AF48="×",AG48="○",AH48="○",AI48="○"),"【"&amp;AK48&amp;"行目】【整備区分】入力不十分、【規格・数量】未入力、【単価】未入力、【補助対象区分】未入力"&amp;CHAR(10),
IF(AND(AF48="×",AG48="○",AH48="○",AI48="◎"),"【"&amp;AK48&amp;"行目】【整備区分】入力不十分、【規格・数量】未入力、【単価】未入力"&amp;CHAR(10),
IF(AND(AF48="×",AG48="○",AH48="×",AI48="○"),"【"&amp;AK48&amp;"行目】【整備区分】入力不十分、【規格・数量】未入力、【単価】入力不十分、【補助対象区分】未入力"&amp;CHAR(10),
IF(AND(AF48="×",AG48="○",AH48="×",AI48="◎"),"【"&amp;AK48&amp;"行目】【整備区分】入力不十分、【規格・数量】未入力、【単価】入力不十分"&amp;CHAR(10),
IF(AND(AF48="×",AG48="○",AH48="◎",AI48="○"),"【"&amp;AK48&amp;"行目】【整備区分】入力不十分、【規格・数量】未入力、【補助対象区分】未入力"&amp;CHAR(10),
IF(AND(AF48="×",AG48="○",AH48="◎",AI48="◎"),"【"&amp;AK48&amp;"行目】【整備区分】入力不十分、【規格・数量】未入力"&amp;CHAR(10),
IF(AND(AF48="×",AG48="×",AH48="○",AI48="○"),"【"&amp;AK48&amp;"行目】【整備区分】入力不十分、【規格・数量】入力不十分、【単価】未入力、【補助対象区分】未入力"&amp;CHAR(10),
IF(AND(AF48="×",AG48="×",AH48="○",AI48="◎"),"【"&amp;AK48&amp;"行目】【整備区分】入力不十分、【規格・数量】入力不十分、【単価】未入力"&amp;CHAR(10),
IF(AND(AF48="×",AG48="×",AH48="×",AI48="○"),"【"&amp;AK48&amp;"行目】【整備区分】入力不十分、【規格・数量】入力不十分、【単価】入力不十分、【補助対象区分】未入力"&amp;CHAR(10),
IF(AND(AF48="×",AG48="×",AH48="×",AI48="◎"),"【"&amp;AK48&amp;"行目】【整備区分】入力不十分、【規格・数量】入力不十分、【単価】入力不十分"&amp;CHAR(10),
IF(AND(AF48="×",AG48="×",AH48="◎",AI48="○"),"【"&amp;AK48&amp;"行目】【整備区分】入力不十分、【規格・数量】入力不十分、【補助対象区分】未入力"&amp;CHAR(10),
IF(AND(AF48="×",AG48="×",AH48="◎",AI48="◎"),"【"&amp;AK48&amp;"行目】【整備区分】入力不十分、【規格・数量】入力不十分"&amp;CHAR(10),
IF(AND(AF48="×",AG48="◎",AH48="○",AI48="○"),"【"&amp;AK48&amp;"行目】【整備区分】入力不十分、【単価】未入力、【補助対象区分】未入力"&amp;CHAR(10),
IF(AND(AF48="×",AG48="◎",AH48="○",AI48="◎"),"【"&amp;AK48&amp;"行目】【整備区分】入力不十分、【単価】未入力"&amp;CHAR(10),
IF(AND(AF48="×",AG48="◎",AH48="×",AI48="○"),"【"&amp;AK48&amp;"行目】【整備区分】入力不十分、【単価】入力不十分、【補助対象区分】未入力"&amp;CHAR(10),
IF(AND(AF48="×",AG48="◎",AH48="×",AI48="◎"),"【"&amp;AK48&amp;"行目】【整備区分】入力不十分、【単価】入力不十分"&amp;CHAR(10),
IF(AND(AF48="×",AG48="◎",AH48="◎",AI48="○"),"【"&amp;AK48&amp;"行目】【整備区分】入力不十分、【補助対象区分】未入力"&amp;CHAR(10),
IF(AND(AF48="×",AG48="◎",AH48="◎",AI48="◎"),"【"&amp;AK48&amp;"行目】【整備区分】入力不十分"&amp;CHAR(10),
IF(AND(AF48="◎",AG48="○",AH48="○",AI48="○"),"【"&amp;AK48&amp;"行目】【規格・数量】未入力、【単価】未入力、【補助対象区分】未入力"&amp;CHAR(10),
IF(AND(AF48="◎",AG48="○",AH48="○",AI48="◎"),"【"&amp;AK48&amp;"行目】【規格・数量】未入力、【単価】未入力"&amp;CHAR(10),
IF(AND(AF48="◎",AG48="○",AH48="×",AI48="○"),"【"&amp;AK48&amp;"行目】【規格・数量】未入力、【単価】入力不十分、【補助対象区分】未入力"&amp;CHAR(10),
IF(AND(AF48="◎",AG48="○",AH48="×",AI48="◎"),"【"&amp;AK48&amp;"行目】【規格・数量】未入力、【単価】入力不十分"&amp;CHAR(10),
IF(AND(AF48="◎",AG48="○",AH48="◎",AI48="○"),"【"&amp;AK48&amp;"行目】【規格・数量】未入力、【補助対象区分】未入力"&amp;CHAR(10),
IF(AND(AF48="◎",AG48="○",AH48="◎",AI48="◎"),"【"&amp;AK48&amp;"行目】【規格・数量】未入力"&amp;CHAR(10),
IF(AND(AF48="◎",AG48="×",AH48="○",AI48="○"),"【"&amp;AK48&amp;"行目】【規格・数量】入力不十分、【単価】未入力、【補助対象区分】未入力"&amp;CHAR(10),
IF(AND(AF48="◎",AG48="×",AH48="○",AI48="◎"),"【"&amp;AK48&amp;"行目】【規格・数量】入力不十分、【単価】未入力"&amp;CHAR(10),
IF(AND(AF48="◎",AG48="×",AH48="×",AI48="○"),"【"&amp;AK48&amp;"行目】【規格・数量】入力不十分、【単価】入力不十分、【補助対象区分】未入力"&amp;CHAR(10),
IF(AND(AF48="◎",AG48="×",AH48="×",AI48="◎"),"【"&amp;AK48&amp;"行目】【規格・数量】入力不十分、【単価】入力不十分"&amp;CHAR(10),
IF(AND(AF48="◎",AG48="×",AH48="◎",AI48="○"),"【"&amp;AK48&amp;"行目】【規格・数量】入力不十分、【補助対象区分】未入力"&amp;CHAR(10),
IF(AND(AF48="◎",AG48="×",AH48="◎",AI48="◎"),"【"&amp;AK48&amp;"行目】【規格・数量】入力不十分"&amp;CHAR(10),
IF(AND(AF48="◎",AG48="◎",AH48="○",AI48="○"),"【"&amp;AK48&amp;"行目】【単価】未入力、【補助対象区分】未入力"&amp;CHAR(10),
IF(AND(AF48="◎",AG48="◎",AH48="○",AI48="◎"),"【"&amp;AK48&amp;"行目】【単価】未入力"&amp;CHAR(10),
IF(AND(AF48="◎",AG48="◎",AH48="×",AI48="○"),"【"&amp;AK48&amp;"行目】【単価】入力不十分、【補助対象区分】未入力"&amp;CHAR(10),
IF(AND(AF48="◎",AG48="◎",AH48="×",AI48="◎"),"【"&amp;AK48&amp;"行目】【単価】入力不十分"&amp;CHAR(10),
IF(AND(AF48="◎",AG48="◎",AH48="◎",AI48="○"),"【"&amp;AK48&amp;"行目】【補助対象区分】未入力"&amp;CHAR(10),
IF(AND(AF48="◎",AG48="◎",AH48="◎",AI48="◎"),"",
))))))))))))))))))))))))))))))))))))))))))))))))))))))</f>
        <v/>
      </c>
      <c r="AK48" s="52">
        <v>33</v>
      </c>
    </row>
    <row r="49" spans="1:37" ht="24.95" customHeight="1">
      <c r="A49" s="38">
        <v>34</v>
      </c>
      <c r="B49" s="832"/>
      <c r="C49" s="827"/>
      <c r="D49" s="826"/>
      <c r="E49" s="827"/>
      <c r="F49" s="315"/>
      <c r="G49" s="316"/>
      <c r="H49" s="316"/>
      <c r="I49" s="45">
        <f t="shared" si="2"/>
        <v>0</v>
      </c>
      <c r="J49" s="317"/>
      <c r="K49" s="45">
        <f t="shared" si="3"/>
        <v>0</v>
      </c>
      <c r="L49" s="44" t="str">
        <f>IF(AD49="◎",COUNTIF($AD$16:AD49,"◎"),"")</f>
        <v/>
      </c>
      <c r="W49" s="234" t="str">
        <f>IF(B49="既設病床",はじめに入力してください!$K$12,IF(B49="新設病床",はじめに入力してください!$K$13,IF(B49="共通使用",1,"")))</f>
        <v/>
      </c>
      <c r="AC49" s="49" t="s">
        <v>69</v>
      </c>
      <c r="AD49" s="239" t="str">
        <f t="shared" si="4"/>
        <v>○</v>
      </c>
      <c r="AE49" s="35" t="str">
        <f t="shared" si="9"/>
        <v>申請しない場合は入力不要です。</v>
      </c>
      <c r="AF49" s="240" t="str">
        <f t="shared" si="5"/>
        <v>○</v>
      </c>
      <c r="AG49" s="240" t="str">
        <f t="shared" si="6"/>
        <v>○</v>
      </c>
      <c r="AH49" s="240" t="str">
        <f t="shared" si="7"/>
        <v>○</v>
      </c>
      <c r="AI49" s="239" t="str">
        <f t="shared" si="8"/>
        <v>○</v>
      </c>
      <c r="AJ49" s="14" t="str">
        <f t="shared" si="10"/>
        <v/>
      </c>
      <c r="AK49" s="52">
        <v>34</v>
      </c>
    </row>
    <row r="50" spans="1:37" ht="24.95" customHeight="1">
      <c r="A50" s="38">
        <v>35</v>
      </c>
      <c r="B50" s="832"/>
      <c r="C50" s="827"/>
      <c r="D50" s="826"/>
      <c r="E50" s="827"/>
      <c r="F50" s="315"/>
      <c r="G50" s="316"/>
      <c r="H50" s="316"/>
      <c r="I50" s="45">
        <f t="shared" si="2"/>
        <v>0</v>
      </c>
      <c r="J50" s="317"/>
      <c r="K50" s="45">
        <f t="shared" si="3"/>
        <v>0</v>
      </c>
      <c r="L50" s="44" t="str">
        <f>IF(AD50="◎",COUNTIF($AD$16:AD50,"◎"),"")</f>
        <v/>
      </c>
      <c r="W50" s="234" t="str">
        <f>IF(B50="既設病床",はじめに入力してください!$K$12,IF(B50="新設病床",はじめに入力してください!$K$13,IF(B50="共通使用",1,"")))</f>
        <v/>
      </c>
      <c r="AC50" s="49" t="s">
        <v>69</v>
      </c>
      <c r="AD50" s="239" t="str">
        <f t="shared" si="4"/>
        <v>○</v>
      </c>
      <c r="AE50" s="35" t="str">
        <f t="shared" si="9"/>
        <v>申請しない場合は入力不要です。</v>
      </c>
      <c r="AF50" s="240" t="str">
        <f t="shared" si="5"/>
        <v>○</v>
      </c>
      <c r="AG50" s="240" t="str">
        <f t="shared" si="6"/>
        <v>○</v>
      </c>
      <c r="AH50" s="240" t="str">
        <f t="shared" si="7"/>
        <v>○</v>
      </c>
      <c r="AI50" s="239" t="str">
        <f t="shared" si="8"/>
        <v>○</v>
      </c>
      <c r="AJ50" s="14" t="str">
        <f t="shared" si="10"/>
        <v/>
      </c>
      <c r="AK50" s="52">
        <v>35</v>
      </c>
    </row>
    <row r="51" spans="1:37" ht="24.95" customHeight="1">
      <c r="A51" s="38">
        <v>36</v>
      </c>
      <c r="B51" s="832"/>
      <c r="C51" s="827"/>
      <c r="D51" s="826"/>
      <c r="E51" s="827"/>
      <c r="F51" s="315"/>
      <c r="G51" s="316"/>
      <c r="H51" s="316"/>
      <c r="I51" s="45">
        <f t="shared" si="2"/>
        <v>0</v>
      </c>
      <c r="J51" s="317"/>
      <c r="K51" s="45">
        <f t="shared" si="3"/>
        <v>0</v>
      </c>
      <c r="L51" s="44" t="str">
        <f>IF(AD51="◎",COUNTIF($AD$16:AD51,"◎"),"")</f>
        <v/>
      </c>
      <c r="W51" s="234" t="str">
        <f>IF(B51="既設病床",はじめに入力してください!$K$12,IF(B51="新設病床",はじめに入力してください!$K$13,IF(B51="共通使用",1,"")))</f>
        <v/>
      </c>
      <c r="AC51" s="49" t="s">
        <v>69</v>
      </c>
      <c r="AD51" s="239" t="str">
        <f t="shared" si="4"/>
        <v>○</v>
      </c>
      <c r="AE51" s="35" t="str">
        <f t="shared" si="9"/>
        <v>申請しない場合は入力不要です。</v>
      </c>
      <c r="AF51" s="240" t="str">
        <f t="shared" si="5"/>
        <v>○</v>
      </c>
      <c r="AG51" s="240" t="str">
        <f t="shared" si="6"/>
        <v>○</v>
      </c>
      <c r="AH51" s="240" t="str">
        <f t="shared" si="7"/>
        <v>○</v>
      </c>
      <c r="AI51" s="239" t="str">
        <f t="shared" si="8"/>
        <v>○</v>
      </c>
      <c r="AJ51" s="14" t="str">
        <f t="shared" si="10"/>
        <v/>
      </c>
      <c r="AK51" s="52">
        <v>36</v>
      </c>
    </row>
    <row r="52" spans="1:37" ht="24.95" customHeight="1">
      <c r="A52" s="38">
        <v>37</v>
      </c>
      <c r="B52" s="832"/>
      <c r="C52" s="827"/>
      <c r="D52" s="826"/>
      <c r="E52" s="827"/>
      <c r="F52" s="315"/>
      <c r="G52" s="316"/>
      <c r="H52" s="316"/>
      <c r="I52" s="45">
        <f t="shared" si="2"/>
        <v>0</v>
      </c>
      <c r="J52" s="317"/>
      <c r="K52" s="45">
        <f t="shared" si="3"/>
        <v>0</v>
      </c>
      <c r="L52" s="44" t="str">
        <f>IF(AD52="◎",COUNTIF($AD$16:AD52,"◎"),"")</f>
        <v/>
      </c>
      <c r="W52" s="234" t="str">
        <f>IF(B52="既設病床",はじめに入力してください!$K$12,IF(B52="新設病床",はじめに入力してください!$K$13,IF(B52="共通使用",1,"")))</f>
        <v/>
      </c>
      <c r="AC52" s="49" t="s">
        <v>69</v>
      </c>
      <c r="AD52" s="239" t="str">
        <f t="shared" si="4"/>
        <v>○</v>
      </c>
      <c r="AE52" s="35" t="str">
        <f t="shared" si="9"/>
        <v>申請しない場合は入力不要です。</v>
      </c>
      <c r="AF52" s="240" t="str">
        <f t="shared" si="5"/>
        <v>○</v>
      </c>
      <c r="AG52" s="240" t="str">
        <f t="shared" si="6"/>
        <v>○</v>
      </c>
      <c r="AH52" s="240" t="str">
        <f t="shared" si="7"/>
        <v>○</v>
      </c>
      <c r="AI52" s="239" t="str">
        <f t="shared" si="8"/>
        <v>○</v>
      </c>
      <c r="AJ52" s="14" t="str">
        <f t="shared" si="10"/>
        <v/>
      </c>
      <c r="AK52" s="52">
        <v>37</v>
      </c>
    </row>
    <row r="53" spans="1:37" ht="24.95" customHeight="1">
      <c r="A53" s="38">
        <v>38</v>
      </c>
      <c r="B53" s="832"/>
      <c r="C53" s="827"/>
      <c r="D53" s="826"/>
      <c r="E53" s="827"/>
      <c r="F53" s="315"/>
      <c r="G53" s="316"/>
      <c r="H53" s="316"/>
      <c r="I53" s="45">
        <f t="shared" si="2"/>
        <v>0</v>
      </c>
      <c r="J53" s="317"/>
      <c r="K53" s="45">
        <f t="shared" si="3"/>
        <v>0</v>
      </c>
      <c r="L53" s="44" t="str">
        <f>IF(AD53="◎",COUNTIF($AD$16:AD53,"◎"),"")</f>
        <v/>
      </c>
      <c r="W53" s="234" t="str">
        <f>IF(B53="既設病床",はじめに入力してください!$K$12,IF(B53="新設病床",はじめに入力してください!$K$13,IF(B53="共通使用",1,"")))</f>
        <v/>
      </c>
      <c r="AC53" s="49" t="s">
        <v>69</v>
      </c>
      <c r="AD53" s="239" t="str">
        <f t="shared" si="4"/>
        <v>○</v>
      </c>
      <c r="AE53" s="35" t="str">
        <f t="shared" si="9"/>
        <v>申請しない場合は入力不要です。</v>
      </c>
      <c r="AF53" s="240" t="str">
        <f t="shared" si="5"/>
        <v>○</v>
      </c>
      <c r="AG53" s="240" t="str">
        <f t="shared" si="6"/>
        <v>○</v>
      </c>
      <c r="AH53" s="240" t="str">
        <f t="shared" si="7"/>
        <v>○</v>
      </c>
      <c r="AI53" s="239" t="str">
        <f t="shared" si="8"/>
        <v>○</v>
      </c>
      <c r="AJ53" s="14" t="str">
        <f t="shared" si="10"/>
        <v/>
      </c>
      <c r="AK53" s="52">
        <v>38</v>
      </c>
    </row>
    <row r="54" spans="1:37" ht="24.95" customHeight="1">
      <c r="A54" s="38">
        <v>39</v>
      </c>
      <c r="B54" s="832"/>
      <c r="C54" s="827"/>
      <c r="D54" s="826"/>
      <c r="E54" s="827"/>
      <c r="F54" s="315"/>
      <c r="G54" s="316"/>
      <c r="H54" s="316"/>
      <c r="I54" s="45">
        <f t="shared" si="2"/>
        <v>0</v>
      </c>
      <c r="J54" s="317"/>
      <c r="K54" s="45">
        <f t="shared" si="3"/>
        <v>0</v>
      </c>
      <c r="L54" s="44" t="str">
        <f>IF(AD54="◎",COUNTIF($AD$16:AD54,"◎"),"")</f>
        <v/>
      </c>
      <c r="W54" s="234" t="str">
        <f>IF(B54="既設病床",はじめに入力してください!$K$12,IF(B54="新設病床",はじめに入力してください!$K$13,IF(B54="共通使用",1,"")))</f>
        <v/>
      </c>
      <c r="AC54" s="49" t="s">
        <v>69</v>
      </c>
      <c r="AD54" s="239" t="str">
        <f t="shared" si="4"/>
        <v>○</v>
      </c>
      <c r="AE54" s="35" t="str">
        <f t="shared" si="9"/>
        <v>申請しない場合は入力不要です。</v>
      </c>
      <c r="AF54" s="240" t="str">
        <f t="shared" si="5"/>
        <v>○</v>
      </c>
      <c r="AG54" s="240" t="str">
        <f t="shared" si="6"/>
        <v>○</v>
      </c>
      <c r="AH54" s="240" t="str">
        <f t="shared" si="7"/>
        <v>○</v>
      </c>
      <c r="AI54" s="239" t="str">
        <f t="shared" si="8"/>
        <v>○</v>
      </c>
      <c r="AJ54" s="14" t="str">
        <f t="shared" si="10"/>
        <v/>
      </c>
      <c r="AK54" s="52">
        <v>39</v>
      </c>
    </row>
    <row r="55" spans="1:37" ht="24.95" customHeight="1">
      <c r="A55" s="38">
        <v>40</v>
      </c>
      <c r="B55" s="832"/>
      <c r="C55" s="827"/>
      <c r="D55" s="826"/>
      <c r="E55" s="827"/>
      <c r="F55" s="315"/>
      <c r="G55" s="316"/>
      <c r="H55" s="316"/>
      <c r="I55" s="45">
        <f t="shared" si="2"/>
        <v>0</v>
      </c>
      <c r="J55" s="317"/>
      <c r="K55" s="45">
        <f t="shared" si="3"/>
        <v>0</v>
      </c>
      <c r="L55" s="44" t="str">
        <f>IF(AD55="◎",COUNTIF($AD$16:AD55,"◎"),"")</f>
        <v/>
      </c>
      <c r="W55" s="234" t="str">
        <f>IF(B55="既設病床",はじめに入力してください!$K$12,IF(B55="新設病床",はじめに入力してください!$K$13,IF(B55="共通使用",1,"")))</f>
        <v/>
      </c>
      <c r="AC55" s="49" t="s">
        <v>69</v>
      </c>
      <c r="AD55" s="239" t="str">
        <f t="shared" si="4"/>
        <v>○</v>
      </c>
      <c r="AE55" s="35" t="str">
        <f t="shared" si="9"/>
        <v>申請しない場合は入力不要です。</v>
      </c>
      <c r="AF55" s="240" t="str">
        <f t="shared" si="5"/>
        <v>○</v>
      </c>
      <c r="AG55" s="240" t="str">
        <f t="shared" si="6"/>
        <v>○</v>
      </c>
      <c r="AH55" s="240" t="str">
        <f t="shared" si="7"/>
        <v>○</v>
      </c>
      <c r="AI55" s="239" t="str">
        <f t="shared" si="8"/>
        <v>○</v>
      </c>
      <c r="AJ55" s="14" t="str">
        <f t="shared" si="10"/>
        <v/>
      </c>
      <c r="AK55" s="52">
        <v>40</v>
      </c>
    </row>
    <row r="56" spans="1:37" ht="24.95" customHeight="1">
      <c r="A56" s="38">
        <v>41</v>
      </c>
      <c r="B56" s="832"/>
      <c r="C56" s="827"/>
      <c r="D56" s="826"/>
      <c r="E56" s="827"/>
      <c r="F56" s="315"/>
      <c r="G56" s="316"/>
      <c r="H56" s="316"/>
      <c r="I56" s="45">
        <f t="shared" si="2"/>
        <v>0</v>
      </c>
      <c r="J56" s="317"/>
      <c r="K56" s="45">
        <f t="shared" si="3"/>
        <v>0</v>
      </c>
      <c r="L56" s="44" t="str">
        <f>IF(AD56="◎",COUNTIF($AD$16:AD56,"◎"),"")</f>
        <v/>
      </c>
      <c r="W56" s="234" t="str">
        <f>IF(B56="既設病床",はじめに入力してください!$K$12,IF(B56="新設病床",はじめに入力してください!$K$13,IF(B56="共通使用",1,"")))</f>
        <v/>
      </c>
      <c r="AC56" s="49" t="s">
        <v>69</v>
      </c>
      <c r="AD56" s="239" t="str">
        <f t="shared" si="4"/>
        <v>○</v>
      </c>
      <c r="AE56" s="35" t="str">
        <f t="shared" si="9"/>
        <v>申請しない場合は入力不要です。</v>
      </c>
      <c r="AF56" s="240" t="str">
        <f t="shared" si="5"/>
        <v>○</v>
      </c>
      <c r="AG56" s="240" t="str">
        <f t="shared" si="6"/>
        <v>○</v>
      </c>
      <c r="AH56" s="240" t="str">
        <f t="shared" si="7"/>
        <v>○</v>
      </c>
      <c r="AI56" s="239" t="str">
        <f t="shared" si="8"/>
        <v>○</v>
      </c>
      <c r="AJ56" s="14" t="str">
        <f t="shared" si="10"/>
        <v/>
      </c>
      <c r="AK56" s="52">
        <v>41</v>
      </c>
    </row>
    <row r="57" spans="1:37" ht="24.95" customHeight="1">
      <c r="A57" s="38">
        <v>42</v>
      </c>
      <c r="B57" s="832"/>
      <c r="C57" s="827"/>
      <c r="D57" s="826"/>
      <c r="E57" s="827"/>
      <c r="F57" s="315"/>
      <c r="G57" s="316"/>
      <c r="H57" s="316"/>
      <c r="I57" s="45">
        <f t="shared" si="2"/>
        <v>0</v>
      </c>
      <c r="J57" s="317"/>
      <c r="K57" s="45">
        <f t="shared" si="3"/>
        <v>0</v>
      </c>
      <c r="L57" s="44" t="str">
        <f>IF(AD57="◎",COUNTIF($AD$16:AD57,"◎"),"")</f>
        <v/>
      </c>
      <c r="W57" s="234" t="str">
        <f>IF(B57="既設病床",はじめに入力してください!$K$12,IF(B57="新設病床",はじめに入力してください!$K$13,IF(B57="共通使用",1,"")))</f>
        <v/>
      </c>
      <c r="AC57" s="49" t="s">
        <v>69</v>
      </c>
      <c r="AD57" s="239" t="str">
        <f t="shared" si="4"/>
        <v>○</v>
      </c>
      <c r="AE57" s="35" t="str">
        <f t="shared" si="9"/>
        <v>申請しない場合は入力不要です。</v>
      </c>
      <c r="AF57" s="240" t="str">
        <f t="shared" si="5"/>
        <v>○</v>
      </c>
      <c r="AG57" s="240" t="str">
        <f t="shared" si="6"/>
        <v>○</v>
      </c>
      <c r="AH57" s="240" t="str">
        <f t="shared" si="7"/>
        <v>○</v>
      </c>
      <c r="AI57" s="239" t="str">
        <f t="shared" si="8"/>
        <v>○</v>
      </c>
      <c r="AJ57" s="14" t="str">
        <f t="shared" si="10"/>
        <v/>
      </c>
      <c r="AK57" s="52">
        <v>42</v>
      </c>
    </row>
    <row r="58" spans="1:37" ht="24.95" customHeight="1">
      <c r="A58" s="38">
        <v>43</v>
      </c>
      <c r="B58" s="832"/>
      <c r="C58" s="827"/>
      <c r="D58" s="826"/>
      <c r="E58" s="827"/>
      <c r="F58" s="315"/>
      <c r="G58" s="316"/>
      <c r="H58" s="316"/>
      <c r="I58" s="45">
        <f t="shared" si="2"/>
        <v>0</v>
      </c>
      <c r="J58" s="317"/>
      <c r="K58" s="45">
        <f t="shared" si="3"/>
        <v>0</v>
      </c>
      <c r="L58" s="44" t="str">
        <f>IF(AD58="◎",COUNTIF($AD$16:AD58,"◎"),"")</f>
        <v/>
      </c>
      <c r="W58" s="234" t="str">
        <f>IF(B58="既設病床",はじめに入力してください!$K$12,IF(B58="新設病床",はじめに入力してください!$K$13,IF(B58="共通使用",1,"")))</f>
        <v/>
      </c>
      <c r="AC58" s="49" t="s">
        <v>69</v>
      </c>
      <c r="AD58" s="239" t="str">
        <f t="shared" si="4"/>
        <v>○</v>
      </c>
      <c r="AE58" s="35" t="str">
        <f t="shared" si="9"/>
        <v>申請しない場合は入力不要です。</v>
      </c>
      <c r="AF58" s="240" t="str">
        <f t="shared" si="5"/>
        <v>○</v>
      </c>
      <c r="AG58" s="240" t="str">
        <f t="shared" si="6"/>
        <v>○</v>
      </c>
      <c r="AH58" s="240" t="str">
        <f t="shared" si="7"/>
        <v>○</v>
      </c>
      <c r="AI58" s="239" t="str">
        <f t="shared" si="8"/>
        <v>○</v>
      </c>
      <c r="AJ58" s="14" t="str">
        <f t="shared" si="10"/>
        <v/>
      </c>
      <c r="AK58" s="52">
        <v>43</v>
      </c>
    </row>
    <row r="59" spans="1:37" ht="24.95" customHeight="1">
      <c r="A59" s="38">
        <v>44</v>
      </c>
      <c r="B59" s="832"/>
      <c r="C59" s="827"/>
      <c r="D59" s="826"/>
      <c r="E59" s="827"/>
      <c r="F59" s="315"/>
      <c r="G59" s="316"/>
      <c r="H59" s="316"/>
      <c r="I59" s="45">
        <f t="shared" si="2"/>
        <v>0</v>
      </c>
      <c r="J59" s="317"/>
      <c r="K59" s="45">
        <f t="shared" si="3"/>
        <v>0</v>
      </c>
      <c r="L59" s="44" t="str">
        <f>IF(AD59="◎",COUNTIF($AD$16:AD59,"◎"),"")</f>
        <v/>
      </c>
      <c r="W59" s="234" t="str">
        <f>IF(B59="既設病床",はじめに入力してください!$K$12,IF(B59="新設病床",はじめに入力してください!$K$13,IF(B59="共通使用",1,"")))</f>
        <v/>
      </c>
      <c r="AC59" s="49" t="s">
        <v>69</v>
      </c>
      <c r="AD59" s="239" t="str">
        <f t="shared" si="4"/>
        <v>○</v>
      </c>
      <c r="AE59" s="35" t="str">
        <f t="shared" si="9"/>
        <v>申請しない場合は入力不要です。</v>
      </c>
      <c r="AF59" s="240" t="str">
        <f t="shared" si="5"/>
        <v>○</v>
      </c>
      <c r="AG59" s="240" t="str">
        <f t="shared" si="6"/>
        <v>○</v>
      </c>
      <c r="AH59" s="240" t="str">
        <f t="shared" si="7"/>
        <v>○</v>
      </c>
      <c r="AI59" s="239" t="str">
        <f t="shared" si="8"/>
        <v>○</v>
      </c>
      <c r="AJ59" s="14" t="str">
        <f t="shared" si="10"/>
        <v/>
      </c>
      <c r="AK59" s="52">
        <v>44</v>
      </c>
    </row>
    <row r="60" spans="1:37" ht="24.95" customHeight="1">
      <c r="A60" s="38">
        <v>45</v>
      </c>
      <c r="B60" s="832"/>
      <c r="C60" s="827"/>
      <c r="D60" s="826"/>
      <c r="E60" s="827"/>
      <c r="F60" s="315"/>
      <c r="G60" s="316"/>
      <c r="H60" s="316"/>
      <c r="I60" s="45">
        <f t="shared" si="2"/>
        <v>0</v>
      </c>
      <c r="J60" s="317"/>
      <c r="K60" s="45">
        <f t="shared" si="3"/>
        <v>0</v>
      </c>
      <c r="L60" s="44" t="str">
        <f>IF(AD60="◎",COUNTIF($AD$16:AD60,"◎"),"")</f>
        <v/>
      </c>
      <c r="W60" s="234" t="str">
        <f>IF(B60="既設病床",はじめに入力してください!$K$12,IF(B60="新設病床",はじめに入力してください!$K$13,IF(B60="共通使用",1,"")))</f>
        <v/>
      </c>
      <c r="AC60" s="49" t="s">
        <v>69</v>
      </c>
      <c r="AD60" s="239" t="str">
        <f t="shared" si="4"/>
        <v>○</v>
      </c>
      <c r="AE60" s="35" t="str">
        <f t="shared" si="9"/>
        <v>申請しない場合は入力不要です。</v>
      </c>
      <c r="AF60" s="240" t="str">
        <f t="shared" si="5"/>
        <v>○</v>
      </c>
      <c r="AG60" s="240" t="str">
        <f t="shared" si="6"/>
        <v>○</v>
      </c>
      <c r="AH60" s="240" t="str">
        <f t="shared" si="7"/>
        <v>○</v>
      </c>
      <c r="AI60" s="239" t="str">
        <f t="shared" si="8"/>
        <v>○</v>
      </c>
      <c r="AJ60" s="14" t="str">
        <f t="shared" si="10"/>
        <v/>
      </c>
      <c r="AK60" s="52">
        <v>45</v>
      </c>
    </row>
    <row r="61" spans="1:37" ht="24.95" customHeight="1">
      <c r="A61" s="38">
        <v>46</v>
      </c>
      <c r="B61" s="832"/>
      <c r="C61" s="827"/>
      <c r="D61" s="826"/>
      <c r="E61" s="827"/>
      <c r="F61" s="315"/>
      <c r="G61" s="316"/>
      <c r="H61" s="316"/>
      <c r="I61" s="45">
        <f t="shared" si="2"/>
        <v>0</v>
      </c>
      <c r="J61" s="317"/>
      <c r="K61" s="45">
        <f t="shared" si="3"/>
        <v>0</v>
      </c>
      <c r="L61" s="44" t="str">
        <f>IF(AD61="◎",COUNTIF($AD$16:AD61,"◎"),"")</f>
        <v/>
      </c>
      <c r="W61" s="234" t="str">
        <f>IF(B61="既設病床",はじめに入力してください!$K$12,IF(B61="新設病床",はじめに入力してください!$K$13,IF(B61="共通使用",1,"")))</f>
        <v/>
      </c>
      <c r="AC61" s="49" t="s">
        <v>69</v>
      </c>
      <c r="AD61" s="239" t="str">
        <f t="shared" si="4"/>
        <v>○</v>
      </c>
      <c r="AE61" s="35" t="str">
        <f t="shared" si="9"/>
        <v>申請しない場合は入力不要です。</v>
      </c>
      <c r="AF61" s="240" t="str">
        <f t="shared" si="5"/>
        <v>○</v>
      </c>
      <c r="AG61" s="240" t="str">
        <f t="shared" si="6"/>
        <v>○</v>
      </c>
      <c r="AH61" s="240" t="str">
        <f t="shared" si="7"/>
        <v>○</v>
      </c>
      <c r="AI61" s="239" t="str">
        <f t="shared" si="8"/>
        <v>○</v>
      </c>
      <c r="AJ61" s="14" t="str">
        <f t="shared" si="10"/>
        <v/>
      </c>
      <c r="AK61" s="52">
        <v>46</v>
      </c>
    </row>
    <row r="62" spans="1:37" ht="24.95" customHeight="1">
      <c r="A62" s="38">
        <v>47</v>
      </c>
      <c r="B62" s="832"/>
      <c r="C62" s="827"/>
      <c r="D62" s="826"/>
      <c r="E62" s="827"/>
      <c r="F62" s="315"/>
      <c r="G62" s="316"/>
      <c r="H62" s="316"/>
      <c r="I62" s="45">
        <f t="shared" si="2"/>
        <v>0</v>
      </c>
      <c r="J62" s="317"/>
      <c r="K62" s="45">
        <f t="shared" si="3"/>
        <v>0</v>
      </c>
      <c r="L62" s="44" t="str">
        <f>IF(AD62="◎",COUNTIF($AD$16:AD62,"◎"),"")</f>
        <v/>
      </c>
      <c r="W62" s="234" t="str">
        <f>IF(B62="既設病床",はじめに入力してください!$K$12,IF(B62="新設病床",はじめに入力してください!$K$13,IF(B62="共通使用",1,"")))</f>
        <v/>
      </c>
      <c r="AC62" s="49" t="s">
        <v>69</v>
      </c>
      <c r="AD62" s="239" t="str">
        <f t="shared" si="4"/>
        <v>○</v>
      </c>
      <c r="AE62" s="35" t="str">
        <f t="shared" si="9"/>
        <v>申請しない場合は入力不要です。</v>
      </c>
      <c r="AF62" s="240" t="str">
        <f t="shared" si="5"/>
        <v>○</v>
      </c>
      <c r="AG62" s="240" t="str">
        <f t="shared" si="6"/>
        <v>○</v>
      </c>
      <c r="AH62" s="240" t="str">
        <f t="shared" si="7"/>
        <v>○</v>
      </c>
      <c r="AI62" s="239" t="str">
        <f t="shared" si="8"/>
        <v>○</v>
      </c>
      <c r="AJ62" s="14" t="str">
        <f t="shared" si="10"/>
        <v/>
      </c>
      <c r="AK62" s="52">
        <v>47</v>
      </c>
    </row>
    <row r="63" spans="1:37" ht="24.95" customHeight="1">
      <c r="A63" s="38">
        <v>48</v>
      </c>
      <c r="B63" s="832"/>
      <c r="C63" s="827"/>
      <c r="D63" s="826"/>
      <c r="E63" s="827"/>
      <c r="F63" s="315"/>
      <c r="G63" s="316"/>
      <c r="H63" s="316"/>
      <c r="I63" s="45">
        <f t="shared" si="2"/>
        <v>0</v>
      </c>
      <c r="J63" s="317"/>
      <c r="K63" s="45">
        <f t="shared" si="3"/>
        <v>0</v>
      </c>
      <c r="L63" s="44" t="str">
        <f>IF(AD63="◎",COUNTIF($AD$16:AD63,"◎"),"")</f>
        <v/>
      </c>
      <c r="W63" s="234" t="str">
        <f>IF(B63="既設病床",はじめに入力してください!$K$12,IF(B63="新設病床",はじめに入力してください!$K$13,IF(B63="共通使用",1,"")))</f>
        <v/>
      </c>
      <c r="AC63" s="49" t="s">
        <v>69</v>
      </c>
      <c r="AD63" s="239" t="str">
        <f t="shared" si="4"/>
        <v>○</v>
      </c>
      <c r="AE63" s="35" t="str">
        <f t="shared" si="9"/>
        <v>申請しない場合は入力不要です。</v>
      </c>
      <c r="AF63" s="240" t="str">
        <f t="shared" si="5"/>
        <v>○</v>
      </c>
      <c r="AG63" s="240" t="str">
        <f t="shared" si="6"/>
        <v>○</v>
      </c>
      <c r="AH63" s="240" t="str">
        <f t="shared" si="7"/>
        <v>○</v>
      </c>
      <c r="AI63" s="239" t="str">
        <f t="shared" si="8"/>
        <v>○</v>
      </c>
      <c r="AJ63" s="14" t="str">
        <f t="shared" si="10"/>
        <v/>
      </c>
      <c r="AK63" s="52">
        <v>48</v>
      </c>
    </row>
    <row r="64" spans="1:37" ht="24.95" customHeight="1">
      <c r="A64" s="38">
        <v>49</v>
      </c>
      <c r="B64" s="832"/>
      <c r="C64" s="827"/>
      <c r="D64" s="826"/>
      <c r="E64" s="827"/>
      <c r="F64" s="315"/>
      <c r="G64" s="316"/>
      <c r="H64" s="316"/>
      <c r="I64" s="45">
        <f t="shared" si="2"/>
        <v>0</v>
      </c>
      <c r="J64" s="317"/>
      <c r="K64" s="45">
        <f t="shared" si="3"/>
        <v>0</v>
      </c>
      <c r="L64" s="44" t="str">
        <f>IF(AD64="◎",COUNTIF($AD$16:AD64,"◎"),"")</f>
        <v/>
      </c>
      <c r="W64" s="234" t="str">
        <f>IF(B64="既設病床",はじめに入力してください!$K$12,IF(B64="新設病床",はじめに入力してください!$K$13,IF(B64="共通使用",1,"")))</f>
        <v/>
      </c>
      <c r="AC64" s="49" t="s">
        <v>69</v>
      </c>
      <c r="AD64" s="239" t="str">
        <f t="shared" si="4"/>
        <v>○</v>
      </c>
      <c r="AE64" s="35" t="str">
        <f t="shared" si="9"/>
        <v>申請しない場合は入力不要です。</v>
      </c>
      <c r="AF64" s="240" t="str">
        <f t="shared" si="5"/>
        <v>○</v>
      </c>
      <c r="AG64" s="240" t="str">
        <f t="shared" si="6"/>
        <v>○</v>
      </c>
      <c r="AH64" s="240" t="str">
        <f t="shared" si="7"/>
        <v>○</v>
      </c>
      <c r="AI64" s="239" t="str">
        <f t="shared" si="8"/>
        <v>○</v>
      </c>
      <c r="AJ64" s="14" t="str">
        <f t="shared" si="10"/>
        <v/>
      </c>
      <c r="AK64" s="52">
        <v>49</v>
      </c>
    </row>
    <row r="65" spans="1:37" ht="24.95" customHeight="1">
      <c r="A65" s="38">
        <v>50</v>
      </c>
      <c r="B65" s="832"/>
      <c r="C65" s="827"/>
      <c r="D65" s="826"/>
      <c r="E65" s="827"/>
      <c r="F65" s="315"/>
      <c r="G65" s="316"/>
      <c r="H65" s="316"/>
      <c r="I65" s="45">
        <f t="shared" si="2"/>
        <v>0</v>
      </c>
      <c r="J65" s="317"/>
      <c r="K65" s="45">
        <f t="shared" si="3"/>
        <v>0</v>
      </c>
      <c r="L65" s="44" t="str">
        <f>IF(AD65="◎",COUNTIF($AD$16:AD65,"◎"),"")</f>
        <v/>
      </c>
      <c r="W65" s="234" t="str">
        <f>IF(B65="既設病床",はじめに入力してください!$K$12,IF(B65="新設病床",はじめに入力してください!$K$13,IF(B65="共通使用",1,"")))</f>
        <v/>
      </c>
      <c r="AC65" s="49" t="s">
        <v>69</v>
      </c>
      <c r="AD65" s="239" t="str">
        <f t="shared" si="4"/>
        <v>○</v>
      </c>
      <c r="AE65" s="35" t="str">
        <f t="shared" si="9"/>
        <v>申請しない場合は入力不要です。</v>
      </c>
      <c r="AF65" s="240" t="str">
        <f t="shared" si="5"/>
        <v>○</v>
      </c>
      <c r="AG65" s="240" t="str">
        <f t="shared" si="6"/>
        <v>○</v>
      </c>
      <c r="AH65" s="240" t="str">
        <f t="shared" si="7"/>
        <v>○</v>
      </c>
      <c r="AI65" s="239" t="str">
        <f t="shared" si="8"/>
        <v>○</v>
      </c>
      <c r="AJ65" s="14" t="str">
        <f t="shared" si="10"/>
        <v/>
      </c>
      <c r="AK65" s="52">
        <v>50</v>
      </c>
    </row>
    <row r="66" spans="1:37" ht="24.95" customHeight="1">
      <c r="A66" s="38">
        <v>51</v>
      </c>
      <c r="B66" s="832"/>
      <c r="C66" s="827"/>
      <c r="D66" s="826"/>
      <c r="E66" s="827"/>
      <c r="F66" s="315"/>
      <c r="G66" s="316"/>
      <c r="H66" s="316"/>
      <c r="I66" s="45">
        <f t="shared" si="2"/>
        <v>0</v>
      </c>
      <c r="J66" s="317"/>
      <c r="K66" s="45">
        <f t="shared" si="3"/>
        <v>0</v>
      </c>
      <c r="L66" s="44" t="str">
        <f>IF(AD66="◎",COUNTIF($AD$16:AD66,"◎"),"")</f>
        <v/>
      </c>
      <c r="W66" s="234" t="str">
        <f>IF(B66="既設病床",はじめに入力してください!$K$12,IF(B66="新設病床",はじめに入力してください!$K$13,IF(B66="共通使用",1,"")))</f>
        <v/>
      </c>
      <c r="AC66" s="49" t="s">
        <v>69</v>
      </c>
      <c r="AD66" s="239" t="str">
        <f t="shared" si="4"/>
        <v>○</v>
      </c>
      <c r="AE66" s="35" t="str">
        <f t="shared" si="9"/>
        <v>申請しない場合は入力不要です。</v>
      </c>
      <c r="AF66" s="240" t="str">
        <f t="shared" si="5"/>
        <v>○</v>
      </c>
      <c r="AG66" s="240" t="str">
        <f t="shared" si="6"/>
        <v>○</v>
      </c>
      <c r="AH66" s="240" t="str">
        <f t="shared" si="7"/>
        <v>○</v>
      </c>
      <c r="AI66" s="239" t="str">
        <f t="shared" si="8"/>
        <v>○</v>
      </c>
      <c r="AJ66" s="14" t="str">
        <f t="shared" si="10"/>
        <v/>
      </c>
      <c r="AK66" s="52">
        <v>51</v>
      </c>
    </row>
    <row r="67" spans="1:37" ht="24.95" customHeight="1">
      <c r="A67" s="38">
        <v>52</v>
      </c>
      <c r="B67" s="832"/>
      <c r="C67" s="827"/>
      <c r="D67" s="826"/>
      <c r="E67" s="827"/>
      <c r="F67" s="315"/>
      <c r="G67" s="316"/>
      <c r="H67" s="316"/>
      <c r="I67" s="45">
        <f t="shared" si="2"/>
        <v>0</v>
      </c>
      <c r="J67" s="317"/>
      <c r="K67" s="45">
        <f t="shared" si="3"/>
        <v>0</v>
      </c>
      <c r="L67" s="44" t="str">
        <f>IF(AD67="◎",COUNTIF($AD$16:AD67,"◎"),"")</f>
        <v/>
      </c>
      <c r="W67" s="234" t="str">
        <f>IF(B67="既設病床",はじめに入力してください!$K$12,IF(B67="新設病床",はじめに入力してください!$K$13,IF(B67="共通使用",1,"")))</f>
        <v/>
      </c>
      <c r="AC67" s="49" t="s">
        <v>69</v>
      </c>
      <c r="AD67" s="239" t="str">
        <f t="shared" si="4"/>
        <v>○</v>
      </c>
      <c r="AE67" s="35" t="str">
        <f t="shared" si="9"/>
        <v>申請しない場合は入力不要です。</v>
      </c>
      <c r="AF67" s="240" t="str">
        <f t="shared" si="5"/>
        <v>○</v>
      </c>
      <c r="AG67" s="240" t="str">
        <f t="shared" si="6"/>
        <v>○</v>
      </c>
      <c r="AH67" s="240" t="str">
        <f t="shared" si="7"/>
        <v>○</v>
      </c>
      <c r="AI67" s="239" t="str">
        <f t="shared" si="8"/>
        <v>○</v>
      </c>
      <c r="AJ67" s="14" t="str">
        <f t="shared" si="10"/>
        <v/>
      </c>
      <c r="AK67" s="52">
        <v>52</v>
      </c>
    </row>
    <row r="68" spans="1:37" ht="24.95" customHeight="1">
      <c r="A68" s="38">
        <v>53</v>
      </c>
      <c r="B68" s="832"/>
      <c r="C68" s="827"/>
      <c r="D68" s="826"/>
      <c r="E68" s="827"/>
      <c r="F68" s="315"/>
      <c r="G68" s="316"/>
      <c r="H68" s="316"/>
      <c r="I68" s="45">
        <f t="shared" si="2"/>
        <v>0</v>
      </c>
      <c r="J68" s="317"/>
      <c r="K68" s="45">
        <f t="shared" si="3"/>
        <v>0</v>
      </c>
      <c r="L68" s="44" t="str">
        <f>IF(AD68="◎",COUNTIF($AD$16:AD68,"◎"),"")</f>
        <v/>
      </c>
      <c r="W68" s="234" t="str">
        <f>IF(B68="既設病床",はじめに入力してください!$K$12,IF(B68="新設病床",はじめに入力してください!$K$13,IF(B68="共通使用",1,"")))</f>
        <v/>
      </c>
      <c r="AC68" s="49" t="s">
        <v>69</v>
      </c>
      <c r="AD68" s="239" t="str">
        <f t="shared" si="4"/>
        <v>○</v>
      </c>
      <c r="AE68" s="35" t="str">
        <f t="shared" si="9"/>
        <v>申請しない場合は入力不要です。</v>
      </c>
      <c r="AF68" s="240" t="str">
        <f t="shared" si="5"/>
        <v>○</v>
      </c>
      <c r="AG68" s="240" t="str">
        <f t="shared" si="6"/>
        <v>○</v>
      </c>
      <c r="AH68" s="240" t="str">
        <f t="shared" si="7"/>
        <v>○</v>
      </c>
      <c r="AI68" s="239" t="str">
        <f t="shared" si="8"/>
        <v>○</v>
      </c>
      <c r="AJ68" s="14" t="str">
        <f t="shared" si="10"/>
        <v/>
      </c>
      <c r="AK68" s="52">
        <v>53</v>
      </c>
    </row>
    <row r="69" spans="1:37" ht="24.95" customHeight="1">
      <c r="A69" s="38">
        <v>54</v>
      </c>
      <c r="B69" s="832"/>
      <c r="C69" s="827"/>
      <c r="D69" s="826"/>
      <c r="E69" s="827"/>
      <c r="F69" s="315"/>
      <c r="G69" s="316"/>
      <c r="H69" s="316"/>
      <c r="I69" s="45">
        <f t="shared" si="2"/>
        <v>0</v>
      </c>
      <c r="J69" s="317"/>
      <c r="K69" s="45">
        <f t="shared" si="3"/>
        <v>0</v>
      </c>
      <c r="L69" s="44" t="str">
        <f>IF(AD69="◎",COUNTIF($AD$16:AD69,"◎"),"")</f>
        <v/>
      </c>
      <c r="W69" s="234" t="str">
        <f>IF(B69="既設病床",はじめに入力してください!$K$12,IF(B69="新設病床",はじめに入力してください!$K$13,IF(B69="共通使用",1,"")))</f>
        <v/>
      </c>
      <c r="AC69" s="49" t="s">
        <v>69</v>
      </c>
      <c r="AD69" s="239" t="str">
        <f t="shared" si="4"/>
        <v>○</v>
      </c>
      <c r="AE69" s="35" t="str">
        <f t="shared" si="9"/>
        <v>申請しない場合は入力不要です。</v>
      </c>
      <c r="AF69" s="240" t="str">
        <f t="shared" si="5"/>
        <v>○</v>
      </c>
      <c r="AG69" s="240" t="str">
        <f t="shared" si="6"/>
        <v>○</v>
      </c>
      <c r="AH69" s="240" t="str">
        <f t="shared" si="7"/>
        <v>○</v>
      </c>
      <c r="AI69" s="239" t="str">
        <f t="shared" si="8"/>
        <v>○</v>
      </c>
      <c r="AJ69" s="14" t="str">
        <f t="shared" si="10"/>
        <v/>
      </c>
      <c r="AK69" s="52">
        <v>54</v>
      </c>
    </row>
    <row r="70" spans="1:37" ht="24.95" customHeight="1">
      <c r="A70" s="38">
        <v>55</v>
      </c>
      <c r="B70" s="832"/>
      <c r="C70" s="827"/>
      <c r="D70" s="826"/>
      <c r="E70" s="827"/>
      <c r="F70" s="315"/>
      <c r="G70" s="316"/>
      <c r="H70" s="316"/>
      <c r="I70" s="45">
        <f t="shared" si="2"/>
        <v>0</v>
      </c>
      <c r="J70" s="317"/>
      <c r="K70" s="45">
        <f t="shared" si="3"/>
        <v>0</v>
      </c>
      <c r="L70" s="44" t="str">
        <f>IF(AD70="◎",COUNTIF($AD$16:AD70,"◎"),"")</f>
        <v/>
      </c>
      <c r="W70" s="234" t="str">
        <f>IF(B70="既設病床",はじめに入力してください!$K$12,IF(B70="新設病床",はじめに入力してください!$K$13,IF(B70="共通使用",1,"")))</f>
        <v/>
      </c>
      <c r="AC70" s="49" t="s">
        <v>69</v>
      </c>
      <c r="AD70" s="239" t="str">
        <f t="shared" si="4"/>
        <v>○</v>
      </c>
      <c r="AE70" s="35" t="str">
        <f t="shared" si="9"/>
        <v>申請しない場合は入力不要です。</v>
      </c>
      <c r="AF70" s="240" t="str">
        <f t="shared" si="5"/>
        <v>○</v>
      </c>
      <c r="AG70" s="240" t="str">
        <f t="shared" si="6"/>
        <v>○</v>
      </c>
      <c r="AH70" s="240" t="str">
        <f t="shared" si="7"/>
        <v>○</v>
      </c>
      <c r="AI70" s="239" t="str">
        <f t="shared" si="8"/>
        <v>○</v>
      </c>
      <c r="AJ70" s="14" t="str">
        <f t="shared" si="10"/>
        <v/>
      </c>
      <c r="AK70" s="52">
        <v>55</v>
      </c>
    </row>
    <row r="71" spans="1:37" ht="24.95" customHeight="1">
      <c r="A71" s="38">
        <v>56</v>
      </c>
      <c r="B71" s="832"/>
      <c r="C71" s="827"/>
      <c r="D71" s="826"/>
      <c r="E71" s="827"/>
      <c r="F71" s="315"/>
      <c r="G71" s="316"/>
      <c r="H71" s="316"/>
      <c r="I71" s="45">
        <f t="shared" si="2"/>
        <v>0</v>
      </c>
      <c r="J71" s="317"/>
      <c r="K71" s="45">
        <f t="shared" si="3"/>
        <v>0</v>
      </c>
      <c r="L71" s="44" t="str">
        <f>IF(AD71="◎",COUNTIF($AD$16:AD71,"◎"),"")</f>
        <v/>
      </c>
      <c r="W71" s="234" t="str">
        <f>IF(B71="既設病床",はじめに入力してください!$K$12,IF(B71="新設病床",はじめに入力してください!$K$13,IF(B71="共通使用",1,"")))</f>
        <v/>
      </c>
      <c r="AC71" s="49" t="s">
        <v>69</v>
      </c>
      <c r="AD71" s="239" t="str">
        <f t="shared" si="4"/>
        <v>○</v>
      </c>
      <c r="AE71" s="35" t="str">
        <f t="shared" si="9"/>
        <v>申請しない場合は入力不要です。</v>
      </c>
      <c r="AF71" s="240" t="str">
        <f t="shared" si="5"/>
        <v>○</v>
      </c>
      <c r="AG71" s="240" t="str">
        <f t="shared" si="6"/>
        <v>○</v>
      </c>
      <c r="AH71" s="240" t="str">
        <f t="shared" si="7"/>
        <v>○</v>
      </c>
      <c r="AI71" s="239" t="str">
        <f t="shared" si="8"/>
        <v>○</v>
      </c>
      <c r="AJ71" s="14" t="str">
        <f t="shared" si="10"/>
        <v/>
      </c>
      <c r="AK71" s="52">
        <v>56</v>
      </c>
    </row>
    <row r="72" spans="1:37" ht="24.95" customHeight="1">
      <c r="A72" s="38">
        <v>57</v>
      </c>
      <c r="B72" s="832"/>
      <c r="C72" s="827"/>
      <c r="D72" s="826"/>
      <c r="E72" s="827"/>
      <c r="F72" s="315"/>
      <c r="G72" s="316"/>
      <c r="H72" s="316"/>
      <c r="I72" s="45">
        <f t="shared" si="2"/>
        <v>0</v>
      </c>
      <c r="J72" s="317"/>
      <c r="K72" s="45">
        <f t="shared" si="3"/>
        <v>0</v>
      </c>
      <c r="L72" s="44" t="str">
        <f>IF(AD72="◎",COUNTIF($AD$16:AD72,"◎"),"")</f>
        <v/>
      </c>
      <c r="W72" s="234" t="str">
        <f>IF(B72="既設病床",はじめに入力してください!$K$12,IF(B72="新設病床",はじめに入力してください!$K$13,IF(B72="共通使用",1,"")))</f>
        <v/>
      </c>
      <c r="AC72" s="49" t="s">
        <v>69</v>
      </c>
      <c r="AD72" s="239" t="str">
        <f t="shared" si="4"/>
        <v>○</v>
      </c>
      <c r="AE72" s="35" t="str">
        <f t="shared" si="9"/>
        <v>申請しない場合は入力不要です。</v>
      </c>
      <c r="AF72" s="240" t="str">
        <f t="shared" si="5"/>
        <v>○</v>
      </c>
      <c r="AG72" s="240" t="str">
        <f t="shared" si="6"/>
        <v>○</v>
      </c>
      <c r="AH72" s="240" t="str">
        <f t="shared" si="7"/>
        <v>○</v>
      </c>
      <c r="AI72" s="239" t="str">
        <f t="shared" si="8"/>
        <v>○</v>
      </c>
      <c r="AJ72" s="14" t="str">
        <f t="shared" si="10"/>
        <v/>
      </c>
      <c r="AK72" s="52">
        <v>57</v>
      </c>
    </row>
    <row r="73" spans="1:37" ht="24.95" customHeight="1">
      <c r="A73" s="38">
        <v>58</v>
      </c>
      <c r="B73" s="832"/>
      <c r="C73" s="827"/>
      <c r="D73" s="826"/>
      <c r="E73" s="827"/>
      <c r="F73" s="315"/>
      <c r="G73" s="316"/>
      <c r="H73" s="316"/>
      <c r="I73" s="45">
        <f t="shared" si="2"/>
        <v>0</v>
      </c>
      <c r="J73" s="317"/>
      <c r="K73" s="45">
        <f t="shared" si="3"/>
        <v>0</v>
      </c>
      <c r="L73" s="44" t="str">
        <f>IF(AD73="◎",COUNTIF($AD$16:AD73,"◎"),"")</f>
        <v/>
      </c>
      <c r="W73" s="234" t="str">
        <f>IF(B73="既設病床",はじめに入力してください!$K$12,IF(B73="新設病床",はじめに入力してください!$K$13,IF(B73="共通使用",1,"")))</f>
        <v/>
      </c>
      <c r="AC73" s="49" t="s">
        <v>69</v>
      </c>
      <c r="AD73" s="239" t="str">
        <f t="shared" si="4"/>
        <v>○</v>
      </c>
      <c r="AE73" s="35" t="str">
        <f t="shared" si="9"/>
        <v>申請しない場合は入力不要です。</v>
      </c>
      <c r="AF73" s="240" t="str">
        <f t="shared" si="5"/>
        <v>○</v>
      </c>
      <c r="AG73" s="240" t="str">
        <f t="shared" si="6"/>
        <v>○</v>
      </c>
      <c r="AH73" s="240" t="str">
        <f t="shared" si="7"/>
        <v>○</v>
      </c>
      <c r="AI73" s="239" t="str">
        <f t="shared" si="8"/>
        <v>○</v>
      </c>
      <c r="AJ73" s="14" t="str">
        <f t="shared" si="10"/>
        <v/>
      </c>
      <c r="AK73" s="52">
        <v>58</v>
      </c>
    </row>
    <row r="74" spans="1:37" ht="24.95" customHeight="1">
      <c r="A74" s="38">
        <v>59</v>
      </c>
      <c r="B74" s="832"/>
      <c r="C74" s="827"/>
      <c r="D74" s="826"/>
      <c r="E74" s="827"/>
      <c r="F74" s="315"/>
      <c r="G74" s="316"/>
      <c r="H74" s="316"/>
      <c r="I74" s="45">
        <f t="shared" si="2"/>
        <v>0</v>
      </c>
      <c r="J74" s="317"/>
      <c r="K74" s="45">
        <f t="shared" si="3"/>
        <v>0</v>
      </c>
      <c r="L74" s="44" t="str">
        <f>IF(AD74="◎",COUNTIF($AD$16:AD74,"◎"),"")</f>
        <v/>
      </c>
      <c r="W74" s="234" t="str">
        <f>IF(B74="既設病床",はじめに入力してください!$K$12,IF(B74="新設病床",はじめに入力してください!$K$13,IF(B74="共通使用",1,"")))</f>
        <v/>
      </c>
      <c r="AC74" s="49" t="s">
        <v>69</v>
      </c>
      <c r="AD74" s="239" t="str">
        <f t="shared" si="4"/>
        <v>○</v>
      </c>
      <c r="AE74" s="35" t="str">
        <f t="shared" si="9"/>
        <v>申請しない場合は入力不要です。</v>
      </c>
      <c r="AF74" s="240" t="str">
        <f t="shared" si="5"/>
        <v>○</v>
      </c>
      <c r="AG74" s="240" t="str">
        <f t="shared" si="6"/>
        <v>○</v>
      </c>
      <c r="AH74" s="240" t="str">
        <f t="shared" si="7"/>
        <v>○</v>
      </c>
      <c r="AI74" s="239" t="str">
        <f t="shared" si="8"/>
        <v>○</v>
      </c>
      <c r="AJ74" s="14" t="str">
        <f t="shared" si="10"/>
        <v/>
      </c>
      <c r="AK74" s="52">
        <v>59</v>
      </c>
    </row>
    <row r="75" spans="1:37" ht="24.95" customHeight="1">
      <c r="A75" s="38">
        <v>60</v>
      </c>
      <c r="B75" s="832"/>
      <c r="C75" s="827"/>
      <c r="D75" s="826"/>
      <c r="E75" s="827"/>
      <c r="F75" s="315"/>
      <c r="G75" s="316"/>
      <c r="H75" s="316"/>
      <c r="I75" s="45">
        <f t="shared" si="2"/>
        <v>0</v>
      </c>
      <c r="J75" s="317"/>
      <c r="K75" s="45">
        <f t="shared" si="3"/>
        <v>0</v>
      </c>
      <c r="L75" s="44" t="str">
        <f>IF(AD75="◎",COUNTIF($AD$16:AD75,"◎"),"")</f>
        <v/>
      </c>
      <c r="W75" s="234" t="str">
        <f>IF(B75="既設病床",はじめに入力してください!$K$12,IF(B75="新設病床",はじめに入力してください!$K$13,IF(B75="共通使用",1,"")))</f>
        <v/>
      </c>
      <c r="AC75" s="49" t="s">
        <v>69</v>
      </c>
      <c r="AD75" s="239" t="str">
        <f t="shared" si="4"/>
        <v>○</v>
      </c>
      <c r="AE75" s="35" t="str">
        <f t="shared" si="9"/>
        <v>申請しない場合は入力不要です。</v>
      </c>
      <c r="AF75" s="240" t="str">
        <f t="shared" si="5"/>
        <v>○</v>
      </c>
      <c r="AG75" s="240" t="str">
        <f t="shared" si="6"/>
        <v>○</v>
      </c>
      <c r="AH75" s="240" t="str">
        <f t="shared" si="7"/>
        <v>○</v>
      </c>
      <c r="AI75" s="239" t="str">
        <f t="shared" si="8"/>
        <v>○</v>
      </c>
      <c r="AJ75" s="14" t="str">
        <f t="shared" si="10"/>
        <v/>
      </c>
      <c r="AK75" s="52">
        <v>60</v>
      </c>
    </row>
    <row r="76" spans="1:37" ht="24.95" customHeight="1">
      <c r="A76" s="38">
        <v>61</v>
      </c>
      <c r="B76" s="832"/>
      <c r="C76" s="827"/>
      <c r="D76" s="826"/>
      <c r="E76" s="827"/>
      <c r="F76" s="315"/>
      <c r="G76" s="316"/>
      <c r="H76" s="316"/>
      <c r="I76" s="45">
        <f t="shared" si="2"/>
        <v>0</v>
      </c>
      <c r="J76" s="317"/>
      <c r="K76" s="45">
        <f t="shared" si="3"/>
        <v>0</v>
      </c>
      <c r="L76" s="44" t="str">
        <f>IF(AD76="◎",COUNTIF($AD$16:AD76,"◎"),"")</f>
        <v/>
      </c>
      <c r="W76" s="234" t="str">
        <f>IF(B76="既設病床",はじめに入力してください!$K$12,IF(B76="新設病床",はじめに入力してください!$K$13,IF(B76="共通使用",1,"")))</f>
        <v/>
      </c>
      <c r="AC76" s="49" t="s">
        <v>69</v>
      </c>
      <c r="AD76" s="239" t="str">
        <f t="shared" si="4"/>
        <v>○</v>
      </c>
      <c r="AE76" s="35" t="str">
        <f t="shared" si="9"/>
        <v>申請しない場合は入力不要です。</v>
      </c>
      <c r="AF76" s="240" t="str">
        <f t="shared" si="5"/>
        <v>○</v>
      </c>
      <c r="AG76" s="240" t="str">
        <f t="shared" si="6"/>
        <v>○</v>
      </c>
      <c r="AH76" s="240" t="str">
        <f t="shared" si="7"/>
        <v>○</v>
      </c>
      <c r="AI76" s="239" t="str">
        <f t="shared" si="8"/>
        <v>○</v>
      </c>
      <c r="AJ76" s="14" t="str">
        <f t="shared" si="10"/>
        <v/>
      </c>
      <c r="AK76" s="52">
        <v>61</v>
      </c>
    </row>
    <row r="77" spans="1:37" ht="24.95" customHeight="1">
      <c r="A77" s="38">
        <v>62</v>
      </c>
      <c r="B77" s="832"/>
      <c r="C77" s="827"/>
      <c r="D77" s="826"/>
      <c r="E77" s="827"/>
      <c r="F77" s="315"/>
      <c r="G77" s="316"/>
      <c r="H77" s="316"/>
      <c r="I77" s="45">
        <f t="shared" si="2"/>
        <v>0</v>
      </c>
      <c r="J77" s="317"/>
      <c r="K77" s="45">
        <f t="shared" si="3"/>
        <v>0</v>
      </c>
      <c r="L77" s="44" t="str">
        <f>IF(AD77="◎",COUNTIF($AD$16:AD77,"◎"),"")</f>
        <v/>
      </c>
      <c r="W77" s="234" t="str">
        <f>IF(B77="既設病床",はじめに入力してください!$K$12,IF(B77="新設病床",はじめに入力してください!$K$13,IF(B77="共通使用",1,"")))</f>
        <v/>
      </c>
      <c r="AC77" s="49" t="s">
        <v>69</v>
      </c>
      <c r="AD77" s="239" t="str">
        <f t="shared" si="4"/>
        <v>○</v>
      </c>
      <c r="AE77" s="35" t="str">
        <f t="shared" si="9"/>
        <v>申請しない場合は入力不要です。</v>
      </c>
      <c r="AF77" s="240" t="str">
        <f t="shared" si="5"/>
        <v>○</v>
      </c>
      <c r="AG77" s="240" t="str">
        <f t="shared" si="6"/>
        <v>○</v>
      </c>
      <c r="AH77" s="240" t="str">
        <f t="shared" si="7"/>
        <v>○</v>
      </c>
      <c r="AI77" s="239" t="str">
        <f t="shared" si="8"/>
        <v>○</v>
      </c>
      <c r="AJ77" s="14" t="str">
        <f t="shared" si="10"/>
        <v/>
      </c>
      <c r="AK77" s="52">
        <v>62</v>
      </c>
    </row>
    <row r="78" spans="1:37" ht="24.95" customHeight="1">
      <c r="A78" s="38">
        <v>63</v>
      </c>
      <c r="B78" s="832"/>
      <c r="C78" s="827"/>
      <c r="D78" s="826"/>
      <c r="E78" s="827"/>
      <c r="F78" s="315"/>
      <c r="G78" s="316"/>
      <c r="H78" s="316"/>
      <c r="I78" s="45">
        <f t="shared" si="2"/>
        <v>0</v>
      </c>
      <c r="J78" s="317"/>
      <c r="K78" s="45">
        <f t="shared" si="3"/>
        <v>0</v>
      </c>
      <c r="L78" s="44" t="str">
        <f>IF(AD78="◎",COUNTIF($AD$16:AD78,"◎"),"")</f>
        <v/>
      </c>
      <c r="W78" s="234" t="str">
        <f>IF(B78="既設病床",はじめに入力してください!$K$12,IF(B78="新設病床",はじめに入力してください!$K$13,IF(B78="共通使用",1,"")))</f>
        <v/>
      </c>
      <c r="AC78" s="49" t="s">
        <v>69</v>
      </c>
      <c r="AD78" s="239" t="str">
        <f t="shared" si="4"/>
        <v>○</v>
      </c>
      <c r="AE78" s="35" t="str">
        <f t="shared" si="9"/>
        <v>申請しない場合は入力不要です。</v>
      </c>
      <c r="AF78" s="240" t="str">
        <f t="shared" si="5"/>
        <v>○</v>
      </c>
      <c r="AG78" s="240" t="str">
        <f t="shared" si="6"/>
        <v>○</v>
      </c>
      <c r="AH78" s="240" t="str">
        <f t="shared" si="7"/>
        <v>○</v>
      </c>
      <c r="AI78" s="239" t="str">
        <f t="shared" si="8"/>
        <v>○</v>
      </c>
      <c r="AJ78" s="14" t="str">
        <f t="shared" si="10"/>
        <v/>
      </c>
      <c r="AK78" s="52">
        <v>63</v>
      </c>
    </row>
    <row r="79" spans="1:37" ht="24.95" customHeight="1">
      <c r="A79" s="38">
        <v>64</v>
      </c>
      <c r="B79" s="832"/>
      <c r="C79" s="827"/>
      <c r="D79" s="826"/>
      <c r="E79" s="827"/>
      <c r="F79" s="315"/>
      <c r="G79" s="316"/>
      <c r="H79" s="316"/>
      <c r="I79" s="45">
        <f t="shared" si="2"/>
        <v>0</v>
      </c>
      <c r="J79" s="317"/>
      <c r="K79" s="45">
        <f t="shared" si="3"/>
        <v>0</v>
      </c>
      <c r="L79" s="44" t="str">
        <f>IF(AD79="◎",COUNTIF($AD$16:AD79,"◎"),"")</f>
        <v/>
      </c>
      <c r="W79" s="234" t="str">
        <f>IF(B79="既設病床",はじめに入力してください!$K$12,IF(B79="新設病床",はじめに入力してください!$K$13,IF(B79="共通使用",1,"")))</f>
        <v/>
      </c>
      <c r="AC79" s="49" t="s">
        <v>69</v>
      </c>
      <c r="AD79" s="239" t="str">
        <f t="shared" si="4"/>
        <v>○</v>
      </c>
      <c r="AE79" s="35" t="str">
        <f t="shared" si="9"/>
        <v>申請しない場合は入力不要です。</v>
      </c>
      <c r="AF79" s="240" t="str">
        <f t="shared" si="5"/>
        <v>○</v>
      </c>
      <c r="AG79" s="240" t="str">
        <f t="shared" si="6"/>
        <v>○</v>
      </c>
      <c r="AH79" s="240" t="str">
        <f t="shared" si="7"/>
        <v>○</v>
      </c>
      <c r="AI79" s="239" t="str">
        <f t="shared" si="8"/>
        <v>○</v>
      </c>
      <c r="AJ79" s="14" t="str">
        <f t="shared" si="10"/>
        <v/>
      </c>
      <c r="AK79" s="52">
        <v>64</v>
      </c>
    </row>
    <row r="80" spans="1:37" ht="24.95" customHeight="1">
      <c r="A80" s="38">
        <v>65</v>
      </c>
      <c r="B80" s="832"/>
      <c r="C80" s="827"/>
      <c r="D80" s="826"/>
      <c r="E80" s="827"/>
      <c r="F80" s="315"/>
      <c r="G80" s="316"/>
      <c r="H80" s="316"/>
      <c r="I80" s="45">
        <f t="shared" si="2"/>
        <v>0</v>
      </c>
      <c r="J80" s="317"/>
      <c r="K80" s="45">
        <f t="shared" si="3"/>
        <v>0</v>
      </c>
      <c r="L80" s="44" t="str">
        <f>IF(AD80="◎",COUNTIF($AD$16:AD80,"◎"),"")</f>
        <v/>
      </c>
      <c r="W80" s="234" t="str">
        <f>IF(B80="既設病床",はじめに入力してください!$K$12,IF(B80="新設病床",はじめに入力してください!$K$13,IF(B80="共通使用",1,"")))</f>
        <v/>
      </c>
      <c r="AC80" s="49" t="s">
        <v>69</v>
      </c>
      <c r="AD80" s="239" t="str">
        <f t="shared" si="4"/>
        <v>○</v>
      </c>
      <c r="AE80" s="35" t="str">
        <f t="shared" ref="AE80:AE111" si="11" xml:space="preserve">
IF(AND(AF80="○",AG80="○",AH80="○",AI80="○"),"申請しない場合は入力不要です。",
IF(AND(AF80="○",AG80="○",AH80="○",AI80="◎"),"【要修正】【整備区分】未入力、【規格・数量】未入力、【単価】未入力"&amp;CHAR(10),
IF(AND(AF80="○",AG80="○",AH80="×",AI80="○"),"【要修正】【整備区分】未入力、【規格・数量】未入力、【単価】入力不十分、【補助対象区分】未入力"&amp;CHAR(10),
IF(AND(AF80="○",AG80="○",AH80="×",AI80="◎"),"【要修正】【整備区分】未入力、【規格・数量】未入力、【単価】入力不十分"&amp;CHAR(10),
IF(AND(AF80="○",AG80="○",AH80="◎",AI80="○"),"【要修正】【整備区分】未入力、【規格・数量】未入力、【補助対象区分】未入力"&amp;CHAR(10),
IF(AND(AF80="○",AG80="○",AH80="◎",AI80="◎"),"【要修正】【整備区分】未入力、【規格・数量】未入力"&amp;CHAR(10),
IF(AND(AF80="○",AG80="×",AH80="○",AI80="○"),"【要修正】【整備区分】未入力、【規格・数量】入力不十分、【単価】未入力、【補助対象区分】未入力"&amp;CHAR(10),
IF(AND(AF80="○",AG80="×",AH80="○",AI80="◎"),"【要修正】【整備区分】未入力、【規格・数量】入力不十分、【単価】未入力"&amp;CHAR(10),
IF(AND(AF80="○",AG80="×",AH80="×",AI80="○"),"【要修正】【整備区分】未入力、【規格・数量】入力不十分、【単価】入力不十分、【補助対象区分】未入力"&amp;CHAR(10),
IF(AND(AF80="○",AG80="×",AH80="×",AI80="◎"),"【要修正】【整備区分】未入力、【規格・数量】入力不十分、【単価】入力不十分"&amp;CHAR(10),
IF(AND(AF80="○",AG80="×",AH80="◎",AI80="○"),"【要修正】【整備区分】未入力、【規格・数量】入力不十分、【補助対象区分】未入力"&amp;CHAR(10),
IF(AND(AF80="○",AG80="×",AH80="◎",AI80="◎"),"【要修正】【整備区分】未入力、【規格・数量】入力不十分"&amp;CHAR(10),
IF(AND(AF80="○",AG80="◎",AH80="○",AI80="○"),"【要修正】【整備区分】未入力、【単価】未入力、【補助対象区分】未入力"&amp;CHAR(10),
IF(AND(AF80="○",AG80="◎",AH80="○",AI80="◎"),"【要修正】【整備区分】未入力、【単価】未入力"&amp;CHAR(10),
IF(AND(AF80="○",AG80="◎",AH80="×",AI80="○"),"【要修正】【整備区分】未入力、【単価】入力不十分、【補助対象区分】未入力"&amp;CHAR(10),
IF(AND(AF80="○",AG80="◎",AH80="×",AI80="◎"),"【要修正】【整備区分】未入力、【単価】入力不十分"&amp;CHAR(10),
IF(AND(AF80="○",AG80="◎",AH80="◎",AI80="○"),"【要修正】【整備区分】未入力、【補助対象区分】未入力"&amp;CHAR(10),
IF(AND(AF80="○",AG80="◎",AH80="◎",AI80="◎"),"【要修正】【整備区分】未入力"&amp;CHAR(10),
IF(AND(AF80="×",AG80="○",AH80="○",AI80="○"),"【要修正】【整備区分】入力不十分、【規格・数量】未入力、【単価】未入力、【補助対象区分】未入力"&amp;CHAR(10),
IF(AND(AF80="×",AG80="○",AH80="○",AI80="◎"),"【要修正】【整備区分】入力不十分、【規格・数量】未入力、【単価】未入力"&amp;CHAR(10),
IF(AND(AF80="×",AG80="○",AH80="×",AI80="○"),"【要修正】【整備区分】入力不十分、【規格・数量】未入力、【単価】入力不十分、【補助対象区分】未入力"&amp;CHAR(10),
IF(AND(AF80="×",AG80="○",AH80="×",AI80="◎"),"【要修正】【整備区分】入力不十分、【規格・数量】未入力、【単価】入力不十分"&amp;CHAR(10),
IF(AND(AF80="×",AG80="○",AH80="◎",AI80="○"),"【要修正】【整備区分】入力不十分、【規格・数量】未入力、【補助対象区分】未入力"&amp;CHAR(10),
IF(AND(AF80="×",AG80="○",AH80="◎",AI80="◎"),"【要修正】【整備区分】入力不十分、【規格・数量】未入力"&amp;CHAR(10),
IF(AND(AF80="×",AG80="×",AH80="○",AI80="○"),"【要修正】【整備区分】入力不十分、【規格・数量】入力不十分、【単価】未入力、【補助対象区分】未入力"&amp;CHAR(10),
IF(AND(AF80="×",AG80="×",AH80="○",AI80="◎"),"【要修正】【整備区分】入力不十分、【規格・数量】入力不十分、【単価】未入力"&amp;CHAR(10),
IF(AND(AF80="×",AG80="×",AH80="×",AI80="○"),"【要修正】【整備区分】入力不十分、【規格・数量】入力不十分、【単価】入力不十分、【補助対象区分】未入力"&amp;CHAR(10),
IF(AND(AF80="×",AG80="×",AH80="×",AI80="◎"),"【要修正】【整備区分】入力不十分、【規格・数量】入力不十分、【単価】入力不十分"&amp;CHAR(10),
IF(AND(AF80="×",AG80="×",AH80="◎",AI80="○"),"【要修正】【整備区分】入力不十分、【規格・数量】入力不十分、【補助対象区分】未入力"&amp;CHAR(10),
IF(AND(AF80="×",AG80="×",AH80="◎",AI80="◎"),"【要修正】【整備区分】入力不十分、【規格・数量】入力不十分"&amp;CHAR(10),
IF(AND(AF80="×",AG80="◎",AH80="○",AI80="○"),"【要修正】【整備区分】入力不十分、【単価】未入力、【補助対象区分】未入力"&amp;CHAR(10),
IF(AND(AF80="×",AG80="◎",AH80="○",AI80="◎"),"【要修正】【整備区分】入力不十分、【単価】未入力"&amp;CHAR(10),
IF(AND(AF80="×",AG80="◎",AH80="×",AI80="○"),"【要修正】【整備区分】入力不十分、【単価】入力不十分、【補助対象区分】未入力"&amp;CHAR(10),
IF(AND(AF80="×",AG80="◎",AH80="×",AI80="◎"),"【要修正】【整備区分】入力不十分、【単価】入力不十分"&amp;CHAR(10),
IF(AND(AF80="×",AG80="◎",AH80="◎",AI80="○"),"【要修正】【整備区分】入力不十分、【補助対象区分】未入力"&amp;CHAR(10),
IF(AND(AF80="×",AG80="◎",AH80="◎",AI80="◎"),"【要修正】【整備区分】入力不十分"&amp;CHAR(10),
IF(AND(AF80="◎",AG80="○",AH80="○",AI80="○"),"【要修正】【規格・数量】未入力、【単価】未入力、【補助対象区分】未入力"&amp;CHAR(10),
IF(AND(AF80="◎",AG80="○",AH80="○",AI80="◎"),"【要修正】【規格・数量】未入力、【単価】未入力"&amp;CHAR(10),
IF(AND(AF80="◎",AG80="○",AH80="×",AI80="○"),"【要修正】【規格・数量】未入力、【単価】入力不十分、【補助対象区分】未入力"&amp;CHAR(10),
IF(AND(AF80="◎",AG80="○",AH80="×",AI80="◎"),"【要修正】【規格・数量】未入力、【単価】入力不十分"&amp;CHAR(10),
IF(AND(AF80="◎",AG80="○",AH80="◎",AI80="○"),"【要修正】【規格・数量】未入力、【補助対象区分】未入力"&amp;CHAR(10),
IF(AND(AF80="◎",AG80="○",AH80="◎",AI80="◎"),"【要修正】【規格・数量】未入力"&amp;CHAR(10),
IF(AND(AF80="◎",AG80="×",AH80="○",AI80="○"),"【要修正】【規格・数量】入力不十分、【単価】未入力、【補助対象区分】未入力"&amp;CHAR(10),
IF(AND(AF80="◎",AG80="×",AH80="○",AI80="◎"),"【要修正】【規格・数量】入力不十分、【単価】未入力"&amp;CHAR(10),
IF(AND(AF80="◎",AG80="×",AH80="×",AI80="○"),"【要修正】【規格・数量】入力不十分、【単価】入力不十分、【補助対象区分】未入力"&amp;CHAR(10),
IF(AND(AF80="◎",AG80="×",AH80="×",AI80="◎"),"【要修正】【規格・数量】入力不十分、【単価】入力不十分"&amp;CHAR(10),
IF(AND(AF80="◎",AG80="×",AH80="◎",AI80="○"),"【要修正】【規格・数量】入力不十分、【補助対象区分】未入力"&amp;CHAR(10),
IF(AND(AF80="◎",AG80="×",AH80="◎",AI80="◎"),"【要修正】【規格・数量】入力不十分"&amp;CHAR(10),
IF(AND(AF80="◎",AG80="◎",AH80="○",AI80="○"),"【要修正】【単価】未入力、【補助対象区分】未入力"&amp;CHAR(10),
IF(AND(AF80="◎",AG80="◎",AH80="○",AI80="◎"),"【要修正】【単価】未入力"&amp;CHAR(10),
IF(AND(AF80="◎",AG80="◎",AH80="×",AI80="○"),"【要修正】【単価】入力不十分、【補助対象区分】未入力"&amp;CHAR(10),
IF(AND(AF80="◎",AG80="◎",AH80="×",AI80="◎"),"【要修正】【単価】入力不十分"&amp;CHAR(10),
IF(AND(AF80="◎",AG80="◎",AH80="◎",AI80="○"),"【要修正】【補助対象区分】未入力"&amp;CHAR(10),
IF(AND(AF80="◎",AG80="◎",AH80="◎",AI80="◎"),"適切に入力がされました。",
))))))))))))))))))))))))))))))))))))))))))))))))))))))</f>
        <v>申請しない場合は入力不要です。</v>
      </c>
      <c r="AF80" s="240" t="str">
        <f t="shared" si="5"/>
        <v>○</v>
      </c>
      <c r="AG80" s="240" t="str">
        <f t="shared" si="6"/>
        <v>○</v>
      </c>
      <c r="AH80" s="240" t="str">
        <f t="shared" si="7"/>
        <v>○</v>
      </c>
      <c r="AI80" s="239" t="str">
        <f t="shared" si="8"/>
        <v>○</v>
      </c>
      <c r="AJ80" s="14" t="str">
        <f t="shared" ref="AJ80:AJ111" si="12" xml:space="preserve">
IF(AND(AF80="○",AG80="○",AH80="○",AI80="○"),"",
IF(AND(AF80="○",AG80="○",AH80="○",AI80="◎"),"【"&amp;AK80&amp;"行目】【整備区分】未入力、【規格・数量】未入力、【単価】未入力"&amp;CHAR(10),
IF(AND(AF80="○",AG80="○",AH80="×",AI80="○"),"【"&amp;AK80&amp;"行目】【整備区分】未入力、【規格・数量】未入力、【単価】入力不十分、【補助対象区分】未入力"&amp;CHAR(10),
IF(AND(AF80="○",AG80="○",AH80="×",AI80="◎"),"【"&amp;AK80&amp;"行目】【整備区分】未入力、【規格・数量】未入力、【単価】入力不十分"&amp;CHAR(10),
IF(AND(AF80="○",AG80="○",AH80="◎",AI80="○"),"【"&amp;AK80&amp;"行目】【整備区分】未入力、【規格・数量】未入力、【補助対象区分】未入力"&amp;CHAR(10),
IF(AND(AF80="○",AG80="○",AH80="◎",AI80="◎"),"【"&amp;AK80&amp;"行目】【整備区分】未入力、【規格・数量】未入力"&amp;CHAR(10),
IF(AND(AF80="○",AG80="×",AH80="○",AI80="○"),"【"&amp;AK80&amp;"行目】【整備区分】未入力、【規格・数量】入力不十分、【単価】未入力、【補助対象区分】未入力"&amp;CHAR(10),
IF(AND(AF80="○",AG80="×",AH80="○",AI80="◎"),"【"&amp;AK80&amp;"行目】【整備区分】未入力、【規格・数量】入力不十分、【単価】未入力"&amp;CHAR(10),
IF(AND(AF80="○",AG80="×",AH80="×",AI80="○"),"【"&amp;AK80&amp;"行目】【整備区分】未入力、【規格・数量】入力不十分、【単価】入力不十分、【補助対象区分】未入力"&amp;CHAR(10),
IF(AND(AF80="○",AG80="×",AH80="×",AI80="◎"),"【"&amp;AK80&amp;"行目】【整備区分】未入力、【規格・数量】入力不十分、【単価】入力不十分"&amp;CHAR(10),
IF(AND(AF80="○",AG80="×",AH80="◎",AI80="○"),"【"&amp;AK80&amp;"行目】【整備区分】未入力、【規格・数量】入力不十分、【補助対象区分】未入力"&amp;CHAR(10),
IF(AND(AF80="○",AG80="×",AH80="◎",AI80="◎"),"【"&amp;AK80&amp;"行目】【整備区分】未入力、【規格・数量】入力不十分"&amp;CHAR(10),
IF(AND(AF80="○",AG80="◎",AH80="○",AI80="○"),"【"&amp;AK80&amp;"行目】【整備区分】未入力、【単価】未入力、【補助対象区分】未入力"&amp;CHAR(10),
IF(AND(AF80="○",AG80="◎",AH80="○",AI80="◎"),"【"&amp;AK80&amp;"行目】【整備区分】未入力、【単価】未入力"&amp;CHAR(10),
IF(AND(AF80="○",AG80="◎",AH80="×",AI80="○"),"【"&amp;AK80&amp;"行目】【整備区分】未入力、【単価】入力不十分、【補助対象区分】未入力"&amp;CHAR(10),
IF(AND(AF80="○",AG80="◎",AH80="×",AI80="◎"),"【"&amp;AK80&amp;"行目】【整備区分】未入力、【単価】入力不十分"&amp;CHAR(10),
IF(AND(AF80="○",AG80="◎",AH80="◎",AI80="○"),"【"&amp;AK80&amp;"行目】【整備区分】未入力、【補助対象区分】未入力"&amp;CHAR(10),
IF(AND(AF80="○",AG80="◎",AH80="◎",AI80="◎"),"【"&amp;AK80&amp;"行目】【整備区分】未入力"&amp;CHAR(10),
IF(AND(AF80="×",AG80="○",AH80="○",AI80="○"),"【"&amp;AK80&amp;"行目】【整備区分】入力不十分、【規格・数量】未入力、【単価】未入力、【補助対象区分】未入力"&amp;CHAR(10),
IF(AND(AF80="×",AG80="○",AH80="○",AI80="◎"),"【"&amp;AK80&amp;"行目】【整備区分】入力不十分、【規格・数量】未入力、【単価】未入力"&amp;CHAR(10),
IF(AND(AF80="×",AG80="○",AH80="×",AI80="○"),"【"&amp;AK80&amp;"行目】【整備区分】入力不十分、【規格・数量】未入力、【単価】入力不十分、【補助対象区分】未入力"&amp;CHAR(10),
IF(AND(AF80="×",AG80="○",AH80="×",AI80="◎"),"【"&amp;AK80&amp;"行目】【整備区分】入力不十分、【規格・数量】未入力、【単価】入力不十分"&amp;CHAR(10),
IF(AND(AF80="×",AG80="○",AH80="◎",AI80="○"),"【"&amp;AK80&amp;"行目】【整備区分】入力不十分、【規格・数量】未入力、【補助対象区分】未入力"&amp;CHAR(10),
IF(AND(AF80="×",AG80="○",AH80="◎",AI80="◎"),"【"&amp;AK80&amp;"行目】【整備区分】入力不十分、【規格・数量】未入力"&amp;CHAR(10),
IF(AND(AF80="×",AG80="×",AH80="○",AI80="○"),"【"&amp;AK80&amp;"行目】【整備区分】入力不十分、【規格・数量】入力不十分、【単価】未入力、【補助対象区分】未入力"&amp;CHAR(10),
IF(AND(AF80="×",AG80="×",AH80="○",AI80="◎"),"【"&amp;AK80&amp;"行目】【整備区分】入力不十分、【規格・数量】入力不十分、【単価】未入力"&amp;CHAR(10),
IF(AND(AF80="×",AG80="×",AH80="×",AI80="○"),"【"&amp;AK80&amp;"行目】【整備区分】入力不十分、【規格・数量】入力不十分、【単価】入力不十分、【補助対象区分】未入力"&amp;CHAR(10),
IF(AND(AF80="×",AG80="×",AH80="×",AI80="◎"),"【"&amp;AK80&amp;"行目】【整備区分】入力不十分、【規格・数量】入力不十分、【単価】入力不十分"&amp;CHAR(10),
IF(AND(AF80="×",AG80="×",AH80="◎",AI80="○"),"【"&amp;AK80&amp;"行目】【整備区分】入力不十分、【規格・数量】入力不十分、【補助対象区分】未入力"&amp;CHAR(10),
IF(AND(AF80="×",AG80="×",AH80="◎",AI80="◎"),"【"&amp;AK80&amp;"行目】【整備区分】入力不十分、【規格・数量】入力不十分"&amp;CHAR(10),
IF(AND(AF80="×",AG80="◎",AH80="○",AI80="○"),"【"&amp;AK80&amp;"行目】【整備区分】入力不十分、【単価】未入力、【補助対象区分】未入力"&amp;CHAR(10),
IF(AND(AF80="×",AG80="◎",AH80="○",AI80="◎"),"【"&amp;AK80&amp;"行目】【整備区分】入力不十分、【単価】未入力"&amp;CHAR(10),
IF(AND(AF80="×",AG80="◎",AH80="×",AI80="○"),"【"&amp;AK80&amp;"行目】【整備区分】入力不十分、【単価】入力不十分、【補助対象区分】未入力"&amp;CHAR(10),
IF(AND(AF80="×",AG80="◎",AH80="×",AI80="◎"),"【"&amp;AK80&amp;"行目】【整備区分】入力不十分、【単価】入力不十分"&amp;CHAR(10),
IF(AND(AF80="×",AG80="◎",AH80="◎",AI80="○"),"【"&amp;AK80&amp;"行目】【整備区分】入力不十分、【補助対象区分】未入力"&amp;CHAR(10),
IF(AND(AF80="×",AG80="◎",AH80="◎",AI80="◎"),"【"&amp;AK80&amp;"行目】【整備区分】入力不十分"&amp;CHAR(10),
IF(AND(AF80="◎",AG80="○",AH80="○",AI80="○"),"【"&amp;AK80&amp;"行目】【規格・数量】未入力、【単価】未入力、【補助対象区分】未入力"&amp;CHAR(10),
IF(AND(AF80="◎",AG80="○",AH80="○",AI80="◎"),"【"&amp;AK80&amp;"行目】【規格・数量】未入力、【単価】未入力"&amp;CHAR(10),
IF(AND(AF80="◎",AG80="○",AH80="×",AI80="○"),"【"&amp;AK80&amp;"行目】【規格・数量】未入力、【単価】入力不十分、【補助対象区分】未入力"&amp;CHAR(10),
IF(AND(AF80="◎",AG80="○",AH80="×",AI80="◎"),"【"&amp;AK80&amp;"行目】【規格・数量】未入力、【単価】入力不十分"&amp;CHAR(10),
IF(AND(AF80="◎",AG80="○",AH80="◎",AI80="○"),"【"&amp;AK80&amp;"行目】【規格・数量】未入力、【補助対象区分】未入力"&amp;CHAR(10),
IF(AND(AF80="◎",AG80="○",AH80="◎",AI80="◎"),"【"&amp;AK80&amp;"行目】【規格・数量】未入力"&amp;CHAR(10),
IF(AND(AF80="◎",AG80="×",AH80="○",AI80="○"),"【"&amp;AK80&amp;"行目】【規格・数量】入力不十分、【単価】未入力、【補助対象区分】未入力"&amp;CHAR(10),
IF(AND(AF80="◎",AG80="×",AH80="○",AI80="◎"),"【"&amp;AK80&amp;"行目】【規格・数量】入力不十分、【単価】未入力"&amp;CHAR(10),
IF(AND(AF80="◎",AG80="×",AH80="×",AI80="○"),"【"&amp;AK80&amp;"行目】【規格・数量】入力不十分、【単価】入力不十分、【補助対象区分】未入力"&amp;CHAR(10),
IF(AND(AF80="◎",AG80="×",AH80="×",AI80="◎"),"【"&amp;AK80&amp;"行目】【規格・数量】入力不十分、【単価】入力不十分"&amp;CHAR(10),
IF(AND(AF80="◎",AG80="×",AH80="◎",AI80="○"),"【"&amp;AK80&amp;"行目】【規格・数量】入力不十分、【補助対象区分】未入力"&amp;CHAR(10),
IF(AND(AF80="◎",AG80="×",AH80="◎",AI80="◎"),"【"&amp;AK80&amp;"行目】【規格・数量】入力不十分"&amp;CHAR(10),
IF(AND(AF80="◎",AG80="◎",AH80="○",AI80="○"),"【"&amp;AK80&amp;"行目】【単価】未入力、【補助対象区分】未入力"&amp;CHAR(10),
IF(AND(AF80="◎",AG80="◎",AH80="○",AI80="◎"),"【"&amp;AK80&amp;"行目】【単価】未入力"&amp;CHAR(10),
IF(AND(AF80="◎",AG80="◎",AH80="×",AI80="○"),"【"&amp;AK80&amp;"行目】【単価】入力不十分、【補助対象区分】未入力"&amp;CHAR(10),
IF(AND(AF80="◎",AG80="◎",AH80="×",AI80="◎"),"【"&amp;AK80&amp;"行目】【単価】入力不十分"&amp;CHAR(10),
IF(AND(AF80="◎",AG80="◎",AH80="◎",AI80="○"),"【"&amp;AK80&amp;"行目】【補助対象区分】未入力"&amp;CHAR(10),
IF(AND(AF80="◎",AG80="◎",AH80="◎",AI80="◎"),"",
))))))))))))))))))))))))))))))))))))))))))))))))))))))</f>
        <v/>
      </c>
      <c r="AK80" s="52">
        <v>65</v>
      </c>
    </row>
    <row r="81" spans="1:37" ht="24.95" customHeight="1">
      <c r="A81" s="38">
        <v>66</v>
      </c>
      <c r="B81" s="832"/>
      <c r="C81" s="827"/>
      <c r="D81" s="826"/>
      <c r="E81" s="827"/>
      <c r="F81" s="315"/>
      <c r="G81" s="316"/>
      <c r="H81" s="316"/>
      <c r="I81" s="45">
        <f t="shared" ref="I81:I115" si="13">IF(G81="",H81*F81,ROUNDDOWN(F81*G81*1.1,0))</f>
        <v>0</v>
      </c>
      <c r="J81" s="317"/>
      <c r="K81" s="45">
        <f t="shared" ref="K81:K115" si="14">IF(J81="補助対象",I81,IF(J81="補助対象外",0,0))</f>
        <v>0</v>
      </c>
      <c r="L81" s="44" t="str">
        <f>IF(AD81="◎",COUNTIF($AD$16:AD81,"◎"),"")</f>
        <v/>
      </c>
      <c r="W81" s="234" t="str">
        <f>IF(B81="既設病床",はじめに入力してください!$K$12,IF(B81="新設病床",はじめに入力してください!$K$13,IF(B81="共通使用",1,"")))</f>
        <v/>
      </c>
      <c r="AC81" s="49" t="s">
        <v>69</v>
      </c>
      <c r="AD81" s="239" t="str">
        <f t="shared" ref="AD81:AD115" si="15" xml:space="preserve">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f>
        <v>○</v>
      </c>
      <c r="AE81" s="35" t="str">
        <f t="shared" si="11"/>
        <v>申請しない場合は入力不要です。</v>
      </c>
      <c r="AF81" s="240" t="str">
        <f t="shared" ref="AF81:AF115" si="16">IF(COUNTA(B81)=0,"○",IF(COUNTA(B81)=1,"◎"))</f>
        <v>○</v>
      </c>
      <c r="AG81" s="240" t="str">
        <f t="shared" ref="AG81:AG115" si="17">IF(COUNTA(D81,F81)=0,"○",IF(AND(COUNTA(D81,F81)&gt;=1,COUNTA(D81,F81)&lt;2),"×",IF(COUNTA(D81,F81)=2,"◎")))</f>
        <v>○</v>
      </c>
      <c r="AH81" s="240" t="str">
        <f t="shared" ref="AH81:AH115" si="18">IF(COUNTA(G81:H81)=0,"○",IF(COUNTA(G81:H81)=1,"◎",IF(COUNTA(G81:H81)=2,"×")))</f>
        <v>○</v>
      </c>
      <c r="AI81" s="239" t="str">
        <f t="shared" ref="AI81:AI115" si="19">IF(COUNTA(J81)=0,"○",IF(COUNTA(J81)=1,"◎"))</f>
        <v>○</v>
      </c>
      <c r="AJ81" s="14" t="str">
        <f t="shared" si="12"/>
        <v/>
      </c>
      <c r="AK81" s="52">
        <v>66</v>
      </c>
    </row>
    <row r="82" spans="1:37" ht="24.95" customHeight="1">
      <c r="A82" s="38">
        <v>67</v>
      </c>
      <c r="B82" s="832"/>
      <c r="C82" s="827"/>
      <c r="D82" s="826"/>
      <c r="E82" s="827"/>
      <c r="F82" s="315"/>
      <c r="G82" s="316"/>
      <c r="H82" s="316"/>
      <c r="I82" s="45">
        <f t="shared" si="13"/>
        <v>0</v>
      </c>
      <c r="J82" s="317"/>
      <c r="K82" s="45">
        <f t="shared" si="14"/>
        <v>0</v>
      </c>
      <c r="L82" s="44" t="str">
        <f>IF(AD82="◎",COUNTIF($AD$16:AD82,"◎"),"")</f>
        <v/>
      </c>
      <c r="W82" s="234" t="str">
        <f>IF(B82="既設病床",はじめに入力してください!$K$12,IF(B82="新設病床",はじめに入力してください!$K$13,IF(B82="共通使用",1,"")))</f>
        <v/>
      </c>
      <c r="AC82" s="49" t="s">
        <v>69</v>
      </c>
      <c r="AD82" s="239" t="str">
        <f t="shared" si="15"/>
        <v>○</v>
      </c>
      <c r="AE82" s="35" t="str">
        <f t="shared" si="11"/>
        <v>申請しない場合は入力不要です。</v>
      </c>
      <c r="AF82" s="240" t="str">
        <f t="shared" si="16"/>
        <v>○</v>
      </c>
      <c r="AG82" s="240" t="str">
        <f t="shared" si="17"/>
        <v>○</v>
      </c>
      <c r="AH82" s="240" t="str">
        <f t="shared" si="18"/>
        <v>○</v>
      </c>
      <c r="AI82" s="239" t="str">
        <f t="shared" si="19"/>
        <v>○</v>
      </c>
      <c r="AJ82" s="14" t="str">
        <f t="shared" si="12"/>
        <v/>
      </c>
      <c r="AK82" s="52">
        <v>67</v>
      </c>
    </row>
    <row r="83" spans="1:37" ht="24.95" customHeight="1">
      <c r="A83" s="38">
        <v>68</v>
      </c>
      <c r="B83" s="832"/>
      <c r="C83" s="827"/>
      <c r="D83" s="826"/>
      <c r="E83" s="827"/>
      <c r="F83" s="315"/>
      <c r="G83" s="316"/>
      <c r="H83" s="316"/>
      <c r="I83" s="45">
        <f t="shared" si="13"/>
        <v>0</v>
      </c>
      <c r="J83" s="317"/>
      <c r="K83" s="45">
        <f t="shared" si="14"/>
        <v>0</v>
      </c>
      <c r="L83" s="44" t="str">
        <f>IF(AD83="◎",COUNTIF($AD$16:AD83,"◎"),"")</f>
        <v/>
      </c>
      <c r="W83" s="234" t="str">
        <f>IF(B83="既設病床",はじめに入力してください!$K$12,IF(B83="新設病床",はじめに入力してください!$K$13,IF(B83="共通使用",1,"")))</f>
        <v/>
      </c>
      <c r="AC83" s="49" t="s">
        <v>69</v>
      </c>
      <c r="AD83" s="239" t="str">
        <f t="shared" si="15"/>
        <v>○</v>
      </c>
      <c r="AE83" s="35" t="str">
        <f t="shared" si="11"/>
        <v>申請しない場合は入力不要です。</v>
      </c>
      <c r="AF83" s="240" t="str">
        <f t="shared" si="16"/>
        <v>○</v>
      </c>
      <c r="AG83" s="240" t="str">
        <f t="shared" si="17"/>
        <v>○</v>
      </c>
      <c r="AH83" s="240" t="str">
        <f t="shared" si="18"/>
        <v>○</v>
      </c>
      <c r="AI83" s="239" t="str">
        <f t="shared" si="19"/>
        <v>○</v>
      </c>
      <c r="AJ83" s="14" t="str">
        <f t="shared" si="12"/>
        <v/>
      </c>
      <c r="AK83" s="52">
        <v>68</v>
      </c>
    </row>
    <row r="84" spans="1:37" ht="24.95" customHeight="1">
      <c r="A84" s="38">
        <v>69</v>
      </c>
      <c r="B84" s="832"/>
      <c r="C84" s="827"/>
      <c r="D84" s="826"/>
      <c r="E84" s="827"/>
      <c r="F84" s="315"/>
      <c r="G84" s="316"/>
      <c r="H84" s="316"/>
      <c r="I84" s="45">
        <f t="shared" si="13"/>
        <v>0</v>
      </c>
      <c r="J84" s="317"/>
      <c r="K84" s="45">
        <f t="shared" si="14"/>
        <v>0</v>
      </c>
      <c r="L84" s="44" t="str">
        <f>IF(AD84="◎",COUNTIF($AD$16:AD84,"◎"),"")</f>
        <v/>
      </c>
      <c r="W84" s="234" t="str">
        <f>IF(B84="既設病床",はじめに入力してください!$K$12,IF(B84="新設病床",はじめに入力してください!$K$13,IF(B84="共通使用",1,"")))</f>
        <v/>
      </c>
      <c r="AC84" s="49" t="s">
        <v>69</v>
      </c>
      <c r="AD84" s="239" t="str">
        <f t="shared" si="15"/>
        <v>○</v>
      </c>
      <c r="AE84" s="35" t="str">
        <f t="shared" si="11"/>
        <v>申請しない場合は入力不要です。</v>
      </c>
      <c r="AF84" s="240" t="str">
        <f t="shared" si="16"/>
        <v>○</v>
      </c>
      <c r="AG84" s="240" t="str">
        <f t="shared" si="17"/>
        <v>○</v>
      </c>
      <c r="AH84" s="240" t="str">
        <f t="shared" si="18"/>
        <v>○</v>
      </c>
      <c r="AI84" s="239" t="str">
        <f t="shared" si="19"/>
        <v>○</v>
      </c>
      <c r="AJ84" s="14" t="str">
        <f t="shared" si="12"/>
        <v/>
      </c>
      <c r="AK84" s="52">
        <v>69</v>
      </c>
    </row>
    <row r="85" spans="1:37" ht="24.95" customHeight="1">
      <c r="A85" s="38">
        <v>70</v>
      </c>
      <c r="B85" s="832"/>
      <c r="C85" s="827"/>
      <c r="D85" s="826"/>
      <c r="E85" s="827"/>
      <c r="F85" s="315"/>
      <c r="G85" s="316"/>
      <c r="H85" s="316"/>
      <c r="I85" s="45">
        <f t="shared" si="13"/>
        <v>0</v>
      </c>
      <c r="J85" s="317"/>
      <c r="K85" s="45">
        <f t="shared" si="14"/>
        <v>0</v>
      </c>
      <c r="L85" s="44" t="str">
        <f>IF(AD85="◎",COUNTIF($AD$16:AD85,"◎"),"")</f>
        <v/>
      </c>
      <c r="W85" s="234" t="str">
        <f>IF(B85="既設病床",はじめに入力してください!$K$12,IF(B85="新設病床",はじめに入力してください!$K$13,IF(B85="共通使用",1,"")))</f>
        <v/>
      </c>
      <c r="AC85" s="49" t="s">
        <v>69</v>
      </c>
      <c r="AD85" s="239" t="str">
        <f t="shared" si="15"/>
        <v>○</v>
      </c>
      <c r="AE85" s="35" t="str">
        <f t="shared" si="11"/>
        <v>申請しない場合は入力不要です。</v>
      </c>
      <c r="AF85" s="240" t="str">
        <f t="shared" si="16"/>
        <v>○</v>
      </c>
      <c r="AG85" s="240" t="str">
        <f t="shared" si="17"/>
        <v>○</v>
      </c>
      <c r="AH85" s="240" t="str">
        <f t="shared" si="18"/>
        <v>○</v>
      </c>
      <c r="AI85" s="239" t="str">
        <f t="shared" si="19"/>
        <v>○</v>
      </c>
      <c r="AJ85" s="14" t="str">
        <f t="shared" si="12"/>
        <v/>
      </c>
      <c r="AK85" s="52">
        <v>70</v>
      </c>
    </row>
    <row r="86" spans="1:37" ht="24.95" customHeight="1">
      <c r="A86" s="38">
        <v>71</v>
      </c>
      <c r="B86" s="832"/>
      <c r="C86" s="827"/>
      <c r="D86" s="826"/>
      <c r="E86" s="827"/>
      <c r="F86" s="315"/>
      <c r="G86" s="316"/>
      <c r="H86" s="316"/>
      <c r="I86" s="45">
        <f t="shared" si="13"/>
        <v>0</v>
      </c>
      <c r="J86" s="317"/>
      <c r="K86" s="45">
        <f t="shared" si="14"/>
        <v>0</v>
      </c>
      <c r="L86" s="44" t="str">
        <f>IF(AD86="◎",COUNTIF($AD$16:AD86,"◎"),"")</f>
        <v/>
      </c>
      <c r="W86" s="234" t="str">
        <f>IF(B86="既設病床",はじめに入力してください!$K$12,IF(B86="新設病床",はじめに入力してください!$K$13,IF(B86="共通使用",1,"")))</f>
        <v/>
      </c>
      <c r="AC86" s="49" t="s">
        <v>69</v>
      </c>
      <c r="AD86" s="239" t="str">
        <f t="shared" si="15"/>
        <v>○</v>
      </c>
      <c r="AE86" s="35" t="str">
        <f t="shared" si="11"/>
        <v>申請しない場合は入力不要です。</v>
      </c>
      <c r="AF86" s="240" t="str">
        <f t="shared" si="16"/>
        <v>○</v>
      </c>
      <c r="AG86" s="240" t="str">
        <f t="shared" si="17"/>
        <v>○</v>
      </c>
      <c r="AH86" s="240" t="str">
        <f t="shared" si="18"/>
        <v>○</v>
      </c>
      <c r="AI86" s="239" t="str">
        <f t="shared" si="19"/>
        <v>○</v>
      </c>
      <c r="AJ86" s="14" t="str">
        <f t="shared" si="12"/>
        <v/>
      </c>
      <c r="AK86" s="52">
        <v>71</v>
      </c>
    </row>
    <row r="87" spans="1:37" ht="24.95" customHeight="1">
      <c r="A87" s="38">
        <v>72</v>
      </c>
      <c r="B87" s="832"/>
      <c r="C87" s="827"/>
      <c r="D87" s="826"/>
      <c r="E87" s="827"/>
      <c r="F87" s="315"/>
      <c r="G87" s="316"/>
      <c r="H87" s="316"/>
      <c r="I87" s="45">
        <f t="shared" si="13"/>
        <v>0</v>
      </c>
      <c r="J87" s="317"/>
      <c r="K87" s="45">
        <f t="shared" si="14"/>
        <v>0</v>
      </c>
      <c r="L87" s="44" t="str">
        <f>IF(AD87="◎",COUNTIF($AD$16:AD87,"◎"),"")</f>
        <v/>
      </c>
      <c r="W87" s="234" t="str">
        <f>IF(B87="既設病床",はじめに入力してください!$K$12,IF(B87="新設病床",はじめに入力してください!$K$13,IF(B87="共通使用",1,"")))</f>
        <v/>
      </c>
      <c r="AC87" s="49" t="s">
        <v>69</v>
      </c>
      <c r="AD87" s="239" t="str">
        <f t="shared" si="15"/>
        <v>○</v>
      </c>
      <c r="AE87" s="35" t="str">
        <f t="shared" si="11"/>
        <v>申請しない場合は入力不要です。</v>
      </c>
      <c r="AF87" s="240" t="str">
        <f t="shared" si="16"/>
        <v>○</v>
      </c>
      <c r="AG87" s="240" t="str">
        <f t="shared" si="17"/>
        <v>○</v>
      </c>
      <c r="AH87" s="240" t="str">
        <f t="shared" si="18"/>
        <v>○</v>
      </c>
      <c r="AI87" s="239" t="str">
        <f t="shared" si="19"/>
        <v>○</v>
      </c>
      <c r="AJ87" s="14" t="str">
        <f t="shared" si="12"/>
        <v/>
      </c>
      <c r="AK87" s="52">
        <v>72</v>
      </c>
    </row>
    <row r="88" spans="1:37" ht="24.95" customHeight="1">
      <c r="A88" s="38">
        <v>73</v>
      </c>
      <c r="B88" s="832"/>
      <c r="C88" s="827"/>
      <c r="D88" s="826"/>
      <c r="E88" s="827"/>
      <c r="F88" s="315"/>
      <c r="G88" s="316"/>
      <c r="H88" s="316"/>
      <c r="I88" s="45">
        <f t="shared" si="13"/>
        <v>0</v>
      </c>
      <c r="J88" s="317"/>
      <c r="K88" s="45">
        <f t="shared" si="14"/>
        <v>0</v>
      </c>
      <c r="L88" s="44" t="str">
        <f>IF(AD88="◎",COUNTIF($AD$16:AD88,"◎"),"")</f>
        <v/>
      </c>
      <c r="W88" s="234" t="str">
        <f>IF(B88="既設病床",はじめに入力してください!$K$12,IF(B88="新設病床",はじめに入力してください!$K$13,IF(B88="共通使用",1,"")))</f>
        <v/>
      </c>
      <c r="AC88" s="49" t="s">
        <v>69</v>
      </c>
      <c r="AD88" s="239" t="str">
        <f t="shared" si="15"/>
        <v>○</v>
      </c>
      <c r="AE88" s="35" t="str">
        <f t="shared" si="11"/>
        <v>申請しない場合は入力不要です。</v>
      </c>
      <c r="AF88" s="240" t="str">
        <f t="shared" si="16"/>
        <v>○</v>
      </c>
      <c r="AG88" s="240" t="str">
        <f t="shared" si="17"/>
        <v>○</v>
      </c>
      <c r="AH88" s="240" t="str">
        <f t="shared" si="18"/>
        <v>○</v>
      </c>
      <c r="AI88" s="239" t="str">
        <f t="shared" si="19"/>
        <v>○</v>
      </c>
      <c r="AJ88" s="14" t="str">
        <f t="shared" si="12"/>
        <v/>
      </c>
      <c r="AK88" s="52">
        <v>73</v>
      </c>
    </row>
    <row r="89" spans="1:37" ht="24.95" customHeight="1">
      <c r="A89" s="38">
        <v>74</v>
      </c>
      <c r="B89" s="832"/>
      <c r="C89" s="827"/>
      <c r="D89" s="826"/>
      <c r="E89" s="827"/>
      <c r="F89" s="315"/>
      <c r="G89" s="316"/>
      <c r="H89" s="316"/>
      <c r="I89" s="45">
        <f t="shared" si="13"/>
        <v>0</v>
      </c>
      <c r="J89" s="317"/>
      <c r="K89" s="45">
        <f t="shared" si="14"/>
        <v>0</v>
      </c>
      <c r="L89" s="44" t="str">
        <f>IF(AD89="◎",COUNTIF($AD$16:AD89,"◎"),"")</f>
        <v/>
      </c>
      <c r="W89" s="234" t="str">
        <f>IF(B89="既設病床",はじめに入力してください!$K$12,IF(B89="新設病床",はじめに入力してください!$K$13,IF(B89="共通使用",1,"")))</f>
        <v/>
      </c>
      <c r="AC89" s="49" t="s">
        <v>69</v>
      </c>
      <c r="AD89" s="239" t="str">
        <f t="shared" si="15"/>
        <v>○</v>
      </c>
      <c r="AE89" s="35" t="str">
        <f t="shared" si="11"/>
        <v>申請しない場合は入力不要です。</v>
      </c>
      <c r="AF89" s="240" t="str">
        <f t="shared" si="16"/>
        <v>○</v>
      </c>
      <c r="AG89" s="240" t="str">
        <f t="shared" si="17"/>
        <v>○</v>
      </c>
      <c r="AH89" s="240" t="str">
        <f t="shared" si="18"/>
        <v>○</v>
      </c>
      <c r="AI89" s="239" t="str">
        <f t="shared" si="19"/>
        <v>○</v>
      </c>
      <c r="AJ89" s="14" t="str">
        <f t="shared" si="12"/>
        <v/>
      </c>
      <c r="AK89" s="52">
        <v>74</v>
      </c>
    </row>
    <row r="90" spans="1:37" ht="24.95" customHeight="1">
      <c r="A90" s="38">
        <v>75</v>
      </c>
      <c r="B90" s="832"/>
      <c r="C90" s="827"/>
      <c r="D90" s="826"/>
      <c r="E90" s="827"/>
      <c r="F90" s="315"/>
      <c r="G90" s="316"/>
      <c r="H90" s="316"/>
      <c r="I90" s="45">
        <f t="shared" si="13"/>
        <v>0</v>
      </c>
      <c r="J90" s="317"/>
      <c r="K90" s="45">
        <f t="shared" si="14"/>
        <v>0</v>
      </c>
      <c r="L90" s="44" t="str">
        <f>IF(AD90="◎",COUNTIF($AD$16:AD90,"◎"),"")</f>
        <v/>
      </c>
      <c r="W90" s="234" t="str">
        <f>IF(B90="既設病床",はじめに入力してください!$K$12,IF(B90="新設病床",はじめに入力してください!$K$13,IF(B90="共通使用",1,"")))</f>
        <v/>
      </c>
      <c r="AC90" s="49" t="s">
        <v>69</v>
      </c>
      <c r="AD90" s="239" t="str">
        <f t="shared" si="15"/>
        <v>○</v>
      </c>
      <c r="AE90" s="35" t="str">
        <f t="shared" si="11"/>
        <v>申請しない場合は入力不要です。</v>
      </c>
      <c r="AF90" s="240" t="str">
        <f t="shared" si="16"/>
        <v>○</v>
      </c>
      <c r="AG90" s="240" t="str">
        <f t="shared" si="17"/>
        <v>○</v>
      </c>
      <c r="AH90" s="240" t="str">
        <f t="shared" si="18"/>
        <v>○</v>
      </c>
      <c r="AI90" s="239" t="str">
        <f t="shared" si="19"/>
        <v>○</v>
      </c>
      <c r="AJ90" s="14" t="str">
        <f t="shared" si="12"/>
        <v/>
      </c>
      <c r="AK90" s="52">
        <v>75</v>
      </c>
    </row>
    <row r="91" spans="1:37" ht="24.95" customHeight="1">
      <c r="A91" s="38">
        <v>76</v>
      </c>
      <c r="B91" s="832"/>
      <c r="C91" s="827"/>
      <c r="D91" s="826"/>
      <c r="E91" s="827"/>
      <c r="F91" s="315"/>
      <c r="G91" s="316"/>
      <c r="H91" s="316"/>
      <c r="I91" s="45">
        <f t="shared" si="13"/>
        <v>0</v>
      </c>
      <c r="J91" s="317"/>
      <c r="K91" s="45">
        <f t="shared" si="14"/>
        <v>0</v>
      </c>
      <c r="L91" s="44" t="str">
        <f>IF(AD91="◎",COUNTIF($AD$16:AD91,"◎"),"")</f>
        <v/>
      </c>
      <c r="W91" s="234" t="str">
        <f>IF(B91="既設病床",はじめに入力してください!$K$12,IF(B91="新設病床",はじめに入力してください!$K$13,IF(B91="共通使用",1,"")))</f>
        <v/>
      </c>
      <c r="AC91" s="49" t="s">
        <v>69</v>
      </c>
      <c r="AD91" s="239" t="str">
        <f t="shared" si="15"/>
        <v>○</v>
      </c>
      <c r="AE91" s="35" t="str">
        <f t="shared" si="11"/>
        <v>申請しない場合は入力不要です。</v>
      </c>
      <c r="AF91" s="240" t="str">
        <f t="shared" si="16"/>
        <v>○</v>
      </c>
      <c r="AG91" s="240" t="str">
        <f t="shared" si="17"/>
        <v>○</v>
      </c>
      <c r="AH91" s="240" t="str">
        <f t="shared" si="18"/>
        <v>○</v>
      </c>
      <c r="AI91" s="239" t="str">
        <f t="shared" si="19"/>
        <v>○</v>
      </c>
      <c r="AJ91" s="14" t="str">
        <f t="shared" si="12"/>
        <v/>
      </c>
      <c r="AK91" s="52">
        <v>76</v>
      </c>
    </row>
    <row r="92" spans="1:37" ht="24.95" customHeight="1">
      <c r="A92" s="38">
        <v>77</v>
      </c>
      <c r="B92" s="832"/>
      <c r="C92" s="827"/>
      <c r="D92" s="826"/>
      <c r="E92" s="827"/>
      <c r="F92" s="315"/>
      <c r="G92" s="316"/>
      <c r="H92" s="316"/>
      <c r="I92" s="45">
        <f t="shared" si="13"/>
        <v>0</v>
      </c>
      <c r="J92" s="317"/>
      <c r="K92" s="45">
        <f t="shared" si="14"/>
        <v>0</v>
      </c>
      <c r="L92" s="44" t="str">
        <f>IF(AD92="◎",COUNTIF($AD$16:AD92,"◎"),"")</f>
        <v/>
      </c>
      <c r="W92" s="234" t="str">
        <f>IF(B92="既設病床",はじめに入力してください!$K$12,IF(B92="新設病床",はじめに入力してください!$K$13,IF(B92="共通使用",1,"")))</f>
        <v/>
      </c>
      <c r="AC92" s="49" t="s">
        <v>69</v>
      </c>
      <c r="AD92" s="239" t="str">
        <f t="shared" si="15"/>
        <v>○</v>
      </c>
      <c r="AE92" s="35" t="str">
        <f t="shared" si="11"/>
        <v>申請しない場合は入力不要です。</v>
      </c>
      <c r="AF92" s="240" t="str">
        <f t="shared" si="16"/>
        <v>○</v>
      </c>
      <c r="AG92" s="240" t="str">
        <f t="shared" si="17"/>
        <v>○</v>
      </c>
      <c r="AH92" s="240" t="str">
        <f t="shared" si="18"/>
        <v>○</v>
      </c>
      <c r="AI92" s="239" t="str">
        <f t="shared" si="19"/>
        <v>○</v>
      </c>
      <c r="AJ92" s="14" t="str">
        <f t="shared" si="12"/>
        <v/>
      </c>
      <c r="AK92" s="52">
        <v>77</v>
      </c>
    </row>
    <row r="93" spans="1:37" ht="24.95" customHeight="1">
      <c r="A93" s="38">
        <v>78</v>
      </c>
      <c r="B93" s="832"/>
      <c r="C93" s="827"/>
      <c r="D93" s="826"/>
      <c r="E93" s="827"/>
      <c r="F93" s="315"/>
      <c r="G93" s="316"/>
      <c r="H93" s="316"/>
      <c r="I93" s="45">
        <f t="shared" si="13"/>
        <v>0</v>
      </c>
      <c r="J93" s="317"/>
      <c r="K93" s="45">
        <f t="shared" si="14"/>
        <v>0</v>
      </c>
      <c r="L93" s="44" t="str">
        <f>IF(AD93="◎",COUNTIF($AD$16:AD93,"◎"),"")</f>
        <v/>
      </c>
      <c r="W93" s="234" t="str">
        <f>IF(B93="既設病床",はじめに入力してください!$K$12,IF(B93="新設病床",はじめに入力してください!$K$13,IF(B93="共通使用",1,"")))</f>
        <v/>
      </c>
      <c r="AC93" s="49" t="s">
        <v>69</v>
      </c>
      <c r="AD93" s="239" t="str">
        <f t="shared" si="15"/>
        <v>○</v>
      </c>
      <c r="AE93" s="35" t="str">
        <f t="shared" si="11"/>
        <v>申請しない場合は入力不要です。</v>
      </c>
      <c r="AF93" s="240" t="str">
        <f t="shared" si="16"/>
        <v>○</v>
      </c>
      <c r="AG93" s="240" t="str">
        <f t="shared" si="17"/>
        <v>○</v>
      </c>
      <c r="AH93" s="240" t="str">
        <f t="shared" si="18"/>
        <v>○</v>
      </c>
      <c r="AI93" s="239" t="str">
        <f t="shared" si="19"/>
        <v>○</v>
      </c>
      <c r="AJ93" s="14" t="str">
        <f t="shared" si="12"/>
        <v/>
      </c>
      <c r="AK93" s="52">
        <v>78</v>
      </c>
    </row>
    <row r="94" spans="1:37" ht="24.95" customHeight="1">
      <c r="A94" s="38">
        <v>79</v>
      </c>
      <c r="B94" s="832"/>
      <c r="C94" s="827"/>
      <c r="D94" s="826"/>
      <c r="E94" s="827"/>
      <c r="F94" s="315"/>
      <c r="G94" s="316"/>
      <c r="H94" s="316"/>
      <c r="I94" s="45">
        <f t="shared" si="13"/>
        <v>0</v>
      </c>
      <c r="J94" s="317"/>
      <c r="K94" s="45">
        <f t="shared" si="14"/>
        <v>0</v>
      </c>
      <c r="L94" s="44" t="str">
        <f>IF(AD94="◎",COUNTIF($AD$16:AD94,"◎"),"")</f>
        <v/>
      </c>
      <c r="W94" s="234" t="str">
        <f>IF(B94="既設病床",はじめに入力してください!$K$12,IF(B94="新設病床",はじめに入力してください!$K$13,IF(B94="共通使用",1,"")))</f>
        <v/>
      </c>
      <c r="AC94" s="49" t="s">
        <v>69</v>
      </c>
      <c r="AD94" s="239" t="str">
        <f t="shared" si="15"/>
        <v>○</v>
      </c>
      <c r="AE94" s="35" t="str">
        <f t="shared" si="11"/>
        <v>申請しない場合は入力不要です。</v>
      </c>
      <c r="AF94" s="240" t="str">
        <f t="shared" si="16"/>
        <v>○</v>
      </c>
      <c r="AG94" s="240" t="str">
        <f t="shared" si="17"/>
        <v>○</v>
      </c>
      <c r="AH94" s="240" t="str">
        <f t="shared" si="18"/>
        <v>○</v>
      </c>
      <c r="AI94" s="239" t="str">
        <f t="shared" si="19"/>
        <v>○</v>
      </c>
      <c r="AJ94" s="14" t="str">
        <f t="shared" si="12"/>
        <v/>
      </c>
      <c r="AK94" s="52">
        <v>79</v>
      </c>
    </row>
    <row r="95" spans="1:37" ht="24.95" customHeight="1">
      <c r="A95" s="38">
        <v>80</v>
      </c>
      <c r="B95" s="832"/>
      <c r="C95" s="827"/>
      <c r="D95" s="826"/>
      <c r="E95" s="827"/>
      <c r="F95" s="315"/>
      <c r="G95" s="316"/>
      <c r="H95" s="316"/>
      <c r="I95" s="45">
        <f t="shared" si="13"/>
        <v>0</v>
      </c>
      <c r="J95" s="317"/>
      <c r="K95" s="45">
        <f t="shared" si="14"/>
        <v>0</v>
      </c>
      <c r="L95" s="44" t="str">
        <f>IF(AD95="◎",COUNTIF($AD$16:AD95,"◎"),"")</f>
        <v/>
      </c>
      <c r="W95" s="234" t="str">
        <f>IF(B95="既設病床",はじめに入力してください!$K$12,IF(B95="新設病床",はじめに入力してください!$K$13,IF(B95="共通使用",1,"")))</f>
        <v/>
      </c>
      <c r="AC95" s="49" t="s">
        <v>69</v>
      </c>
      <c r="AD95" s="239" t="str">
        <f t="shared" si="15"/>
        <v>○</v>
      </c>
      <c r="AE95" s="35" t="str">
        <f t="shared" si="11"/>
        <v>申請しない場合は入力不要です。</v>
      </c>
      <c r="AF95" s="240" t="str">
        <f t="shared" si="16"/>
        <v>○</v>
      </c>
      <c r="AG95" s="240" t="str">
        <f t="shared" si="17"/>
        <v>○</v>
      </c>
      <c r="AH95" s="240" t="str">
        <f t="shared" si="18"/>
        <v>○</v>
      </c>
      <c r="AI95" s="239" t="str">
        <f t="shared" si="19"/>
        <v>○</v>
      </c>
      <c r="AJ95" s="14" t="str">
        <f t="shared" si="12"/>
        <v/>
      </c>
      <c r="AK95" s="52">
        <v>80</v>
      </c>
    </row>
    <row r="96" spans="1:37" ht="24.95" customHeight="1">
      <c r="A96" s="38">
        <v>81</v>
      </c>
      <c r="B96" s="832"/>
      <c r="C96" s="827"/>
      <c r="D96" s="826"/>
      <c r="E96" s="827"/>
      <c r="F96" s="315"/>
      <c r="G96" s="316"/>
      <c r="H96" s="316"/>
      <c r="I96" s="45">
        <f t="shared" si="13"/>
        <v>0</v>
      </c>
      <c r="J96" s="317"/>
      <c r="K96" s="45">
        <f t="shared" si="14"/>
        <v>0</v>
      </c>
      <c r="L96" s="44" t="str">
        <f>IF(AD96="◎",COUNTIF($AD$16:AD96,"◎"),"")</f>
        <v/>
      </c>
      <c r="W96" s="234" t="str">
        <f>IF(B96="既設病床",はじめに入力してください!$K$12,IF(B96="新設病床",はじめに入力してください!$K$13,IF(B96="共通使用",1,"")))</f>
        <v/>
      </c>
      <c r="AC96" s="49" t="s">
        <v>69</v>
      </c>
      <c r="AD96" s="239" t="str">
        <f t="shared" si="15"/>
        <v>○</v>
      </c>
      <c r="AE96" s="35" t="str">
        <f t="shared" si="11"/>
        <v>申請しない場合は入力不要です。</v>
      </c>
      <c r="AF96" s="240" t="str">
        <f t="shared" si="16"/>
        <v>○</v>
      </c>
      <c r="AG96" s="240" t="str">
        <f t="shared" si="17"/>
        <v>○</v>
      </c>
      <c r="AH96" s="240" t="str">
        <f t="shared" si="18"/>
        <v>○</v>
      </c>
      <c r="AI96" s="239" t="str">
        <f t="shared" si="19"/>
        <v>○</v>
      </c>
      <c r="AJ96" s="14" t="str">
        <f t="shared" si="12"/>
        <v/>
      </c>
      <c r="AK96" s="52">
        <v>81</v>
      </c>
    </row>
    <row r="97" spans="1:37" ht="24.95" customHeight="1">
      <c r="A97" s="38">
        <v>82</v>
      </c>
      <c r="B97" s="832"/>
      <c r="C97" s="827"/>
      <c r="D97" s="826"/>
      <c r="E97" s="827"/>
      <c r="F97" s="315"/>
      <c r="G97" s="316"/>
      <c r="H97" s="316"/>
      <c r="I97" s="45">
        <f t="shared" si="13"/>
        <v>0</v>
      </c>
      <c r="J97" s="317"/>
      <c r="K97" s="45">
        <f t="shared" si="14"/>
        <v>0</v>
      </c>
      <c r="L97" s="44" t="str">
        <f>IF(AD97="◎",COUNTIF($AD$16:AD97,"◎"),"")</f>
        <v/>
      </c>
      <c r="W97" s="234" t="str">
        <f>IF(B97="既設病床",はじめに入力してください!$K$12,IF(B97="新設病床",はじめに入力してください!$K$13,IF(B97="共通使用",1,"")))</f>
        <v/>
      </c>
      <c r="AC97" s="49" t="s">
        <v>69</v>
      </c>
      <c r="AD97" s="239" t="str">
        <f t="shared" si="15"/>
        <v>○</v>
      </c>
      <c r="AE97" s="35" t="str">
        <f t="shared" si="11"/>
        <v>申請しない場合は入力不要です。</v>
      </c>
      <c r="AF97" s="240" t="str">
        <f t="shared" si="16"/>
        <v>○</v>
      </c>
      <c r="AG97" s="240" t="str">
        <f t="shared" si="17"/>
        <v>○</v>
      </c>
      <c r="AH97" s="240" t="str">
        <f t="shared" si="18"/>
        <v>○</v>
      </c>
      <c r="AI97" s="239" t="str">
        <f t="shared" si="19"/>
        <v>○</v>
      </c>
      <c r="AJ97" s="14" t="str">
        <f t="shared" si="12"/>
        <v/>
      </c>
      <c r="AK97" s="52">
        <v>82</v>
      </c>
    </row>
    <row r="98" spans="1:37" ht="24.95" customHeight="1">
      <c r="A98" s="38">
        <v>83</v>
      </c>
      <c r="B98" s="832"/>
      <c r="C98" s="827"/>
      <c r="D98" s="826"/>
      <c r="E98" s="827"/>
      <c r="F98" s="315"/>
      <c r="G98" s="316"/>
      <c r="H98" s="316"/>
      <c r="I98" s="45">
        <f t="shared" si="13"/>
        <v>0</v>
      </c>
      <c r="J98" s="317"/>
      <c r="K98" s="45">
        <f t="shared" si="14"/>
        <v>0</v>
      </c>
      <c r="L98" s="44" t="str">
        <f>IF(AD98="◎",COUNTIF($AD$16:AD98,"◎"),"")</f>
        <v/>
      </c>
      <c r="W98" s="234" t="str">
        <f>IF(B98="既設病床",はじめに入力してください!$K$12,IF(B98="新設病床",はじめに入力してください!$K$13,IF(B98="共通使用",1,"")))</f>
        <v/>
      </c>
      <c r="AC98" s="49" t="s">
        <v>69</v>
      </c>
      <c r="AD98" s="239" t="str">
        <f t="shared" si="15"/>
        <v>○</v>
      </c>
      <c r="AE98" s="35" t="str">
        <f t="shared" si="11"/>
        <v>申請しない場合は入力不要です。</v>
      </c>
      <c r="AF98" s="240" t="str">
        <f t="shared" si="16"/>
        <v>○</v>
      </c>
      <c r="AG98" s="240" t="str">
        <f t="shared" si="17"/>
        <v>○</v>
      </c>
      <c r="AH98" s="240" t="str">
        <f t="shared" si="18"/>
        <v>○</v>
      </c>
      <c r="AI98" s="239" t="str">
        <f t="shared" si="19"/>
        <v>○</v>
      </c>
      <c r="AJ98" s="14" t="str">
        <f t="shared" si="12"/>
        <v/>
      </c>
      <c r="AK98" s="52">
        <v>83</v>
      </c>
    </row>
    <row r="99" spans="1:37" ht="24.95" customHeight="1">
      <c r="A99" s="38">
        <v>84</v>
      </c>
      <c r="B99" s="832"/>
      <c r="C99" s="827"/>
      <c r="D99" s="826"/>
      <c r="E99" s="827"/>
      <c r="F99" s="315"/>
      <c r="G99" s="316"/>
      <c r="H99" s="316"/>
      <c r="I99" s="45">
        <f t="shared" si="13"/>
        <v>0</v>
      </c>
      <c r="J99" s="317"/>
      <c r="K99" s="45">
        <f t="shared" si="14"/>
        <v>0</v>
      </c>
      <c r="L99" s="44" t="str">
        <f>IF(AD99="◎",COUNTIF($AD$16:AD99,"◎"),"")</f>
        <v/>
      </c>
      <c r="W99" s="234" t="str">
        <f>IF(B99="既設病床",はじめに入力してください!$K$12,IF(B99="新設病床",はじめに入力してください!$K$13,IF(B99="共通使用",1,"")))</f>
        <v/>
      </c>
      <c r="AC99" s="49" t="s">
        <v>69</v>
      </c>
      <c r="AD99" s="239" t="str">
        <f t="shared" si="15"/>
        <v>○</v>
      </c>
      <c r="AE99" s="35" t="str">
        <f t="shared" si="11"/>
        <v>申請しない場合は入力不要です。</v>
      </c>
      <c r="AF99" s="240" t="str">
        <f t="shared" si="16"/>
        <v>○</v>
      </c>
      <c r="AG99" s="240" t="str">
        <f t="shared" si="17"/>
        <v>○</v>
      </c>
      <c r="AH99" s="240" t="str">
        <f t="shared" si="18"/>
        <v>○</v>
      </c>
      <c r="AI99" s="239" t="str">
        <f t="shared" si="19"/>
        <v>○</v>
      </c>
      <c r="AJ99" s="14" t="str">
        <f t="shared" si="12"/>
        <v/>
      </c>
      <c r="AK99" s="52">
        <v>84</v>
      </c>
    </row>
    <row r="100" spans="1:37" ht="24.95" customHeight="1">
      <c r="A100" s="38">
        <v>85</v>
      </c>
      <c r="B100" s="832"/>
      <c r="C100" s="827"/>
      <c r="D100" s="826"/>
      <c r="E100" s="827"/>
      <c r="F100" s="315"/>
      <c r="G100" s="316"/>
      <c r="H100" s="316"/>
      <c r="I100" s="45">
        <f t="shared" si="13"/>
        <v>0</v>
      </c>
      <c r="J100" s="317"/>
      <c r="K100" s="45">
        <f t="shared" si="14"/>
        <v>0</v>
      </c>
      <c r="L100" s="44" t="str">
        <f>IF(AD100="◎",COUNTIF($AD$16:AD100,"◎"),"")</f>
        <v/>
      </c>
      <c r="W100" s="234" t="str">
        <f>IF(B100="既設病床",はじめに入力してください!$K$12,IF(B100="新設病床",はじめに入力してください!$K$13,IF(B100="共通使用",1,"")))</f>
        <v/>
      </c>
      <c r="AC100" s="49" t="s">
        <v>69</v>
      </c>
      <c r="AD100" s="239" t="str">
        <f t="shared" si="15"/>
        <v>○</v>
      </c>
      <c r="AE100" s="35" t="str">
        <f t="shared" si="11"/>
        <v>申請しない場合は入力不要です。</v>
      </c>
      <c r="AF100" s="240" t="str">
        <f t="shared" si="16"/>
        <v>○</v>
      </c>
      <c r="AG100" s="240" t="str">
        <f t="shared" si="17"/>
        <v>○</v>
      </c>
      <c r="AH100" s="240" t="str">
        <f t="shared" si="18"/>
        <v>○</v>
      </c>
      <c r="AI100" s="239" t="str">
        <f t="shared" si="19"/>
        <v>○</v>
      </c>
      <c r="AJ100" s="14" t="str">
        <f t="shared" si="12"/>
        <v/>
      </c>
      <c r="AK100" s="52">
        <v>85</v>
      </c>
    </row>
    <row r="101" spans="1:37" ht="24.95" customHeight="1">
      <c r="A101" s="38">
        <v>86</v>
      </c>
      <c r="B101" s="832"/>
      <c r="C101" s="827"/>
      <c r="D101" s="826"/>
      <c r="E101" s="827"/>
      <c r="F101" s="315"/>
      <c r="G101" s="316"/>
      <c r="H101" s="316"/>
      <c r="I101" s="45">
        <f t="shared" si="13"/>
        <v>0</v>
      </c>
      <c r="J101" s="317"/>
      <c r="K101" s="45">
        <f t="shared" si="14"/>
        <v>0</v>
      </c>
      <c r="L101" s="44" t="str">
        <f>IF(AD101="◎",COUNTIF($AD$16:AD101,"◎"),"")</f>
        <v/>
      </c>
      <c r="W101" s="234" t="str">
        <f>IF(B101="既設病床",はじめに入力してください!$K$12,IF(B101="新設病床",はじめに入力してください!$K$13,IF(B101="共通使用",1,"")))</f>
        <v/>
      </c>
      <c r="AC101" s="49" t="s">
        <v>69</v>
      </c>
      <c r="AD101" s="239" t="str">
        <f t="shared" si="15"/>
        <v>○</v>
      </c>
      <c r="AE101" s="35" t="str">
        <f t="shared" si="11"/>
        <v>申請しない場合は入力不要です。</v>
      </c>
      <c r="AF101" s="240" t="str">
        <f t="shared" si="16"/>
        <v>○</v>
      </c>
      <c r="AG101" s="240" t="str">
        <f t="shared" si="17"/>
        <v>○</v>
      </c>
      <c r="AH101" s="240" t="str">
        <f t="shared" si="18"/>
        <v>○</v>
      </c>
      <c r="AI101" s="239" t="str">
        <f t="shared" si="19"/>
        <v>○</v>
      </c>
      <c r="AJ101" s="14" t="str">
        <f t="shared" si="12"/>
        <v/>
      </c>
      <c r="AK101" s="52">
        <v>86</v>
      </c>
    </row>
    <row r="102" spans="1:37" ht="24.95" customHeight="1">
      <c r="A102" s="38">
        <v>87</v>
      </c>
      <c r="B102" s="832"/>
      <c r="C102" s="827"/>
      <c r="D102" s="826"/>
      <c r="E102" s="827"/>
      <c r="F102" s="315"/>
      <c r="G102" s="316"/>
      <c r="H102" s="316"/>
      <c r="I102" s="45">
        <f t="shared" si="13"/>
        <v>0</v>
      </c>
      <c r="J102" s="317"/>
      <c r="K102" s="45">
        <f t="shared" si="14"/>
        <v>0</v>
      </c>
      <c r="L102" s="44" t="str">
        <f>IF(AD102="◎",COUNTIF($AD$16:AD102,"◎"),"")</f>
        <v/>
      </c>
      <c r="W102" s="234" t="str">
        <f>IF(B102="既設病床",はじめに入力してください!$K$12,IF(B102="新設病床",はじめに入力してください!$K$13,IF(B102="共通使用",1,"")))</f>
        <v/>
      </c>
      <c r="AC102" s="49" t="s">
        <v>69</v>
      </c>
      <c r="AD102" s="239" t="str">
        <f t="shared" si="15"/>
        <v>○</v>
      </c>
      <c r="AE102" s="35" t="str">
        <f t="shared" si="11"/>
        <v>申請しない場合は入力不要です。</v>
      </c>
      <c r="AF102" s="240" t="str">
        <f t="shared" si="16"/>
        <v>○</v>
      </c>
      <c r="AG102" s="240" t="str">
        <f t="shared" si="17"/>
        <v>○</v>
      </c>
      <c r="AH102" s="240" t="str">
        <f t="shared" si="18"/>
        <v>○</v>
      </c>
      <c r="AI102" s="239" t="str">
        <f t="shared" si="19"/>
        <v>○</v>
      </c>
      <c r="AJ102" s="14" t="str">
        <f t="shared" si="12"/>
        <v/>
      </c>
      <c r="AK102" s="52">
        <v>87</v>
      </c>
    </row>
    <row r="103" spans="1:37" ht="24.95" customHeight="1">
      <c r="A103" s="38">
        <v>88</v>
      </c>
      <c r="B103" s="832"/>
      <c r="C103" s="827"/>
      <c r="D103" s="826"/>
      <c r="E103" s="827"/>
      <c r="F103" s="315"/>
      <c r="G103" s="316"/>
      <c r="H103" s="316"/>
      <c r="I103" s="45">
        <f t="shared" si="13"/>
        <v>0</v>
      </c>
      <c r="J103" s="317"/>
      <c r="K103" s="45">
        <f t="shared" si="14"/>
        <v>0</v>
      </c>
      <c r="L103" s="44" t="str">
        <f>IF(AD103="◎",COUNTIF($AD$16:AD103,"◎"),"")</f>
        <v/>
      </c>
      <c r="W103" s="234" t="str">
        <f>IF(B103="既設病床",はじめに入力してください!$K$12,IF(B103="新設病床",はじめに入力してください!$K$13,IF(B103="共通使用",1,"")))</f>
        <v/>
      </c>
      <c r="AC103" s="49" t="s">
        <v>69</v>
      </c>
      <c r="AD103" s="239" t="str">
        <f t="shared" si="15"/>
        <v>○</v>
      </c>
      <c r="AE103" s="35" t="str">
        <f t="shared" si="11"/>
        <v>申請しない場合は入力不要です。</v>
      </c>
      <c r="AF103" s="240" t="str">
        <f t="shared" si="16"/>
        <v>○</v>
      </c>
      <c r="AG103" s="240" t="str">
        <f t="shared" si="17"/>
        <v>○</v>
      </c>
      <c r="AH103" s="240" t="str">
        <f t="shared" si="18"/>
        <v>○</v>
      </c>
      <c r="AI103" s="239" t="str">
        <f t="shared" si="19"/>
        <v>○</v>
      </c>
      <c r="AJ103" s="14" t="str">
        <f t="shared" si="12"/>
        <v/>
      </c>
      <c r="AK103" s="52">
        <v>88</v>
      </c>
    </row>
    <row r="104" spans="1:37" ht="24.95" customHeight="1">
      <c r="A104" s="38">
        <v>89</v>
      </c>
      <c r="B104" s="832"/>
      <c r="C104" s="827"/>
      <c r="D104" s="826"/>
      <c r="E104" s="827"/>
      <c r="F104" s="315"/>
      <c r="G104" s="316"/>
      <c r="H104" s="316"/>
      <c r="I104" s="45">
        <f t="shared" si="13"/>
        <v>0</v>
      </c>
      <c r="J104" s="317"/>
      <c r="K104" s="45">
        <f t="shared" si="14"/>
        <v>0</v>
      </c>
      <c r="L104" s="44" t="str">
        <f>IF(AD104="◎",COUNTIF($AD$16:AD104,"◎"),"")</f>
        <v/>
      </c>
      <c r="W104" s="234" t="str">
        <f>IF(B104="既設病床",はじめに入力してください!$K$12,IF(B104="新設病床",はじめに入力してください!$K$13,IF(B104="共通使用",1,"")))</f>
        <v/>
      </c>
      <c r="AC104" s="49" t="s">
        <v>69</v>
      </c>
      <c r="AD104" s="239" t="str">
        <f t="shared" si="15"/>
        <v>○</v>
      </c>
      <c r="AE104" s="35" t="str">
        <f t="shared" si="11"/>
        <v>申請しない場合は入力不要です。</v>
      </c>
      <c r="AF104" s="240" t="str">
        <f t="shared" si="16"/>
        <v>○</v>
      </c>
      <c r="AG104" s="240" t="str">
        <f t="shared" si="17"/>
        <v>○</v>
      </c>
      <c r="AH104" s="240" t="str">
        <f t="shared" si="18"/>
        <v>○</v>
      </c>
      <c r="AI104" s="239" t="str">
        <f t="shared" si="19"/>
        <v>○</v>
      </c>
      <c r="AJ104" s="14" t="str">
        <f t="shared" si="12"/>
        <v/>
      </c>
      <c r="AK104" s="52">
        <v>89</v>
      </c>
    </row>
    <row r="105" spans="1:37" ht="24.95" customHeight="1">
      <c r="A105" s="38">
        <v>90</v>
      </c>
      <c r="B105" s="832"/>
      <c r="C105" s="827"/>
      <c r="D105" s="826"/>
      <c r="E105" s="827"/>
      <c r="F105" s="315"/>
      <c r="G105" s="316"/>
      <c r="H105" s="316"/>
      <c r="I105" s="45">
        <f t="shared" si="13"/>
        <v>0</v>
      </c>
      <c r="J105" s="317"/>
      <c r="K105" s="45">
        <f t="shared" si="14"/>
        <v>0</v>
      </c>
      <c r="L105" s="44" t="str">
        <f>IF(AD105="◎",COUNTIF($AD$16:AD105,"◎"),"")</f>
        <v/>
      </c>
      <c r="W105" s="234" t="str">
        <f>IF(B105="既設病床",はじめに入力してください!$K$12,IF(B105="新設病床",はじめに入力してください!$K$13,IF(B105="共通使用",1,"")))</f>
        <v/>
      </c>
      <c r="AC105" s="49" t="s">
        <v>69</v>
      </c>
      <c r="AD105" s="239" t="str">
        <f t="shared" si="15"/>
        <v>○</v>
      </c>
      <c r="AE105" s="35" t="str">
        <f t="shared" si="11"/>
        <v>申請しない場合は入力不要です。</v>
      </c>
      <c r="AF105" s="240" t="str">
        <f t="shared" si="16"/>
        <v>○</v>
      </c>
      <c r="AG105" s="240" t="str">
        <f t="shared" si="17"/>
        <v>○</v>
      </c>
      <c r="AH105" s="240" t="str">
        <f t="shared" si="18"/>
        <v>○</v>
      </c>
      <c r="AI105" s="239" t="str">
        <f t="shared" si="19"/>
        <v>○</v>
      </c>
      <c r="AJ105" s="14" t="str">
        <f t="shared" si="12"/>
        <v/>
      </c>
      <c r="AK105" s="52">
        <v>90</v>
      </c>
    </row>
    <row r="106" spans="1:37" ht="24.95" customHeight="1">
      <c r="A106" s="38">
        <v>91</v>
      </c>
      <c r="B106" s="832"/>
      <c r="C106" s="827"/>
      <c r="D106" s="826"/>
      <c r="E106" s="827"/>
      <c r="F106" s="315"/>
      <c r="G106" s="316"/>
      <c r="H106" s="316"/>
      <c r="I106" s="45">
        <f t="shared" si="13"/>
        <v>0</v>
      </c>
      <c r="J106" s="317"/>
      <c r="K106" s="45">
        <f t="shared" si="14"/>
        <v>0</v>
      </c>
      <c r="L106" s="44" t="str">
        <f>IF(AD106="◎",COUNTIF($AD$16:AD106,"◎"),"")</f>
        <v/>
      </c>
      <c r="W106" s="234" t="str">
        <f>IF(B106="既設病床",はじめに入力してください!$K$12,IF(B106="新設病床",はじめに入力してください!$K$13,IF(B106="共通使用",1,"")))</f>
        <v/>
      </c>
      <c r="AC106" s="49" t="s">
        <v>69</v>
      </c>
      <c r="AD106" s="239" t="str">
        <f t="shared" si="15"/>
        <v>○</v>
      </c>
      <c r="AE106" s="35" t="str">
        <f t="shared" si="11"/>
        <v>申請しない場合は入力不要です。</v>
      </c>
      <c r="AF106" s="240" t="str">
        <f t="shared" si="16"/>
        <v>○</v>
      </c>
      <c r="AG106" s="240" t="str">
        <f t="shared" si="17"/>
        <v>○</v>
      </c>
      <c r="AH106" s="240" t="str">
        <f t="shared" si="18"/>
        <v>○</v>
      </c>
      <c r="AI106" s="239" t="str">
        <f t="shared" si="19"/>
        <v>○</v>
      </c>
      <c r="AJ106" s="14" t="str">
        <f t="shared" si="12"/>
        <v/>
      </c>
      <c r="AK106" s="52">
        <v>91</v>
      </c>
    </row>
    <row r="107" spans="1:37" ht="24.95" customHeight="1">
      <c r="A107" s="38">
        <v>92</v>
      </c>
      <c r="B107" s="832"/>
      <c r="C107" s="827"/>
      <c r="D107" s="826"/>
      <c r="E107" s="827"/>
      <c r="F107" s="315"/>
      <c r="G107" s="316"/>
      <c r="H107" s="316"/>
      <c r="I107" s="45">
        <f t="shared" si="13"/>
        <v>0</v>
      </c>
      <c r="J107" s="317"/>
      <c r="K107" s="45">
        <f t="shared" si="14"/>
        <v>0</v>
      </c>
      <c r="L107" s="44" t="str">
        <f>IF(AD107="◎",COUNTIF($AD$16:AD107,"◎"),"")</f>
        <v/>
      </c>
      <c r="W107" s="234" t="str">
        <f>IF(B107="既設病床",はじめに入力してください!$K$12,IF(B107="新設病床",はじめに入力してください!$K$13,IF(B107="共通使用",1,"")))</f>
        <v/>
      </c>
      <c r="AC107" s="49" t="s">
        <v>69</v>
      </c>
      <c r="AD107" s="239" t="str">
        <f t="shared" si="15"/>
        <v>○</v>
      </c>
      <c r="AE107" s="35" t="str">
        <f t="shared" si="11"/>
        <v>申請しない場合は入力不要です。</v>
      </c>
      <c r="AF107" s="240" t="str">
        <f t="shared" si="16"/>
        <v>○</v>
      </c>
      <c r="AG107" s="240" t="str">
        <f t="shared" si="17"/>
        <v>○</v>
      </c>
      <c r="AH107" s="240" t="str">
        <f t="shared" si="18"/>
        <v>○</v>
      </c>
      <c r="AI107" s="239" t="str">
        <f t="shared" si="19"/>
        <v>○</v>
      </c>
      <c r="AJ107" s="14" t="str">
        <f t="shared" si="12"/>
        <v/>
      </c>
      <c r="AK107" s="52">
        <v>92</v>
      </c>
    </row>
    <row r="108" spans="1:37" ht="24.95" customHeight="1">
      <c r="A108" s="38">
        <v>93</v>
      </c>
      <c r="B108" s="832"/>
      <c r="C108" s="827"/>
      <c r="D108" s="826"/>
      <c r="E108" s="827"/>
      <c r="F108" s="315"/>
      <c r="G108" s="316"/>
      <c r="H108" s="316"/>
      <c r="I108" s="45">
        <f t="shared" si="13"/>
        <v>0</v>
      </c>
      <c r="J108" s="317"/>
      <c r="K108" s="45">
        <f t="shared" si="14"/>
        <v>0</v>
      </c>
      <c r="L108" s="44" t="str">
        <f>IF(AD108="◎",COUNTIF($AD$16:AD108,"◎"),"")</f>
        <v/>
      </c>
      <c r="W108" s="234" t="str">
        <f>IF(B108="既設病床",はじめに入力してください!$K$12,IF(B108="新設病床",はじめに入力してください!$K$13,IF(B108="共通使用",1,"")))</f>
        <v/>
      </c>
      <c r="AC108" s="49" t="s">
        <v>69</v>
      </c>
      <c r="AD108" s="239" t="str">
        <f t="shared" si="15"/>
        <v>○</v>
      </c>
      <c r="AE108" s="35" t="str">
        <f t="shared" si="11"/>
        <v>申請しない場合は入力不要です。</v>
      </c>
      <c r="AF108" s="240" t="str">
        <f t="shared" si="16"/>
        <v>○</v>
      </c>
      <c r="AG108" s="240" t="str">
        <f t="shared" si="17"/>
        <v>○</v>
      </c>
      <c r="AH108" s="240" t="str">
        <f t="shared" si="18"/>
        <v>○</v>
      </c>
      <c r="AI108" s="239" t="str">
        <f t="shared" si="19"/>
        <v>○</v>
      </c>
      <c r="AJ108" s="14" t="str">
        <f t="shared" si="12"/>
        <v/>
      </c>
      <c r="AK108" s="52">
        <v>93</v>
      </c>
    </row>
    <row r="109" spans="1:37" ht="24.95" customHeight="1">
      <c r="A109" s="38">
        <v>94</v>
      </c>
      <c r="B109" s="832"/>
      <c r="C109" s="827"/>
      <c r="D109" s="826"/>
      <c r="E109" s="827"/>
      <c r="F109" s="315"/>
      <c r="G109" s="316"/>
      <c r="H109" s="316"/>
      <c r="I109" s="45">
        <f t="shared" si="13"/>
        <v>0</v>
      </c>
      <c r="J109" s="317"/>
      <c r="K109" s="45">
        <f t="shared" si="14"/>
        <v>0</v>
      </c>
      <c r="L109" s="44" t="str">
        <f>IF(AD109="◎",COUNTIF($AD$16:AD109,"◎"),"")</f>
        <v/>
      </c>
      <c r="W109" s="234" t="str">
        <f>IF(B109="既設病床",はじめに入力してください!$K$12,IF(B109="新設病床",はじめに入力してください!$K$13,IF(B109="共通使用",1,"")))</f>
        <v/>
      </c>
      <c r="AC109" s="49" t="s">
        <v>69</v>
      </c>
      <c r="AD109" s="239" t="str">
        <f t="shared" si="15"/>
        <v>○</v>
      </c>
      <c r="AE109" s="35" t="str">
        <f t="shared" si="11"/>
        <v>申請しない場合は入力不要です。</v>
      </c>
      <c r="AF109" s="240" t="str">
        <f t="shared" si="16"/>
        <v>○</v>
      </c>
      <c r="AG109" s="240" t="str">
        <f t="shared" si="17"/>
        <v>○</v>
      </c>
      <c r="AH109" s="240" t="str">
        <f t="shared" si="18"/>
        <v>○</v>
      </c>
      <c r="AI109" s="239" t="str">
        <f t="shared" si="19"/>
        <v>○</v>
      </c>
      <c r="AJ109" s="14" t="str">
        <f t="shared" si="12"/>
        <v/>
      </c>
      <c r="AK109" s="52">
        <v>94</v>
      </c>
    </row>
    <row r="110" spans="1:37" ht="24.95" customHeight="1">
      <c r="A110" s="38">
        <v>95</v>
      </c>
      <c r="B110" s="832"/>
      <c r="C110" s="827"/>
      <c r="D110" s="826"/>
      <c r="E110" s="827"/>
      <c r="F110" s="315"/>
      <c r="G110" s="316"/>
      <c r="H110" s="316"/>
      <c r="I110" s="45">
        <f t="shared" si="13"/>
        <v>0</v>
      </c>
      <c r="J110" s="317"/>
      <c r="K110" s="45">
        <f t="shared" si="14"/>
        <v>0</v>
      </c>
      <c r="L110" s="44" t="str">
        <f>IF(AD110="◎",COUNTIF($AD$16:AD110,"◎"),"")</f>
        <v/>
      </c>
      <c r="W110" s="234" t="str">
        <f>IF(B110="既設病床",はじめに入力してください!$K$12,IF(B110="新設病床",はじめに入力してください!$K$13,IF(B110="共通使用",1,"")))</f>
        <v/>
      </c>
      <c r="AC110" s="49" t="s">
        <v>69</v>
      </c>
      <c r="AD110" s="239" t="str">
        <f t="shared" si="15"/>
        <v>○</v>
      </c>
      <c r="AE110" s="35" t="str">
        <f t="shared" si="11"/>
        <v>申請しない場合は入力不要です。</v>
      </c>
      <c r="AF110" s="240" t="str">
        <f t="shared" si="16"/>
        <v>○</v>
      </c>
      <c r="AG110" s="240" t="str">
        <f t="shared" si="17"/>
        <v>○</v>
      </c>
      <c r="AH110" s="240" t="str">
        <f t="shared" si="18"/>
        <v>○</v>
      </c>
      <c r="AI110" s="239" t="str">
        <f t="shared" si="19"/>
        <v>○</v>
      </c>
      <c r="AJ110" s="14" t="str">
        <f t="shared" si="12"/>
        <v/>
      </c>
      <c r="AK110" s="52">
        <v>95</v>
      </c>
    </row>
    <row r="111" spans="1:37" ht="24.95" customHeight="1">
      <c r="A111" s="38">
        <v>96</v>
      </c>
      <c r="B111" s="832"/>
      <c r="C111" s="827"/>
      <c r="D111" s="826"/>
      <c r="E111" s="827"/>
      <c r="F111" s="315"/>
      <c r="G111" s="316"/>
      <c r="H111" s="316"/>
      <c r="I111" s="45">
        <f t="shared" si="13"/>
        <v>0</v>
      </c>
      <c r="J111" s="317"/>
      <c r="K111" s="45">
        <f t="shared" si="14"/>
        <v>0</v>
      </c>
      <c r="L111" s="44" t="str">
        <f>IF(AD111="◎",COUNTIF($AD$16:AD111,"◎"),"")</f>
        <v/>
      </c>
      <c r="W111" s="234" t="str">
        <f>IF(B111="既設病床",はじめに入力してください!$K$12,IF(B111="新設病床",はじめに入力してください!$K$13,IF(B111="共通使用",1,"")))</f>
        <v/>
      </c>
      <c r="AC111" s="49" t="s">
        <v>69</v>
      </c>
      <c r="AD111" s="239" t="str">
        <f t="shared" si="15"/>
        <v>○</v>
      </c>
      <c r="AE111" s="35" t="str">
        <f t="shared" si="11"/>
        <v>申請しない場合は入力不要です。</v>
      </c>
      <c r="AF111" s="240" t="str">
        <f t="shared" si="16"/>
        <v>○</v>
      </c>
      <c r="AG111" s="240" t="str">
        <f t="shared" si="17"/>
        <v>○</v>
      </c>
      <c r="AH111" s="240" t="str">
        <f t="shared" si="18"/>
        <v>○</v>
      </c>
      <c r="AI111" s="239" t="str">
        <f t="shared" si="19"/>
        <v>○</v>
      </c>
      <c r="AJ111" s="14" t="str">
        <f t="shared" si="12"/>
        <v/>
      </c>
      <c r="AK111" s="52">
        <v>96</v>
      </c>
    </row>
    <row r="112" spans="1:37" ht="24.95" customHeight="1">
      <c r="A112" s="38">
        <v>97</v>
      </c>
      <c r="B112" s="832"/>
      <c r="C112" s="827"/>
      <c r="D112" s="826"/>
      <c r="E112" s="827"/>
      <c r="F112" s="315"/>
      <c r="G112" s="316"/>
      <c r="H112" s="316"/>
      <c r="I112" s="45">
        <f t="shared" si="13"/>
        <v>0</v>
      </c>
      <c r="J112" s="317"/>
      <c r="K112" s="45">
        <f t="shared" si="14"/>
        <v>0</v>
      </c>
      <c r="L112" s="44" t="str">
        <f>IF(AD112="◎",COUNTIF($AD$16:AD112,"◎"),"")</f>
        <v/>
      </c>
      <c r="W112" s="234" t="str">
        <f>IF(B112="既設病床",はじめに入力してください!$K$12,IF(B112="新設病床",はじめに入力してください!$K$13,IF(B112="共通使用",1,"")))</f>
        <v/>
      </c>
      <c r="AC112" s="49" t="s">
        <v>69</v>
      </c>
      <c r="AD112" s="239" t="str">
        <f t="shared" si="15"/>
        <v>○</v>
      </c>
      <c r="AE112" s="35" t="str">
        <f xml:space="preserve">
IF(AND(AF112="○",AG112="○",AH112="○",AI112="○"),"申請しない場合は入力不要です。",
IF(AND(AF112="○",AG112="○",AH112="○",AI112="◎"),"【要修正】【整備区分】未入力、【規格・数量】未入力、【単価】未入力"&amp;CHAR(10),
IF(AND(AF112="○",AG112="○",AH112="×",AI112="○"),"【要修正】【整備区分】未入力、【規格・数量】未入力、【単価】入力不十分、【補助対象区分】未入力"&amp;CHAR(10),
IF(AND(AF112="○",AG112="○",AH112="×",AI112="◎"),"【要修正】【整備区分】未入力、【規格・数量】未入力、【単価】入力不十分"&amp;CHAR(10),
IF(AND(AF112="○",AG112="○",AH112="◎",AI112="○"),"【要修正】【整備区分】未入力、【規格・数量】未入力、【補助対象区分】未入力"&amp;CHAR(10),
IF(AND(AF112="○",AG112="○",AH112="◎",AI112="◎"),"【要修正】【整備区分】未入力、【規格・数量】未入力"&amp;CHAR(10),
IF(AND(AF112="○",AG112="×",AH112="○",AI112="○"),"【要修正】【整備区分】未入力、【規格・数量】入力不十分、【単価】未入力、【補助対象区分】未入力"&amp;CHAR(10),
IF(AND(AF112="○",AG112="×",AH112="○",AI112="◎"),"【要修正】【整備区分】未入力、【規格・数量】入力不十分、【単価】未入力"&amp;CHAR(10),
IF(AND(AF112="○",AG112="×",AH112="×",AI112="○"),"【要修正】【整備区分】未入力、【規格・数量】入力不十分、【単価】入力不十分、【補助対象区分】未入力"&amp;CHAR(10),
IF(AND(AF112="○",AG112="×",AH112="×",AI112="◎"),"【要修正】【整備区分】未入力、【規格・数量】入力不十分、【単価】入力不十分"&amp;CHAR(10),
IF(AND(AF112="○",AG112="×",AH112="◎",AI112="○"),"【要修正】【整備区分】未入力、【規格・数量】入力不十分、【補助対象区分】未入力"&amp;CHAR(10),
IF(AND(AF112="○",AG112="×",AH112="◎",AI112="◎"),"【要修正】【整備区分】未入力、【規格・数量】入力不十分"&amp;CHAR(10),
IF(AND(AF112="○",AG112="◎",AH112="○",AI112="○"),"【要修正】【整備区分】未入力、【単価】未入力、【補助対象区分】未入力"&amp;CHAR(10),
IF(AND(AF112="○",AG112="◎",AH112="○",AI112="◎"),"【要修正】【整備区分】未入力、【単価】未入力"&amp;CHAR(10),
IF(AND(AF112="○",AG112="◎",AH112="×",AI112="○"),"【要修正】【整備区分】未入力、【単価】入力不十分、【補助対象区分】未入力"&amp;CHAR(10),
IF(AND(AF112="○",AG112="◎",AH112="×",AI112="◎"),"【要修正】【整備区分】未入力、【単価】入力不十分"&amp;CHAR(10),
IF(AND(AF112="○",AG112="◎",AH112="◎",AI112="○"),"【要修正】【整備区分】未入力、【補助対象区分】未入力"&amp;CHAR(10),
IF(AND(AF112="○",AG112="◎",AH112="◎",AI112="◎"),"【要修正】【整備区分】未入力"&amp;CHAR(10),
IF(AND(AF112="×",AG112="○",AH112="○",AI112="○"),"【要修正】【整備区分】入力不十分、【規格・数量】未入力、【単価】未入力、【補助対象区分】未入力"&amp;CHAR(10),
IF(AND(AF112="×",AG112="○",AH112="○",AI112="◎"),"【要修正】【整備区分】入力不十分、【規格・数量】未入力、【単価】未入力"&amp;CHAR(10),
IF(AND(AF112="×",AG112="○",AH112="×",AI112="○"),"【要修正】【整備区分】入力不十分、【規格・数量】未入力、【単価】入力不十分、【補助対象区分】未入力"&amp;CHAR(10),
IF(AND(AF112="×",AG112="○",AH112="×",AI112="◎"),"【要修正】【整備区分】入力不十分、【規格・数量】未入力、【単価】入力不十分"&amp;CHAR(10),
IF(AND(AF112="×",AG112="○",AH112="◎",AI112="○"),"【要修正】【整備区分】入力不十分、【規格・数量】未入力、【補助対象区分】未入力"&amp;CHAR(10),
IF(AND(AF112="×",AG112="○",AH112="◎",AI112="◎"),"【要修正】【整備区分】入力不十分、【規格・数量】未入力"&amp;CHAR(10),
IF(AND(AF112="×",AG112="×",AH112="○",AI112="○"),"【要修正】【整備区分】入力不十分、【規格・数量】入力不十分、【単価】未入力、【補助対象区分】未入力"&amp;CHAR(10),
IF(AND(AF112="×",AG112="×",AH112="○",AI112="◎"),"【要修正】【整備区分】入力不十分、【規格・数量】入力不十分、【単価】未入力"&amp;CHAR(10),
IF(AND(AF112="×",AG112="×",AH112="×",AI112="○"),"【要修正】【整備区分】入力不十分、【規格・数量】入力不十分、【単価】入力不十分、【補助対象区分】未入力"&amp;CHAR(10),
IF(AND(AF112="×",AG112="×",AH112="×",AI112="◎"),"【要修正】【整備区分】入力不十分、【規格・数量】入力不十分、【単価】入力不十分"&amp;CHAR(10),
IF(AND(AF112="×",AG112="×",AH112="◎",AI112="○"),"【要修正】【整備区分】入力不十分、【規格・数量】入力不十分、【補助対象区分】未入力"&amp;CHAR(10),
IF(AND(AF112="×",AG112="×",AH112="◎",AI112="◎"),"【要修正】【整備区分】入力不十分、【規格・数量】入力不十分"&amp;CHAR(10),
IF(AND(AF112="×",AG112="◎",AH112="○",AI112="○"),"【要修正】【整備区分】入力不十分、【単価】未入力、【補助対象区分】未入力"&amp;CHAR(10),
IF(AND(AF112="×",AG112="◎",AH112="○",AI112="◎"),"【要修正】【整備区分】入力不十分、【単価】未入力"&amp;CHAR(10),
IF(AND(AF112="×",AG112="◎",AH112="×",AI112="○"),"【要修正】【整備区分】入力不十分、【単価】入力不十分、【補助対象区分】未入力"&amp;CHAR(10),
IF(AND(AF112="×",AG112="◎",AH112="×",AI112="◎"),"【要修正】【整備区分】入力不十分、【単価】入力不十分"&amp;CHAR(10),
IF(AND(AF112="×",AG112="◎",AH112="◎",AI112="○"),"【要修正】【整備区分】入力不十分、【補助対象区分】未入力"&amp;CHAR(10),
IF(AND(AF112="×",AG112="◎",AH112="◎",AI112="◎"),"【要修正】【整備区分】入力不十分"&amp;CHAR(10),
IF(AND(AF112="◎",AG112="○",AH112="○",AI112="○"),"【要修正】【規格・数量】未入力、【単価】未入力、【補助対象区分】未入力"&amp;CHAR(10),
IF(AND(AF112="◎",AG112="○",AH112="○",AI112="◎"),"【要修正】【規格・数量】未入力、【単価】未入力"&amp;CHAR(10),
IF(AND(AF112="◎",AG112="○",AH112="×",AI112="○"),"【要修正】【規格・数量】未入力、【単価】入力不十分、【補助対象区分】未入力"&amp;CHAR(10),
IF(AND(AF112="◎",AG112="○",AH112="×",AI112="◎"),"【要修正】【規格・数量】未入力、【単価】入力不十分"&amp;CHAR(10),
IF(AND(AF112="◎",AG112="○",AH112="◎",AI112="○"),"【要修正】【規格・数量】未入力、【補助対象区分】未入力"&amp;CHAR(10),
IF(AND(AF112="◎",AG112="○",AH112="◎",AI112="◎"),"【要修正】【規格・数量】未入力"&amp;CHAR(10),
IF(AND(AF112="◎",AG112="×",AH112="○",AI112="○"),"【要修正】【規格・数量】入力不十分、【単価】未入力、【補助対象区分】未入力"&amp;CHAR(10),
IF(AND(AF112="◎",AG112="×",AH112="○",AI112="◎"),"【要修正】【規格・数量】入力不十分、【単価】未入力"&amp;CHAR(10),
IF(AND(AF112="◎",AG112="×",AH112="×",AI112="○"),"【要修正】【規格・数量】入力不十分、【単価】入力不十分、【補助対象区分】未入力"&amp;CHAR(10),
IF(AND(AF112="◎",AG112="×",AH112="×",AI112="◎"),"【要修正】【規格・数量】入力不十分、【単価】入力不十分"&amp;CHAR(10),
IF(AND(AF112="◎",AG112="×",AH112="◎",AI112="○"),"【要修正】【規格・数量】入力不十分、【補助対象区分】未入力"&amp;CHAR(10),
IF(AND(AF112="◎",AG112="×",AH112="◎",AI112="◎"),"【要修正】【規格・数量】入力不十分"&amp;CHAR(10),
IF(AND(AF112="◎",AG112="◎",AH112="○",AI112="○"),"【要修正】【単価】未入力、【補助対象区分】未入力"&amp;CHAR(10),
IF(AND(AF112="◎",AG112="◎",AH112="○",AI112="◎"),"【要修正】【単価】未入力"&amp;CHAR(10),
IF(AND(AF112="◎",AG112="◎",AH112="×",AI112="○"),"【要修正】【単価】入力不十分、【補助対象区分】未入力"&amp;CHAR(10),
IF(AND(AF112="◎",AG112="◎",AH112="×",AI112="◎"),"【要修正】【単価】入力不十分"&amp;CHAR(10),
IF(AND(AF112="◎",AG112="◎",AH112="◎",AI112="○"),"【要修正】【補助対象区分】未入力"&amp;CHAR(10),
IF(AND(AF112="◎",AG112="◎",AH112="◎",AI112="◎"),"適切に入力がされました。",
))))))))))))))))))))))))))))))))))))))))))))))))))))))</f>
        <v>申請しない場合は入力不要です。</v>
      </c>
      <c r="AF112" s="240" t="str">
        <f t="shared" si="16"/>
        <v>○</v>
      </c>
      <c r="AG112" s="240" t="str">
        <f t="shared" si="17"/>
        <v>○</v>
      </c>
      <c r="AH112" s="240" t="str">
        <f t="shared" si="18"/>
        <v>○</v>
      </c>
      <c r="AI112" s="239" t="str">
        <f t="shared" si="19"/>
        <v>○</v>
      </c>
      <c r="AJ112" s="14" t="str">
        <f xml:space="preserve">
IF(AND(AF112="○",AG112="○",AH112="○",AI112="○"),"",
IF(AND(AF112="○",AG112="○",AH112="○",AI112="◎"),"【"&amp;AK112&amp;"行目】【整備区分】未入力、【規格・数量】未入力、【単価】未入力"&amp;CHAR(10),
IF(AND(AF112="○",AG112="○",AH112="×",AI112="○"),"【"&amp;AK112&amp;"行目】【整備区分】未入力、【規格・数量】未入力、【単価】入力不十分、【補助対象区分】未入力"&amp;CHAR(10),
IF(AND(AF112="○",AG112="○",AH112="×",AI112="◎"),"【"&amp;AK112&amp;"行目】【整備区分】未入力、【規格・数量】未入力、【単価】入力不十分"&amp;CHAR(10),
IF(AND(AF112="○",AG112="○",AH112="◎",AI112="○"),"【"&amp;AK112&amp;"行目】【整備区分】未入力、【規格・数量】未入力、【補助対象区分】未入力"&amp;CHAR(10),
IF(AND(AF112="○",AG112="○",AH112="◎",AI112="◎"),"【"&amp;AK112&amp;"行目】【整備区分】未入力、【規格・数量】未入力"&amp;CHAR(10),
IF(AND(AF112="○",AG112="×",AH112="○",AI112="○"),"【"&amp;AK112&amp;"行目】【整備区分】未入力、【規格・数量】入力不十分、【単価】未入力、【補助対象区分】未入力"&amp;CHAR(10),
IF(AND(AF112="○",AG112="×",AH112="○",AI112="◎"),"【"&amp;AK112&amp;"行目】【整備区分】未入力、【規格・数量】入力不十分、【単価】未入力"&amp;CHAR(10),
IF(AND(AF112="○",AG112="×",AH112="×",AI112="○"),"【"&amp;AK112&amp;"行目】【整備区分】未入力、【規格・数量】入力不十分、【単価】入力不十分、【補助対象区分】未入力"&amp;CHAR(10),
IF(AND(AF112="○",AG112="×",AH112="×",AI112="◎"),"【"&amp;AK112&amp;"行目】【整備区分】未入力、【規格・数量】入力不十分、【単価】入力不十分"&amp;CHAR(10),
IF(AND(AF112="○",AG112="×",AH112="◎",AI112="○"),"【"&amp;AK112&amp;"行目】【整備区分】未入力、【規格・数量】入力不十分、【補助対象区分】未入力"&amp;CHAR(10),
IF(AND(AF112="○",AG112="×",AH112="◎",AI112="◎"),"【"&amp;AK112&amp;"行目】【整備区分】未入力、【規格・数量】入力不十分"&amp;CHAR(10),
IF(AND(AF112="○",AG112="◎",AH112="○",AI112="○"),"【"&amp;AK112&amp;"行目】【整備区分】未入力、【単価】未入力、【補助対象区分】未入力"&amp;CHAR(10),
IF(AND(AF112="○",AG112="◎",AH112="○",AI112="◎"),"【"&amp;AK112&amp;"行目】【整備区分】未入力、【単価】未入力"&amp;CHAR(10),
IF(AND(AF112="○",AG112="◎",AH112="×",AI112="○"),"【"&amp;AK112&amp;"行目】【整備区分】未入力、【単価】入力不十分、【補助対象区分】未入力"&amp;CHAR(10),
IF(AND(AF112="○",AG112="◎",AH112="×",AI112="◎"),"【"&amp;AK112&amp;"行目】【整備区分】未入力、【単価】入力不十分"&amp;CHAR(10),
IF(AND(AF112="○",AG112="◎",AH112="◎",AI112="○"),"【"&amp;AK112&amp;"行目】【整備区分】未入力、【補助対象区分】未入力"&amp;CHAR(10),
IF(AND(AF112="○",AG112="◎",AH112="◎",AI112="◎"),"【"&amp;AK112&amp;"行目】【整備区分】未入力"&amp;CHAR(10),
IF(AND(AF112="×",AG112="○",AH112="○",AI112="○"),"【"&amp;AK112&amp;"行目】【整備区分】入力不十分、【規格・数量】未入力、【単価】未入力、【補助対象区分】未入力"&amp;CHAR(10),
IF(AND(AF112="×",AG112="○",AH112="○",AI112="◎"),"【"&amp;AK112&amp;"行目】【整備区分】入力不十分、【規格・数量】未入力、【単価】未入力"&amp;CHAR(10),
IF(AND(AF112="×",AG112="○",AH112="×",AI112="○"),"【"&amp;AK112&amp;"行目】【整備区分】入力不十分、【規格・数量】未入力、【単価】入力不十分、【補助対象区分】未入力"&amp;CHAR(10),
IF(AND(AF112="×",AG112="○",AH112="×",AI112="◎"),"【"&amp;AK112&amp;"行目】【整備区分】入力不十分、【規格・数量】未入力、【単価】入力不十分"&amp;CHAR(10),
IF(AND(AF112="×",AG112="○",AH112="◎",AI112="○"),"【"&amp;AK112&amp;"行目】【整備区分】入力不十分、【規格・数量】未入力、【補助対象区分】未入力"&amp;CHAR(10),
IF(AND(AF112="×",AG112="○",AH112="◎",AI112="◎"),"【"&amp;AK112&amp;"行目】【整備区分】入力不十分、【規格・数量】未入力"&amp;CHAR(10),
IF(AND(AF112="×",AG112="×",AH112="○",AI112="○"),"【"&amp;AK112&amp;"行目】【整備区分】入力不十分、【規格・数量】入力不十分、【単価】未入力、【補助対象区分】未入力"&amp;CHAR(10),
IF(AND(AF112="×",AG112="×",AH112="○",AI112="◎"),"【"&amp;AK112&amp;"行目】【整備区分】入力不十分、【規格・数量】入力不十分、【単価】未入力"&amp;CHAR(10),
IF(AND(AF112="×",AG112="×",AH112="×",AI112="○"),"【"&amp;AK112&amp;"行目】【整備区分】入力不十分、【規格・数量】入力不十分、【単価】入力不十分、【補助対象区分】未入力"&amp;CHAR(10),
IF(AND(AF112="×",AG112="×",AH112="×",AI112="◎"),"【"&amp;AK112&amp;"行目】【整備区分】入力不十分、【規格・数量】入力不十分、【単価】入力不十分"&amp;CHAR(10),
IF(AND(AF112="×",AG112="×",AH112="◎",AI112="○"),"【"&amp;AK112&amp;"行目】【整備区分】入力不十分、【規格・数量】入力不十分、【補助対象区分】未入力"&amp;CHAR(10),
IF(AND(AF112="×",AG112="×",AH112="◎",AI112="◎"),"【"&amp;AK112&amp;"行目】【整備区分】入力不十分、【規格・数量】入力不十分"&amp;CHAR(10),
IF(AND(AF112="×",AG112="◎",AH112="○",AI112="○"),"【"&amp;AK112&amp;"行目】【整備区分】入力不十分、【単価】未入力、【補助対象区分】未入力"&amp;CHAR(10),
IF(AND(AF112="×",AG112="◎",AH112="○",AI112="◎"),"【"&amp;AK112&amp;"行目】【整備区分】入力不十分、【単価】未入力"&amp;CHAR(10),
IF(AND(AF112="×",AG112="◎",AH112="×",AI112="○"),"【"&amp;AK112&amp;"行目】【整備区分】入力不十分、【単価】入力不十分、【補助対象区分】未入力"&amp;CHAR(10),
IF(AND(AF112="×",AG112="◎",AH112="×",AI112="◎"),"【"&amp;AK112&amp;"行目】【整備区分】入力不十分、【単価】入力不十分"&amp;CHAR(10),
IF(AND(AF112="×",AG112="◎",AH112="◎",AI112="○"),"【"&amp;AK112&amp;"行目】【整備区分】入力不十分、【補助対象区分】未入力"&amp;CHAR(10),
IF(AND(AF112="×",AG112="◎",AH112="◎",AI112="◎"),"【"&amp;AK112&amp;"行目】【整備区分】入力不十分"&amp;CHAR(10),
IF(AND(AF112="◎",AG112="○",AH112="○",AI112="○"),"【"&amp;AK112&amp;"行目】【規格・数量】未入力、【単価】未入力、【補助対象区分】未入力"&amp;CHAR(10),
IF(AND(AF112="◎",AG112="○",AH112="○",AI112="◎"),"【"&amp;AK112&amp;"行目】【規格・数量】未入力、【単価】未入力"&amp;CHAR(10),
IF(AND(AF112="◎",AG112="○",AH112="×",AI112="○"),"【"&amp;AK112&amp;"行目】【規格・数量】未入力、【単価】入力不十分、【補助対象区分】未入力"&amp;CHAR(10),
IF(AND(AF112="◎",AG112="○",AH112="×",AI112="◎"),"【"&amp;AK112&amp;"行目】【規格・数量】未入力、【単価】入力不十分"&amp;CHAR(10),
IF(AND(AF112="◎",AG112="○",AH112="◎",AI112="○"),"【"&amp;AK112&amp;"行目】【規格・数量】未入力、【補助対象区分】未入力"&amp;CHAR(10),
IF(AND(AF112="◎",AG112="○",AH112="◎",AI112="◎"),"【"&amp;AK112&amp;"行目】【規格・数量】未入力"&amp;CHAR(10),
IF(AND(AF112="◎",AG112="×",AH112="○",AI112="○"),"【"&amp;AK112&amp;"行目】【規格・数量】入力不十分、【単価】未入力、【補助対象区分】未入力"&amp;CHAR(10),
IF(AND(AF112="◎",AG112="×",AH112="○",AI112="◎"),"【"&amp;AK112&amp;"行目】【規格・数量】入力不十分、【単価】未入力"&amp;CHAR(10),
IF(AND(AF112="◎",AG112="×",AH112="×",AI112="○"),"【"&amp;AK112&amp;"行目】【規格・数量】入力不十分、【単価】入力不十分、【補助対象区分】未入力"&amp;CHAR(10),
IF(AND(AF112="◎",AG112="×",AH112="×",AI112="◎"),"【"&amp;AK112&amp;"行目】【規格・数量】入力不十分、【単価】入力不十分"&amp;CHAR(10),
IF(AND(AF112="◎",AG112="×",AH112="◎",AI112="○"),"【"&amp;AK112&amp;"行目】【規格・数量】入力不十分、【補助対象区分】未入力"&amp;CHAR(10),
IF(AND(AF112="◎",AG112="×",AH112="◎",AI112="◎"),"【"&amp;AK112&amp;"行目】【規格・数量】入力不十分"&amp;CHAR(10),
IF(AND(AF112="◎",AG112="◎",AH112="○",AI112="○"),"【"&amp;AK112&amp;"行目】【単価】未入力、【補助対象区分】未入力"&amp;CHAR(10),
IF(AND(AF112="◎",AG112="◎",AH112="○",AI112="◎"),"【"&amp;AK112&amp;"行目】【単価】未入力"&amp;CHAR(10),
IF(AND(AF112="◎",AG112="◎",AH112="×",AI112="○"),"【"&amp;AK112&amp;"行目】【単価】入力不十分、【補助対象区分】未入力"&amp;CHAR(10),
IF(AND(AF112="◎",AG112="◎",AH112="×",AI112="◎"),"【"&amp;AK112&amp;"行目】【単価】入力不十分"&amp;CHAR(10),
IF(AND(AF112="◎",AG112="◎",AH112="◎",AI112="○"),"【"&amp;AK112&amp;"行目】【補助対象区分】未入力"&amp;CHAR(10),
IF(AND(AF112="◎",AG112="◎",AH112="◎",AI112="◎"),"",
))))))))))))))))))))))))))))))))))))))))))))))))))))))</f>
        <v/>
      </c>
      <c r="AK112" s="52">
        <v>97</v>
      </c>
    </row>
    <row r="113" spans="1:37" ht="24.95" customHeight="1">
      <c r="A113" s="38">
        <v>98</v>
      </c>
      <c r="B113" s="832"/>
      <c r="C113" s="827"/>
      <c r="D113" s="826"/>
      <c r="E113" s="827"/>
      <c r="F113" s="315"/>
      <c r="G113" s="316"/>
      <c r="H113" s="316"/>
      <c r="I113" s="45">
        <f t="shared" si="13"/>
        <v>0</v>
      </c>
      <c r="J113" s="317"/>
      <c r="K113" s="45">
        <f t="shared" si="14"/>
        <v>0</v>
      </c>
      <c r="L113" s="44" t="str">
        <f>IF(AD113="◎",COUNTIF($AD$16:AD113,"◎"),"")</f>
        <v/>
      </c>
      <c r="W113" s="234" t="str">
        <f>IF(B113="既設病床",はじめに入力してください!$K$12,IF(B113="新設病床",はじめに入力してください!$K$13,IF(B113="共通使用",1,"")))</f>
        <v/>
      </c>
      <c r="AC113" s="49" t="s">
        <v>69</v>
      </c>
      <c r="AD113" s="239" t="str">
        <f t="shared" si="15"/>
        <v>○</v>
      </c>
      <c r="AE113" s="35" t="str">
        <f xml:space="preserve">
IF(AND(AF113="○",AG113="○",AH113="○",AI113="○"),"申請しない場合は入力不要です。",
IF(AND(AF113="○",AG113="○",AH113="○",AI113="◎"),"【要修正】【整備区分】未入力、【規格・数量】未入力、【単価】未入力"&amp;CHAR(10),
IF(AND(AF113="○",AG113="○",AH113="×",AI113="○"),"【要修正】【整備区分】未入力、【規格・数量】未入力、【単価】入力不十分、【補助対象区分】未入力"&amp;CHAR(10),
IF(AND(AF113="○",AG113="○",AH113="×",AI113="◎"),"【要修正】【整備区分】未入力、【規格・数量】未入力、【単価】入力不十分"&amp;CHAR(10),
IF(AND(AF113="○",AG113="○",AH113="◎",AI113="○"),"【要修正】【整備区分】未入力、【規格・数量】未入力、【補助対象区分】未入力"&amp;CHAR(10),
IF(AND(AF113="○",AG113="○",AH113="◎",AI113="◎"),"【要修正】【整備区分】未入力、【規格・数量】未入力"&amp;CHAR(10),
IF(AND(AF113="○",AG113="×",AH113="○",AI113="○"),"【要修正】【整備区分】未入力、【規格・数量】入力不十分、【単価】未入力、【補助対象区分】未入力"&amp;CHAR(10),
IF(AND(AF113="○",AG113="×",AH113="○",AI113="◎"),"【要修正】【整備区分】未入力、【規格・数量】入力不十分、【単価】未入力"&amp;CHAR(10),
IF(AND(AF113="○",AG113="×",AH113="×",AI113="○"),"【要修正】【整備区分】未入力、【規格・数量】入力不十分、【単価】入力不十分、【補助対象区分】未入力"&amp;CHAR(10),
IF(AND(AF113="○",AG113="×",AH113="×",AI113="◎"),"【要修正】【整備区分】未入力、【規格・数量】入力不十分、【単価】入力不十分"&amp;CHAR(10),
IF(AND(AF113="○",AG113="×",AH113="◎",AI113="○"),"【要修正】【整備区分】未入力、【規格・数量】入力不十分、【補助対象区分】未入力"&amp;CHAR(10),
IF(AND(AF113="○",AG113="×",AH113="◎",AI113="◎"),"【要修正】【整備区分】未入力、【規格・数量】入力不十分"&amp;CHAR(10),
IF(AND(AF113="○",AG113="◎",AH113="○",AI113="○"),"【要修正】【整備区分】未入力、【単価】未入力、【補助対象区分】未入力"&amp;CHAR(10),
IF(AND(AF113="○",AG113="◎",AH113="○",AI113="◎"),"【要修正】【整備区分】未入力、【単価】未入力"&amp;CHAR(10),
IF(AND(AF113="○",AG113="◎",AH113="×",AI113="○"),"【要修正】【整備区分】未入力、【単価】入力不十分、【補助対象区分】未入力"&amp;CHAR(10),
IF(AND(AF113="○",AG113="◎",AH113="×",AI113="◎"),"【要修正】【整備区分】未入力、【単価】入力不十分"&amp;CHAR(10),
IF(AND(AF113="○",AG113="◎",AH113="◎",AI113="○"),"【要修正】【整備区分】未入力、【補助対象区分】未入力"&amp;CHAR(10),
IF(AND(AF113="○",AG113="◎",AH113="◎",AI113="◎"),"【要修正】【整備区分】未入力"&amp;CHAR(10),
IF(AND(AF113="×",AG113="○",AH113="○",AI113="○"),"【要修正】【整備区分】入力不十分、【規格・数量】未入力、【単価】未入力、【補助対象区分】未入力"&amp;CHAR(10),
IF(AND(AF113="×",AG113="○",AH113="○",AI113="◎"),"【要修正】【整備区分】入力不十分、【規格・数量】未入力、【単価】未入力"&amp;CHAR(10),
IF(AND(AF113="×",AG113="○",AH113="×",AI113="○"),"【要修正】【整備区分】入力不十分、【規格・数量】未入力、【単価】入力不十分、【補助対象区分】未入力"&amp;CHAR(10),
IF(AND(AF113="×",AG113="○",AH113="×",AI113="◎"),"【要修正】【整備区分】入力不十分、【規格・数量】未入力、【単価】入力不十分"&amp;CHAR(10),
IF(AND(AF113="×",AG113="○",AH113="◎",AI113="○"),"【要修正】【整備区分】入力不十分、【規格・数量】未入力、【補助対象区分】未入力"&amp;CHAR(10),
IF(AND(AF113="×",AG113="○",AH113="◎",AI113="◎"),"【要修正】【整備区分】入力不十分、【規格・数量】未入力"&amp;CHAR(10),
IF(AND(AF113="×",AG113="×",AH113="○",AI113="○"),"【要修正】【整備区分】入力不十分、【規格・数量】入力不十分、【単価】未入力、【補助対象区分】未入力"&amp;CHAR(10),
IF(AND(AF113="×",AG113="×",AH113="○",AI113="◎"),"【要修正】【整備区分】入力不十分、【規格・数量】入力不十分、【単価】未入力"&amp;CHAR(10),
IF(AND(AF113="×",AG113="×",AH113="×",AI113="○"),"【要修正】【整備区分】入力不十分、【規格・数量】入力不十分、【単価】入力不十分、【補助対象区分】未入力"&amp;CHAR(10),
IF(AND(AF113="×",AG113="×",AH113="×",AI113="◎"),"【要修正】【整備区分】入力不十分、【規格・数量】入力不十分、【単価】入力不十分"&amp;CHAR(10),
IF(AND(AF113="×",AG113="×",AH113="◎",AI113="○"),"【要修正】【整備区分】入力不十分、【規格・数量】入力不十分、【補助対象区分】未入力"&amp;CHAR(10),
IF(AND(AF113="×",AG113="×",AH113="◎",AI113="◎"),"【要修正】【整備区分】入力不十分、【規格・数量】入力不十分"&amp;CHAR(10),
IF(AND(AF113="×",AG113="◎",AH113="○",AI113="○"),"【要修正】【整備区分】入力不十分、【単価】未入力、【補助対象区分】未入力"&amp;CHAR(10),
IF(AND(AF113="×",AG113="◎",AH113="○",AI113="◎"),"【要修正】【整備区分】入力不十分、【単価】未入力"&amp;CHAR(10),
IF(AND(AF113="×",AG113="◎",AH113="×",AI113="○"),"【要修正】【整備区分】入力不十分、【単価】入力不十分、【補助対象区分】未入力"&amp;CHAR(10),
IF(AND(AF113="×",AG113="◎",AH113="×",AI113="◎"),"【要修正】【整備区分】入力不十分、【単価】入力不十分"&amp;CHAR(10),
IF(AND(AF113="×",AG113="◎",AH113="◎",AI113="○"),"【要修正】【整備区分】入力不十分、【補助対象区分】未入力"&amp;CHAR(10),
IF(AND(AF113="×",AG113="◎",AH113="◎",AI113="◎"),"【要修正】【整備区分】入力不十分"&amp;CHAR(10),
IF(AND(AF113="◎",AG113="○",AH113="○",AI113="○"),"【要修正】【規格・数量】未入力、【単価】未入力、【補助対象区分】未入力"&amp;CHAR(10),
IF(AND(AF113="◎",AG113="○",AH113="○",AI113="◎"),"【要修正】【規格・数量】未入力、【単価】未入力"&amp;CHAR(10),
IF(AND(AF113="◎",AG113="○",AH113="×",AI113="○"),"【要修正】【規格・数量】未入力、【単価】入力不十分、【補助対象区分】未入力"&amp;CHAR(10),
IF(AND(AF113="◎",AG113="○",AH113="×",AI113="◎"),"【要修正】【規格・数量】未入力、【単価】入力不十分"&amp;CHAR(10),
IF(AND(AF113="◎",AG113="○",AH113="◎",AI113="○"),"【要修正】【規格・数量】未入力、【補助対象区分】未入力"&amp;CHAR(10),
IF(AND(AF113="◎",AG113="○",AH113="◎",AI113="◎"),"【要修正】【規格・数量】未入力"&amp;CHAR(10),
IF(AND(AF113="◎",AG113="×",AH113="○",AI113="○"),"【要修正】【規格・数量】入力不十分、【単価】未入力、【補助対象区分】未入力"&amp;CHAR(10),
IF(AND(AF113="◎",AG113="×",AH113="○",AI113="◎"),"【要修正】【規格・数量】入力不十分、【単価】未入力"&amp;CHAR(10),
IF(AND(AF113="◎",AG113="×",AH113="×",AI113="○"),"【要修正】【規格・数量】入力不十分、【単価】入力不十分、【補助対象区分】未入力"&amp;CHAR(10),
IF(AND(AF113="◎",AG113="×",AH113="×",AI113="◎"),"【要修正】【規格・数量】入力不十分、【単価】入力不十分"&amp;CHAR(10),
IF(AND(AF113="◎",AG113="×",AH113="◎",AI113="○"),"【要修正】【規格・数量】入力不十分、【補助対象区分】未入力"&amp;CHAR(10),
IF(AND(AF113="◎",AG113="×",AH113="◎",AI113="◎"),"【要修正】【規格・数量】入力不十分"&amp;CHAR(10),
IF(AND(AF113="◎",AG113="◎",AH113="○",AI113="○"),"【要修正】【単価】未入力、【補助対象区分】未入力"&amp;CHAR(10),
IF(AND(AF113="◎",AG113="◎",AH113="○",AI113="◎"),"【要修正】【単価】未入力"&amp;CHAR(10),
IF(AND(AF113="◎",AG113="◎",AH113="×",AI113="○"),"【要修正】【単価】入力不十分、【補助対象区分】未入力"&amp;CHAR(10),
IF(AND(AF113="◎",AG113="◎",AH113="×",AI113="◎"),"【要修正】【単価】入力不十分"&amp;CHAR(10),
IF(AND(AF113="◎",AG113="◎",AH113="◎",AI113="○"),"【要修正】【補助対象区分】未入力"&amp;CHAR(10),
IF(AND(AF113="◎",AG113="◎",AH113="◎",AI113="◎"),"適切に入力がされました。",
))))))))))))))))))))))))))))))))))))))))))))))))))))))</f>
        <v>申請しない場合は入力不要です。</v>
      </c>
      <c r="AF113" s="240" t="str">
        <f t="shared" si="16"/>
        <v>○</v>
      </c>
      <c r="AG113" s="240" t="str">
        <f t="shared" si="17"/>
        <v>○</v>
      </c>
      <c r="AH113" s="240" t="str">
        <f t="shared" si="18"/>
        <v>○</v>
      </c>
      <c r="AI113" s="239" t="str">
        <f t="shared" si="19"/>
        <v>○</v>
      </c>
      <c r="AJ113" s="14" t="str">
        <f xml:space="preserve">
IF(AND(AF113="○",AG113="○",AH113="○",AI113="○"),"",
IF(AND(AF113="○",AG113="○",AH113="○",AI113="◎"),"【"&amp;AK113&amp;"行目】【整備区分】未入力、【規格・数量】未入力、【単価】未入力"&amp;CHAR(10),
IF(AND(AF113="○",AG113="○",AH113="×",AI113="○"),"【"&amp;AK113&amp;"行目】【整備区分】未入力、【規格・数量】未入力、【単価】入力不十分、【補助対象区分】未入力"&amp;CHAR(10),
IF(AND(AF113="○",AG113="○",AH113="×",AI113="◎"),"【"&amp;AK113&amp;"行目】【整備区分】未入力、【規格・数量】未入力、【単価】入力不十分"&amp;CHAR(10),
IF(AND(AF113="○",AG113="○",AH113="◎",AI113="○"),"【"&amp;AK113&amp;"行目】【整備区分】未入力、【規格・数量】未入力、【補助対象区分】未入力"&amp;CHAR(10),
IF(AND(AF113="○",AG113="○",AH113="◎",AI113="◎"),"【"&amp;AK113&amp;"行目】【整備区分】未入力、【規格・数量】未入力"&amp;CHAR(10),
IF(AND(AF113="○",AG113="×",AH113="○",AI113="○"),"【"&amp;AK113&amp;"行目】【整備区分】未入力、【規格・数量】入力不十分、【単価】未入力、【補助対象区分】未入力"&amp;CHAR(10),
IF(AND(AF113="○",AG113="×",AH113="○",AI113="◎"),"【"&amp;AK113&amp;"行目】【整備区分】未入力、【規格・数量】入力不十分、【単価】未入力"&amp;CHAR(10),
IF(AND(AF113="○",AG113="×",AH113="×",AI113="○"),"【"&amp;AK113&amp;"行目】【整備区分】未入力、【規格・数量】入力不十分、【単価】入力不十分、【補助対象区分】未入力"&amp;CHAR(10),
IF(AND(AF113="○",AG113="×",AH113="×",AI113="◎"),"【"&amp;AK113&amp;"行目】【整備区分】未入力、【規格・数量】入力不十分、【単価】入力不十分"&amp;CHAR(10),
IF(AND(AF113="○",AG113="×",AH113="◎",AI113="○"),"【"&amp;AK113&amp;"行目】【整備区分】未入力、【規格・数量】入力不十分、【補助対象区分】未入力"&amp;CHAR(10),
IF(AND(AF113="○",AG113="×",AH113="◎",AI113="◎"),"【"&amp;AK113&amp;"行目】【整備区分】未入力、【規格・数量】入力不十分"&amp;CHAR(10),
IF(AND(AF113="○",AG113="◎",AH113="○",AI113="○"),"【"&amp;AK113&amp;"行目】【整備区分】未入力、【単価】未入力、【補助対象区分】未入力"&amp;CHAR(10),
IF(AND(AF113="○",AG113="◎",AH113="○",AI113="◎"),"【"&amp;AK113&amp;"行目】【整備区分】未入力、【単価】未入力"&amp;CHAR(10),
IF(AND(AF113="○",AG113="◎",AH113="×",AI113="○"),"【"&amp;AK113&amp;"行目】【整備区分】未入力、【単価】入力不十分、【補助対象区分】未入力"&amp;CHAR(10),
IF(AND(AF113="○",AG113="◎",AH113="×",AI113="◎"),"【"&amp;AK113&amp;"行目】【整備区分】未入力、【単価】入力不十分"&amp;CHAR(10),
IF(AND(AF113="○",AG113="◎",AH113="◎",AI113="○"),"【"&amp;AK113&amp;"行目】【整備区分】未入力、【補助対象区分】未入力"&amp;CHAR(10),
IF(AND(AF113="○",AG113="◎",AH113="◎",AI113="◎"),"【"&amp;AK113&amp;"行目】【整備区分】未入力"&amp;CHAR(10),
IF(AND(AF113="×",AG113="○",AH113="○",AI113="○"),"【"&amp;AK113&amp;"行目】【整備区分】入力不十分、【規格・数量】未入力、【単価】未入力、【補助対象区分】未入力"&amp;CHAR(10),
IF(AND(AF113="×",AG113="○",AH113="○",AI113="◎"),"【"&amp;AK113&amp;"行目】【整備区分】入力不十分、【規格・数量】未入力、【単価】未入力"&amp;CHAR(10),
IF(AND(AF113="×",AG113="○",AH113="×",AI113="○"),"【"&amp;AK113&amp;"行目】【整備区分】入力不十分、【規格・数量】未入力、【単価】入力不十分、【補助対象区分】未入力"&amp;CHAR(10),
IF(AND(AF113="×",AG113="○",AH113="×",AI113="◎"),"【"&amp;AK113&amp;"行目】【整備区分】入力不十分、【規格・数量】未入力、【単価】入力不十分"&amp;CHAR(10),
IF(AND(AF113="×",AG113="○",AH113="◎",AI113="○"),"【"&amp;AK113&amp;"行目】【整備区分】入力不十分、【規格・数量】未入力、【補助対象区分】未入力"&amp;CHAR(10),
IF(AND(AF113="×",AG113="○",AH113="◎",AI113="◎"),"【"&amp;AK113&amp;"行目】【整備区分】入力不十分、【規格・数量】未入力"&amp;CHAR(10),
IF(AND(AF113="×",AG113="×",AH113="○",AI113="○"),"【"&amp;AK113&amp;"行目】【整備区分】入力不十分、【規格・数量】入力不十分、【単価】未入力、【補助対象区分】未入力"&amp;CHAR(10),
IF(AND(AF113="×",AG113="×",AH113="○",AI113="◎"),"【"&amp;AK113&amp;"行目】【整備区分】入力不十分、【規格・数量】入力不十分、【単価】未入力"&amp;CHAR(10),
IF(AND(AF113="×",AG113="×",AH113="×",AI113="○"),"【"&amp;AK113&amp;"行目】【整備区分】入力不十分、【規格・数量】入力不十分、【単価】入力不十分、【補助対象区分】未入力"&amp;CHAR(10),
IF(AND(AF113="×",AG113="×",AH113="×",AI113="◎"),"【"&amp;AK113&amp;"行目】【整備区分】入力不十分、【規格・数量】入力不十分、【単価】入力不十分"&amp;CHAR(10),
IF(AND(AF113="×",AG113="×",AH113="◎",AI113="○"),"【"&amp;AK113&amp;"行目】【整備区分】入力不十分、【規格・数量】入力不十分、【補助対象区分】未入力"&amp;CHAR(10),
IF(AND(AF113="×",AG113="×",AH113="◎",AI113="◎"),"【"&amp;AK113&amp;"行目】【整備区分】入力不十分、【規格・数量】入力不十分"&amp;CHAR(10),
IF(AND(AF113="×",AG113="◎",AH113="○",AI113="○"),"【"&amp;AK113&amp;"行目】【整備区分】入力不十分、【単価】未入力、【補助対象区分】未入力"&amp;CHAR(10),
IF(AND(AF113="×",AG113="◎",AH113="○",AI113="◎"),"【"&amp;AK113&amp;"行目】【整備区分】入力不十分、【単価】未入力"&amp;CHAR(10),
IF(AND(AF113="×",AG113="◎",AH113="×",AI113="○"),"【"&amp;AK113&amp;"行目】【整備区分】入力不十分、【単価】入力不十分、【補助対象区分】未入力"&amp;CHAR(10),
IF(AND(AF113="×",AG113="◎",AH113="×",AI113="◎"),"【"&amp;AK113&amp;"行目】【整備区分】入力不十分、【単価】入力不十分"&amp;CHAR(10),
IF(AND(AF113="×",AG113="◎",AH113="◎",AI113="○"),"【"&amp;AK113&amp;"行目】【整備区分】入力不十分、【補助対象区分】未入力"&amp;CHAR(10),
IF(AND(AF113="×",AG113="◎",AH113="◎",AI113="◎"),"【"&amp;AK113&amp;"行目】【整備区分】入力不十分"&amp;CHAR(10),
IF(AND(AF113="◎",AG113="○",AH113="○",AI113="○"),"【"&amp;AK113&amp;"行目】【規格・数量】未入力、【単価】未入力、【補助対象区分】未入力"&amp;CHAR(10),
IF(AND(AF113="◎",AG113="○",AH113="○",AI113="◎"),"【"&amp;AK113&amp;"行目】【規格・数量】未入力、【単価】未入力"&amp;CHAR(10),
IF(AND(AF113="◎",AG113="○",AH113="×",AI113="○"),"【"&amp;AK113&amp;"行目】【規格・数量】未入力、【単価】入力不十分、【補助対象区分】未入力"&amp;CHAR(10),
IF(AND(AF113="◎",AG113="○",AH113="×",AI113="◎"),"【"&amp;AK113&amp;"行目】【規格・数量】未入力、【単価】入力不十分"&amp;CHAR(10),
IF(AND(AF113="◎",AG113="○",AH113="◎",AI113="○"),"【"&amp;AK113&amp;"行目】【規格・数量】未入力、【補助対象区分】未入力"&amp;CHAR(10),
IF(AND(AF113="◎",AG113="○",AH113="◎",AI113="◎"),"【"&amp;AK113&amp;"行目】【規格・数量】未入力"&amp;CHAR(10),
IF(AND(AF113="◎",AG113="×",AH113="○",AI113="○"),"【"&amp;AK113&amp;"行目】【規格・数量】入力不十分、【単価】未入力、【補助対象区分】未入力"&amp;CHAR(10),
IF(AND(AF113="◎",AG113="×",AH113="○",AI113="◎"),"【"&amp;AK113&amp;"行目】【規格・数量】入力不十分、【単価】未入力"&amp;CHAR(10),
IF(AND(AF113="◎",AG113="×",AH113="×",AI113="○"),"【"&amp;AK113&amp;"行目】【規格・数量】入力不十分、【単価】入力不十分、【補助対象区分】未入力"&amp;CHAR(10),
IF(AND(AF113="◎",AG113="×",AH113="×",AI113="◎"),"【"&amp;AK113&amp;"行目】【規格・数量】入力不十分、【単価】入力不十分"&amp;CHAR(10),
IF(AND(AF113="◎",AG113="×",AH113="◎",AI113="○"),"【"&amp;AK113&amp;"行目】【規格・数量】入力不十分、【補助対象区分】未入力"&amp;CHAR(10),
IF(AND(AF113="◎",AG113="×",AH113="◎",AI113="◎"),"【"&amp;AK113&amp;"行目】【規格・数量】入力不十分"&amp;CHAR(10),
IF(AND(AF113="◎",AG113="◎",AH113="○",AI113="○"),"【"&amp;AK113&amp;"行目】【単価】未入力、【補助対象区分】未入力"&amp;CHAR(10),
IF(AND(AF113="◎",AG113="◎",AH113="○",AI113="◎"),"【"&amp;AK113&amp;"行目】【単価】未入力"&amp;CHAR(10),
IF(AND(AF113="◎",AG113="◎",AH113="×",AI113="○"),"【"&amp;AK113&amp;"行目】【単価】入力不十分、【補助対象区分】未入力"&amp;CHAR(10),
IF(AND(AF113="◎",AG113="◎",AH113="×",AI113="◎"),"【"&amp;AK113&amp;"行目】【単価】入力不十分"&amp;CHAR(10),
IF(AND(AF113="◎",AG113="◎",AH113="◎",AI113="○"),"【"&amp;AK113&amp;"行目】【補助対象区分】未入力"&amp;CHAR(10),
IF(AND(AF113="◎",AG113="◎",AH113="◎",AI113="◎"),"",
))))))))))))))))))))))))))))))))))))))))))))))))))))))</f>
        <v/>
      </c>
      <c r="AK113" s="52">
        <v>98</v>
      </c>
    </row>
    <row r="114" spans="1:37" ht="24.95" customHeight="1">
      <c r="A114" s="38">
        <v>99</v>
      </c>
      <c r="B114" s="832"/>
      <c r="C114" s="827"/>
      <c r="D114" s="826"/>
      <c r="E114" s="827"/>
      <c r="F114" s="315"/>
      <c r="G114" s="316"/>
      <c r="H114" s="316"/>
      <c r="I114" s="45">
        <f t="shared" si="13"/>
        <v>0</v>
      </c>
      <c r="J114" s="317"/>
      <c r="K114" s="45">
        <f t="shared" si="14"/>
        <v>0</v>
      </c>
      <c r="L114" s="44" t="str">
        <f>IF(AD114="◎",COUNTIF($AD$16:AD114,"◎"),"")</f>
        <v/>
      </c>
      <c r="W114" s="234" t="str">
        <f>IF(B114="既設病床",はじめに入力してください!$K$12,IF(B114="新設病床",はじめに入力してください!$K$13,IF(B114="共通使用",1,"")))</f>
        <v/>
      </c>
      <c r="AC114" s="49" t="s">
        <v>69</v>
      </c>
      <c r="AD114" s="239" t="str">
        <f t="shared" si="15"/>
        <v>○</v>
      </c>
      <c r="AE114" s="35" t="str">
        <f xml:space="preserve">
IF(AND(AF114="○",AG114="○",AH114="○",AI114="○"),"申請しない場合は入力不要です。",
IF(AND(AF114="○",AG114="○",AH114="○",AI114="◎"),"【要修正】【整備区分】未入力、【規格・数量】未入力、【単価】未入力"&amp;CHAR(10),
IF(AND(AF114="○",AG114="○",AH114="×",AI114="○"),"【要修正】【整備区分】未入力、【規格・数量】未入力、【単価】入力不十分、【補助対象区分】未入力"&amp;CHAR(10),
IF(AND(AF114="○",AG114="○",AH114="×",AI114="◎"),"【要修正】【整備区分】未入力、【規格・数量】未入力、【単価】入力不十分"&amp;CHAR(10),
IF(AND(AF114="○",AG114="○",AH114="◎",AI114="○"),"【要修正】【整備区分】未入力、【規格・数量】未入力、【補助対象区分】未入力"&amp;CHAR(10),
IF(AND(AF114="○",AG114="○",AH114="◎",AI114="◎"),"【要修正】【整備区分】未入力、【規格・数量】未入力"&amp;CHAR(10),
IF(AND(AF114="○",AG114="×",AH114="○",AI114="○"),"【要修正】【整備区分】未入力、【規格・数量】入力不十分、【単価】未入力、【補助対象区分】未入力"&amp;CHAR(10),
IF(AND(AF114="○",AG114="×",AH114="○",AI114="◎"),"【要修正】【整備区分】未入力、【規格・数量】入力不十分、【単価】未入力"&amp;CHAR(10),
IF(AND(AF114="○",AG114="×",AH114="×",AI114="○"),"【要修正】【整備区分】未入力、【規格・数量】入力不十分、【単価】入力不十分、【補助対象区分】未入力"&amp;CHAR(10),
IF(AND(AF114="○",AG114="×",AH114="×",AI114="◎"),"【要修正】【整備区分】未入力、【規格・数量】入力不十分、【単価】入力不十分"&amp;CHAR(10),
IF(AND(AF114="○",AG114="×",AH114="◎",AI114="○"),"【要修正】【整備区分】未入力、【規格・数量】入力不十分、【補助対象区分】未入力"&amp;CHAR(10),
IF(AND(AF114="○",AG114="×",AH114="◎",AI114="◎"),"【要修正】【整備区分】未入力、【規格・数量】入力不十分"&amp;CHAR(10),
IF(AND(AF114="○",AG114="◎",AH114="○",AI114="○"),"【要修正】【整備区分】未入力、【単価】未入力、【補助対象区分】未入力"&amp;CHAR(10),
IF(AND(AF114="○",AG114="◎",AH114="○",AI114="◎"),"【要修正】【整備区分】未入力、【単価】未入力"&amp;CHAR(10),
IF(AND(AF114="○",AG114="◎",AH114="×",AI114="○"),"【要修正】【整備区分】未入力、【単価】入力不十分、【補助対象区分】未入力"&amp;CHAR(10),
IF(AND(AF114="○",AG114="◎",AH114="×",AI114="◎"),"【要修正】【整備区分】未入力、【単価】入力不十分"&amp;CHAR(10),
IF(AND(AF114="○",AG114="◎",AH114="◎",AI114="○"),"【要修正】【整備区分】未入力、【補助対象区分】未入力"&amp;CHAR(10),
IF(AND(AF114="○",AG114="◎",AH114="◎",AI114="◎"),"【要修正】【整備区分】未入力"&amp;CHAR(10),
IF(AND(AF114="×",AG114="○",AH114="○",AI114="○"),"【要修正】【整備区分】入力不十分、【規格・数量】未入力、【単価】未入力、【補助対象区分】未入力"&amp;CHAR(10),
IF(AND(AF114="×",AG114="○",AH114="○",AI114="◎"),"【要修正】【整備区分】入力不十分、【規格・数量】未入力、【単価】未入力"&amp;CHAR(10),
IF(AND(AF114="×",AG114="○",AH114="×",AI114="○"),"【要修正】【整備区分】入力不十分、【規格・数量】未入力、【単価】入力不十分、【補助対象区分】未入力"&amp;CHAR(10),
IF(AND(AF114="×",AG114="○",AH114="×",AI114="◎"),"【要修正】【整備区分】入力不十分、【規格・数量】未入力、【単価】入力不十分"&amp;CHAR(10),
IF(AND(AF114="×",AG114="○",AH114="◎",AI114="○"),"【要修正】【整備区分】入力不十分、【規格・数量】未入力、【補助対象区分】未入力"&amp;CHAR(10),
IF(AND(AF114="×",AG114="○",AH114="◎",AI114="◎"),"【要修正】【整備区分】入力不十分、【規格・数量】未入力"&amp;CHAR(10),
IF(AND(AF114="×",AG114="×",AH114="○",AI114="○"),"【要修正】【整備区分】入力不十分、【規格・数量】入力不十分、【単価】未入力、【補助対象区分】未入力"&amp;CHAR(10),
IF(AND(AF114="×",AG114="×",AH114="○",AI114="◎"),"【要修正】【整備区分】入力不十分、【規格・数量】入力不十分、【単価】未入力"&amp;CHAR(10),
IF(AND(AF114="×",AG114="×",AH114="×",AI114="○"),"【要修正】【整備区分】入力不十分、【規格・数量】入力不十分、【単価】入力不十分、【補助対象区分】未入力"&amp;CHAR(10),
IF(AND(AF114="×",AG114="×",AH114="×",AI114="◎"),"【要修正】【整備区分】入力不十分、【規格・数量】入力不十分、【単価】入力不十分"&amp;CHAR(10),
IF(AND(AF114="×",AG114="×",AH114="◎",AI114="○"),"【要修正】【整備区分】入力不十分、【規格・数量】入力不十分、【補助対象区分】未入力"&amp;CHAR(10),
IF(AND(AF114="×",AG114="×",AH114="◎",AI114="◎"),"【要修正】【整備区分】入力不十分、【規格・数量】入力不十分"&amp;CHAR(10),
IF(AND(AF114="×",AG114="◎",AH114="○",AI114="○"),"【要修正】【整備区分】入力不十分、【単価】未入力、【補助対象区分】未入力"&amp;CHAR(10),
IF(AND(AF114="×",AG114="◎",AH114="○",AI114="◎"),"【要修正】【整備区分】入力不十分、【単価】未入力"&amp;CHAR(10),
IF(AND(AF114="×",AG114="◎",AH114="×",AI114="○"),"【要修正】【整備区分】入力不十分、【単価】入力不十分、【補助対象区分】未入力"&amp;CHAR(10),
IF(AND(AF114="×",AG114="◎",AH114="×",AI114="◎"),"【要修正】【整備区分】入力不十分、【単価】入力不十分"&amp;CHAR(10),
IF(AND(AF114="×",AG114="◎",AH114="◎",AI114="○"),"【要修正】【整備区分】入力不十分、【補助対象区分】未入力"&amp;CHAR(10),
IF(AND(AF114="×",AG114="◎",AH114="◎",AI114="◎"),"【要修正】【整備区分】入力不十分"&amp;CHAR(10),
IF(AND(AF114="◎",AG114="○",AH114="○",AI114="○"),"【要修正】【規格・数量】未入力、【単価】未入力、【補助対象区分】未入力"&amp;CHAR(10),
IF(AND(AF114="◎",AG114="○",AH114="○",AI114="◎"),"【要修正】【規格・数量】未入力、【単価】未入力"&amp;CHAR(10),
IF(AND(AF114="◎",AG114="○",AH114="×",AI114="○"),"【要修正】【規格・数量】未入力、【単価】入力不十分、【補助対象区分】未入力"&amp;CHAR(10),
IF(AND(AF114="◎",AG114="○",AH114="×",AI114="◎"),"【要修正】【規格・数量】未入力、【単価】入力不十分"&amp;CHAR(10),
IF(AND(AF114="◎",AG114="○",AH114="◎",AI114="○"),"【要修正】【規格・数量】未入力、【補助対象区分】未入力"&amp;CHAR(10),
IF(AND(AF114="◎",AG114="○",AH114="◎",AI114="◎"),"【要修正】【規格・数量】未入力"&amp;CHAR(10),
IF(AND(AF114="◎",AG114="×",AH114="○",AI114="○"),"【要修正】【規格・数量】入力不十分、【単価】未入力、【補助対象区分】未入力"&amp;CHAR(10),
IF(AND(AF114="◎",AG114="×",AH114="○",AI114="◎"),"【要修正】【規格・数量】入力不十分、【単価】未入力"&amp;CHAR(10),
IF(AND(AF114="◎",AG114="×",AH114="×",AI114="○"),"【要修正】【規格・数量】入力不十分、【単価】入力不十分、【補助対象区分】未入力"&amp;CHAR(10),
IF(AND(AF114="◎",AG114="×",AH114="×",AI114="◎"),"【要修正】【規格・数量】入力不十分、【単価】入力不十分"&amp;CHAR(10),
IF(AND(AF114="◎",AG114="×",AH114="◎",AI114="○"),"【要修正】【規格・数量】入力不十分、【補助対象区分】未入力"&amp;CHAR(10),
IF(AND(AF114="◎",AG114="×",AH114="◎",AI114="◎"),"【要修正】【規格・数量】入力不十分"&amp;CHAR(10),
IF(AND(AF114="◎",AG114="◎",AH114="○",AI114="○"),"【要修正】【単価】未入力、【補助対象区分】未入力"&amp;CHAR(10),
IF(AND(AF114="◎",AG114="◎",AH114="○",AI114="◎"),"【要修正】【単価】未入力"&amp;CHAR(10),
IF(AND(AF114="◎",AG114="◎",AH114="×",AI114="○"),"【要修正】【単価】入力不十分、【補助対象区分】未入力"&amp;CHAR(10),
IF(AND(AF114="◎",AG114="◎",AH114="×",AI114="◎"),"【要修正】【単価】入力不十分"&amp;CHAR(10),
IF(AND(AF114="◎",AG114="◎",AH114="◎",AI114="○"),"【要修正】【補助対象区分】未入力"&amp;CHAR(10),
IF(AND(AF114="◎",AG114="◎",AH114="◎",AI114="◎"),"適切に入力がされました。",
))))))))))))))))))))))))))))))))))))))))))))))))))))))</f>
        <v>申請しない場合は入力不要です。</v>
      </c>
      <c r="AF114" s="240" t="str">
        <f t="shared" si="16"/>
        <v>○</v>
      </c>
      <c r="AG114" s="240" t="str">
        <f t="shared" si="17"/>
        <v>○</v>
      </c>
      <c r="AH114" s="240" t="str">
        <f t="shared" si="18"/>
        <v>○</v>
      </c>
      <c r="AI114" s="239" t="str">
        <f t="shared" si="19"/>
        <v>○</v>
      </c>
      <c r="AJ114" s="14" t="str">
        <f xml:space="preserve">
IF(AND(AF114="○",AG114="○",AH114="○",AI114="○"),"",
IF(AND(AF114="○",AG114="○",AH114="○",AI114="◎"),"【"&amp;AK114&amp;"行目】【整備区分】未入力、【規格・数量】未入力、【単価】未入力"&amp;CHAR(10),
IF(AND(AF114="○",AG114="○",AH114="×",AI114="○"),"【"&amp;AK114&amp;"行目】【整備区分】未入力、【規格・数量】未入力、【単価】入力不十分、【補助対象区分】未入力"&amp;CHAR(10),
IF(AND(AF114="○",AG114="○",AH114="×",AI114="◎"),"【"&amp;AK114&amp;"行目】【整備区分】未入力、【規格・数量】未入力、【単価】入力不十分"&amp;CHAR(10),
IF(AND(AF114="○",AG114="○",AH114="◎",AI114="○"),"【"&amp;AK114&amp;"行目】【整備区分】未入力、【規格・数量】未入力、【補助対象区分】未入力"&amp;CHAR(10),
IF(AND(AF114="○",AG114="○",AH114="◎",AI114="◎"),"【"&amp;AK114&amp;"行目】【整備区分】未入力、【規格・数量】未入力"&amp;CHAR(10),
IF(AND(AF114="○",AG114="×",AH114="○",AI114="○"),"【"&amp;AK114&amp;"行目】【整備区分】未入力、【規格・数量】入力不十分、【単価】未入力、【補助対象区分】未入力"&amp;CHAR(10),
IF(AND(AF114="○",AG114="×",AH114="○",AI114="◎"),"【"&amp;AK114&amp;"行目】【整備区分】未入力、【規格・数量】入力不十分、【単価】未入力"&amp;CHAR(10),
IF(AND(AF114="○",AG114="×",AH114="×",AI114="○"),"【"&amp;AK114&amp;"行目】【整備区分】未入力、【規格・数量】入力不十分、【単価】入力不十分、【補助対象区分】未入力"&amp;CHAR(10),
IF(AND(AF114="○",AG114="×",AH114="×",AI114="◎"),"【"&amp;AK114&amp;"行目】【整備区分】未入力、【規格・数量】入力不十分、【単価】入力不十分"&amp;CHAR(10),
IF(AND(AF114="○",AG114="×",AH114="◎",AI114="○"),"【"&amp;AK114&amp;"行目】【整備区分】未入力、【規格・数量】入力不十分、【補助対象区分】未入力"&amp;CHAR(10),
IF(AND(AF114="○",AG114="×",AH114="◎",AI114="◎"),"【"&amp;AK114&amp;"行目】【整備区分】未入力、【規格・数量】入力不十分"&amp;CHAR(10),
IF(AND(AF114="○",AG114="◎",AH114="○",AI114="○"),"【"&amp;AK114&amp;"行目】【整備区分】未入力、【単価】未入力、【補助対象区分】未入力"&amp;CHAR(10),
IF(AND(AF114="○",AG114="◎",AH114="○",AI114="◎"),"【"&amp;AK114&amp;"行目】【整備区分】未入力、【単価】未入力"&amp;CHAR(10),
IF(AND(AF114="○",AG114="◎",AH114="×",AI114="○"),"【"&amp;AK114&amp;"行目】【整備区分】未入力、【単価】入力不十分、【補助対象区分】未入力"&amp;CHAR(10),
IF(AND(AF114="○",AG114="◎",AH114="×",AI114="◎"),"【"&amp;AK114&amp;"行目】【整備区分】未入力、【単価】入力不十分"&amp;CHAR(10),
IF(AND(AF114="○",AG114="◎",AH114="◎",AI114="○"),"【"&amp;AK114&amp;"行目】【整備区分】未入力、【補助対象区分】未入力"&amp;CHAR(10),
IF(AND(AF114="○",AG114="◎",AH114="◎",AI114="◎"),"【"&amp;AK114&amp;"行目】【整備区分】未入力"&amp;CHAR(10),
IF(AND(AF114="×",AG114="○",AH114="○",AI114="○"),"【"&amp;AK114&amp;"行目】【整備区分】入力不十分、【規格・数量】未入力、【単価】未入力、【補助対象区分】未入力"&amp;CHAR(10),
IF(AND(AF114="×",AG114="○",AH114="○",AI114="◎"),"【"&amp;AK114&amp;"行目】【整備区分】入力不十分、【規格・数量】未入力、【単価】未入力"&amp;CHAR(10),
IF(AND(AF114="×",AG114="○",AH114="×",AI114="○"),"【"&amp;AK114&amp;"行目】【整備区分】入力不十分、【規格・数量】未入力、【単価】入力不十分、【補助対象区分】未入力"&amp;CHAR(10),
IF(AND(AF114="×",AG114="○",AH114="×",AI114="◎"),"【"&amp;AK114&amp;"行目】【整備区分】入力不十分、【規格・数量】未入力、【単価】入力不十分"&amp;CHAR(10),
IF(AND(AF114="×",AG114="○",AH114="◎",AI114="○"),"【"&amp;AK114&amp;"行目】【整備区分】入力不十分、【規格・数量】未入力、【補助対象区分】未入力"&amp;CHAR(10),
IF(AND(AF114="×",AG114="○",AH114="◎",AI114="◎"),"【"&amp;AK114&amp;"行目】【整備区分】入力不十分、【規格・数量】未入力"&amp;CHAR(10),
IF(AND(AF114="×",AG114="×",AH114="○",AI114="○"),"【"&amp;AK114&amp;"行目】【整備区分】入力不十分、【規格・数量】入力不十分、【単価】未入力、【補助対象区分】未入力"&amp;CHAR(10),
IF(AND(AF114="×",AG114="×",AH114="○",AI114="◎"),"【"&amp;AK114&amp;"行目】【整備区分】入力不十分、【規格・数量】入力不十分、【単価】未入力"&amp;CHAR(10),
IF(AND(AF114="×",AG114="×",AH114="×",AI114="○"),"【"&amp;AK114&amp;"行目】【整備区分】入力不十分、【規格・数量】入力不十分、【単価】入力不十分、【補助対象区分】未入力"&amp;CHAR(10),
IF(AND(AF114="×",AG114="×",AH114="×",AI114="◎"),"【"&amp;AK114&amp;"行目】【整備区分】入力不十分、【規格・数量】入力不十分、【単価】入力不十分"&amp;CHAR(10),
IF(AND(AF114="×",AG114="×",AH114="◎",AI114="○"),"【"&amp;AK114&amp;"行目】【整備区分】入力不十分、【規格・数量】入力不十分、【補助対象区分】未入力"&amp;CHAR(10),
IF(AND(AF114="×",AG114="×",AH114="◎",AI114="◎"),"【"&amp;AK114&amp;"行目】【整備区分】入力不十分、【規格・数量】入力不十分"&amp;CHAR(10),
IF(AND(AF114="×",AG114="◎",AH114="○",AI114="○"),"【"&amp;AK114&amp;"行目】【整備区分】入力不十分、【単価】未入力、【補助対象区分】未入力"&amp;CHAR(10),
IF(AND(AF114="×",AG114="◎",AH114="○",AI114="◎"),"【"&amp;AK114&amp;"行目】【整備区分】入力不十分、【単価】未入力"&amp;CHAR(10),
IF(AND(AF114="×",AG114="◎",AH114="×",AI114="○"),"【"&amp;AK114&amp;"行目】【整備区分】入力不十分、【単価】入力不十分、【補助対象区分】未入力"&amp;CHAR(10),
IF(AND(AF114="×",AG114="◎",AH114="×",AI114="◎"),"【"&amp;AK114&amp;"行目】【整備区分】入力不十分、【単価】入力不十分"&amp;CHAR(10),
IF(AND(AF114="×",AG114="◎",AH114="◎",AI114="○"),"【"&amp;AK114&amp;"行目】【整備区分】入力不十分、【補助対象区分】未入力"&amp;CHAR(10),
IF(AND(AF114="×",AG114="◎",AH114="◎",AI114="◎"),"【"&amp;AK114&amp;"行目】【整備区分】入力不十分"&amp;CHAR(10),
IF(AND(AF114="◎",AG114="○",AH114="○",AI114="○"),"【"&amp;AK114&amp;"行目】【規格・数量】未入力、【単価】未入力、【補助対象区分】未入力"&amp;CHAR(10),
IF(AND(AF114="◎",AG114="○",AH114="○",AI114="◎"),"【"&amp;AK114&amp;"行目】【規格・数量】未入力、【単価】未入力"&amp;CHAR(10),
IF(AND(AF114="◎",AG114="○",AH114="×",AI114="○"),"【"&amp;AK114&amp;"行目】【規格・数量】未入力、【単価】入力不十分、【補助対象区分】未入力"&amp;CHAR(10),
IF(AND(AF114="◎",AG114="○",AH114="×",AI114="◎"),"【"&amp;AK114&amp;"行目】【規格・数量】未入力、【単価】入力不十分"&amp;CHAR(10),
IF(AND(AF114="◎",AG114="○",AH114="◎",AI114="○"),"【"&amp;AK114&amp;"行目】【規格・数量】未入力、【補助対象区分】未入力"&amp;CHAR(10),
IF(AND(AF114="◎",AG114="○",AH114="◎",AI114="◎"),"【"&amp;AK114&amp;"行目】【規格・数量】未入力"&amp;CHAR(10),
IF(AND(AF114="◎",AG114="×",AH114="○",AI114="○"),"【"&amp;AK114&amp;"行目】【規格・数量】入力不十分、【単価】未入力、【補助対象区分】未入力"&amp;CHAR(10),
IF(AND(AF114="◎",AG114="×",AH114="○",AI114="◎"),"【"&amp;AK114&amp;"行目】【規格・数量】入力不十分、【単価】未入力"&amp;CHAR(10),
IF(AND(AF114="◎",AG114="×",AH114="×",AI114="○"),"【"&amp;AK114&amp;"行目】【規格・数量】入力不十分、【単価】入力不十分、【補助対象区分】未入力"&amp;CHAR(10),
IF(AND(AF114="◎",AG114="×",AH114="×",AI114="◎"),"【"&amp;AK114&amp;"行目】【規格・数量】入力不十分、【単価】入力不十分"&amp;CHAR(10),
IF(AND(AF114="◎",AG114="×",AH114="◎",AI114="○"),"【"&amp;AK114&amp;"行目】【規格・数量】入力不十分、【補助対象区分】未入力"&amp;CHAR(10),
IF(AND(AF114="◎",AG114="×",AH114="◎",AI114="◎"),"【"&amp;AK114&amp;"行目】【規格・数量】入力不十分"&amp;CHAR(10),
IF(AND(AF114="◎",AG114="◎",AH114="○",AI114="○"),"【"&amp;AK114&amp;"行目】【単価】未入力、【補助対象区分】未入力"&amp;CHAR(10),
IF(AND(AF114="◎",AG114="◎",AH114="○",AI114="◎"),"【"&amp;AK114&amp;"行目】【単価】未入力"&amp;CHAR(10),
IF(AND(AF114="◎",AG114="◎",AH114="×",AI114="○"),"【"&amp;AK114&amp;"行目】【単価】入力不十分、【補助対象区分】未入力"&amp;CHAR(10),
IF(AND(AF114="◎",AG114="◎",AH114="×",AI114="◎"),"【"&amp;AK114&amp;"行目】【単価】入力不十分"&amp;CHAR(10),
IF(AND(AF114="◎",AG114="◎",AH114="◎",AI114="○"),"【"&amp;AK114&amp;"行目】【補助対象区分】未入力"&amp;CHAR(10),
IF(AND(AF114="◎",AG114="◎",AH114="◎",AI114="◎"),"",
))))))))))))))))))))))))))))))))))))))))))))))))))))))</f>
        <v/>
      </c>
      <c r="AK114" s="52">
        <v>99</v>
      </c>
    </row>
    <row r="115" spans="1:37" ht="24.95" customHeight="1">
      <c r="A115" s="38">
        <v>100</v>
      </c>
      <c r="B115" s="832"/>
      <c r="C115" s="827"/>
      <c r="D115" s="826"/>
      <c r="E115" s="827"/>
      <c r="F115" s="315"/>
      <c r="G115" s="316"/>
      <c r="H115" s="316"/>
      <c r="I115" s="45">
        <f t="shared" si="13"/>
        <v>0</v>
      </c>
      <c r="J115" s="317"/>
      <c r="K115" s="45">
        <f t="shared" si="14"/>
        <v>0</v>
      </c>
      <c r="L115" s="44" t="str">
        <f>IF(AD115="◎",COUNTIF($AD$16:AD115,"◎"),"")</f>
        <v/>
      </c>
      <c r="W115" s="234" t="str">
        <f>IF(B115="既設病床",はじめに入力してください!$K$12,IF(B115="新設病床",はじめに入力してください!$K$13,IF(B115="共通使用",1,"")))</f>
        <v/>
      </c>
      <c r="AC115" s="49" t="s">
        <v>69</v>
      </c>
      <c r="AD115" s="239" t="str">
        <f t="shared" si="15"/>
        <v>○</v>
      </c>
      <c r="AE115" s="35" t="str">
        <f xml:space="preserve">
IF(AND(AF115="○",AG115="○",AH115="○",AI115="○"),"申請しない場合は入力不要です。",
IF(AND(AF115="○",AG115="○",AH115="○",AI115="◎"),"【要修正】【整備区分】未入力、【規格・数量】未入力、【単価】未入力"&amp;CHAR(10),
IF(AND(AF115="○",AG115="○",AH115="×",AI115="○"),"【要修正】【整備区分】未入力、【規格・数量】未入力、【単価】入力不十分、【補助対象区分】未入力"&amp;CHAR(10),
IF(AND(AF115="○",AG115="○",AH115="×",AI115="◎"),"【要修正】【整備区分】未入力、【規格・数量】未入力、【単価】入力不十分"&amp;CHAR(10),
IF(AND(AF115="○",AG115="○",AH115="◎",AI115="○"),"【要修正】【整備区分】未入力、【規格・数量】未入力、【補助対象区分】未入力"&amp;CHAR(10),
IF(AND(AF115="○",AG115="○",AH115="◎",AI115="◎"),"【要修正】【整備区分】未入力、【規格・数量】未入力"&amp;CHAR(10),
IF(AND(AF115="○",AG115="×",AH115="○",AI115="○"),"【要修正】【整備区分】未入力、【規格・数量】入力不十分、【単価】未入力、【補助対象区分】未入力"&amp;CHAR(10),
IF(AND(AF115="○",AG115="×",AH115="○",AI115="◎"),"【要修正】【整備区分】未入力、【規格・数量】入力不十分、【単価】未入力"&amp;CHAR(10),
IF(AND(AF115="○",AG115="×",AH115="×",AI115="○"),"【要修正】【整備区分】未入力、【規格・数量】入力不十分、【単価】入力不十分、【補助対象区分】未入力"&amp;CHAR(10),
IF(AND(AF115="○",AG115="×",AH115="×",AI115="◎"),"【要修正】【整備区分】未入力、【規格・数量】入力不十分、【単価】入力不十分"&amp;CHAR(10),
IF(AND(AF115="○",AG115="×",AH115="◎",AI115="○"),"【要修正】【整備区分】未入力、【規格・数量】入力不十分、【補助対象区分】未入力"&amp;CHAR(10),
IF(AND(AF115="○",AG115="×",AH115="◎",AI115="◎"),"【要修正】【整備区分】未入力、【規格・数量】入力不十分"&amp;CHAR(10),
IF(AND(AF115="○",AG115="◎",AH115="○",AI115="○"),"【要修正】【整備区分】未入力、【単価】未入力、【補助対象区分】未入力"&amp;CHAR(10),
IF(AND(AF115="○",AG115="◎",AH115="○",AI115="◎"),"【要修正】【整備区分】未入力、【単価】未入力"&amp;CHAR(10),
IF(AND(AF115="○",AG115="◎",AH115="×",AI115="○"),"【要修正】【整備区分】未入力、【単価】入力不十分、【補助対象区分】未入力"&amp;CHAR(10),
IF(AND(AF115="○",AG115="◎",AH115="×",AI115="◎"),"【要修正】【整備区分】未入力、【単価】入力不十分"&amp;CHAR(10),
IF(AND(AF115="○",AG115="◎",AH115="◎",AI115="○"),"【要修正】【整備区分】未入力、【補助対象区分】未入力"&amp;CHAR(10),
IF(AND(AF115="○",AG115="◎",AH115="◎",AI115="◎"),"【要修正】【整備区分】未入力"&amp;CHAR(10),
IF(AND(AF115="×",AG115="○",AH115="○",AI115="○"),"【要修正】【整備区分】入力不十分、【規格・数量】未入力、【単価】未入力、【補助対象区分】未入力"&amp;CHAR(10),
IF(AND(AF115="×",AG115="○",AH115="○",AI115="◎"),"【要修正】【整備区分】入力不十分、【規格・数量】未入力、【単価】未入力"&amp;CHAR(10),
IF(AND(AF115="×",AG115="○",AH115="×",AI115="○"),"【要修正】【整備区分】入力不十分、【規格・数量】未入力、【単価】入力不十分、【補助対象区分】未入力"&amp;CHAR(10),
IF(AND(AF115="×",AG115="○",AH115="×",AI115="◎"),"【要修正】【整備区分】入力不十分、【規格・数量】未入力、【単価】入力不十分"&amp;CHAR(10),
IF(AND(AF115="×",AG115="○",AH115="◎",AI115="○"),"【要修正】【整備区分】入力不十分、【規格・数量】未入力、【補助対象区分】未入力"&amp;CHAR(10),
IF(AND(AF115="×",AG115="○",AH115="◎",AI115="◎"),"【要修正】【整備区分】入力不十分、【規格・数量】未入力"&amp;CHAR(10),
IF(AND(AF115="×",AG115="×",AH115="○",AI115="○"),"【要修正】【整備区分】入力不十分、【規格・数量】入力不十分、【単価】未入力、【補助対象区分】未入力"&amp;CHAR(10),
IF(AND(AF115="×",AG115="×",AH115="○",AI115="◎"),"【要修正】【整備区分】入力不十分、【規格・数量】入力不十分、【単価】未入力"&amp;CHAR(10),
IF(AND(AF115="×",AG115="×",AH115="×",AI115="○"),"【要修正】【整備区分】入力不十分、【規格・数量】入力不十分、【単価】入力不十分、【補助対象区分】未入力"&amp;CHAR(10),
IF(AND(AF115="×",AG115="×",AH115="×",AI115="◎"),"【要修正】【整備区分】入力不十分、【規格・数量】入力不十分、【単価】入力不十分"&amp;CHAR(10),
IF(AND(AF115="×",AG115="×",AH115="◎",AI115="○"),"【要修正】【整備区分】入力不十分、【規格・数量】入力不十分、【補助対象区分】未入力"&amp;CHAR(10),
IF(AND(AF115="×",AG115="×",AH115="◎",AI115="◎"),"【要修正】【整備区分】入力不十分、【規格・数量】入力不十分"&amp;CHAR(10),
IF(AND(AF115="×",AG115="◎",AH115="○",AI115="○"),"【要修正】【整備区分】入力不十分、【単価】未入力、【補助対象区分】未入力"&amp;CHAR(10),
IF(AND(AF115="×",AG115="◎",AH115="○",AI115="◎"),"【要修正】【整備区分】入力不十分、【単価】未入力"&amp;CHAR(10),
IF(AND(AF115="×",AG115="◎",AH115="×",AI115="○"),"【要修正】【整備区分】入力不十分、【単価】入力不十分、【補助対象区分】未入力"&amp;CHAR(10),
IF(AND(AF115="×",AG115="◎",AH115="×",AI115="◎"),"【要修正】【整備区分】入力不十分、【単価】入力不十分"&amp;CHAR(10),
IF(AND(AF115="×",AG115="◎",AH115="◎",AI115="○"),"【要修正】【整備区分】入力不十分、【補助対象区分】未入力"&amp;CHAR(10),
IF(AND(AF115="×",AG115="◎",AH115="◎",AI115="◎"),"【要修正】【整備区分】入力不十分"&amp;CHAR(10),
IF(AND(AF115="◎",AG115="○",AH115="○",AI115="○"),"【要修正】【規格・数量】未入力、【単価】未入力、【補助対象区分】未入力"&amp;CHAR(10),
IF(AND(AF115="◎",AG115="○",AH115="○",AI115="◎"),"【要修正】【規格・数量】未入力、【単価】未入力"&amp;CHAR(10),
IF(AND(AF115="◎",AG115="○",AH115="×",AI115="○"),"【要修正】【規格・数量】未入力、【単価】入力不十分、【補助対象区分】未入力"&amp;CHAR(10),
IF(AND(AF115="◎",AG115="○",AH115="×",AI115="◎"),"【要修正】【規格・数量】未入力、【単価】入力不十分"&amp;CHAR(10),
IF(AND(AF115="◎",AG115="○",AH115="◎",AI115="○"),"【要修正】【規格・数量】未入力、【補助対象区分】未入力"&amp;CHAR(10),
IF(AND(AF115="◎",AG115="○",AH115="◎",AI115="◎"),"【要修正】【規格・数量】未入力"&amp;CHAR(10),
IF(AND(AF115="◎",AG115="×",AH115="○",AI115="○"),"【要修正】【規格・数量】入力不十分、【単価】未入力、【補助対象区分】未入力"&amp;CHAR(10),
IF(AND(AF115="◎",AG115="×",AH115="○",AI115="◎"),"【要修正】【規格・数量】入力不十分、【単価】未入力"&amp;CHAR(10),
IF(AND(AF115="◎",AG115="×",AH115="×",AI115="○"),"【要修正】【規格・数量】入力不十分、【単価】入力不十分、【補助対象区分】未入力"&amp;CHAR(10),
IF(AND(AF115="◎",AG115="×",AH115="×",AI115="◎"),"【要修正】【規格・数量】入力不十分、【単価】入力不十分"&amp;CHAR(10),
IF(AND(AF115="◎",AG115="×",AH115="◎",AI115="○"),"【要修正】【規格・数量】入力不十分、【補助対象区分】未入力"&amp;CHAR(10),
IF(AND(AF115="◎",AG115="×",AH115="◎",AI115="◎"),"【要修正】【規格・数量】入力不十分"&amp;CHAR(10),
IF(AND(AF115="◎",AG115="◎",AH115="○",AI115="○"),"【要修正】【単価】未入力、【補助対象区分】未入力"&amp;CHAR(10),
IF(AND(AF115="◎",AG115="◎",AH115="○",AI115="◎"),"【要修正】【単価】未入力"&amp;CHAR(10),
IF(AND(AF115="◎",AG115="◎",AH115="×",AI115="○"),"【要修正】【単価】入力不十分、【補助対象区分】未入力"&amp;CHAR(10),
IF(AND(AF115="◎",AG115="◎",AH115="×",AI115="◎"),"【要修正】【単価】入力不十分"&amp;CHAR(10),
IF(AND(AF115="◎",AG115="◎",AH115="◎",AI115="○"),"【要修正】【補助対象区分】未入力"&amp;CHAR(10),
IF(AND(AF115="◎",AG115="◎",AH115="◎",AI115="◎"),"適切に入力がされました。",
))))))))))))))))))))))))))))))))))))))))))))))))))))))</f>
        <v>申請しない場合は入力不要です。</v>
      </c>
      <c r="AF115" s="240" t="str">
        <f t="shared" si="16"/>
        <v>○</v>
      </c>
      <c r="AG115" s="240" t="str">
        <f t="shared" si="17"/>
        <v>○</v>
      </c>
      <c r="AH115" s="240" t="str">
        <f t="shared" si="18"/>
        <v>○</v>
      </c>
      <c r="AI115" s="239" t="str">
        <f t="shared" si="19"/>
        <v>○</v>
      </c>
      <c r="AJ115" s="14" t="str">
        <f xml:space="preserve">
IF(AND(AF115="○",AG115="○",AH115="○",AI115="○"),"",
IF(AND(AF115="○",AG115="○",AH115="○",AI115="◎"),"【"&amp;AK115&amp;"行目】【整備区分】未入力、【規格・数量】未入力、【単価】未入力"&amp;CHAR(10),
IF(AND(AF115="○",AG115="○",AH115="×",AI115="○"),"【"&amp;AK115&amp;"行目】【整備区分】未入力、【規格・数量】未入力、【単価】入力不十分、【補助対象区分】未入力"&amp;CHAR(10),
IF(AND(AF115="○",AG115="○",AH115="×",AI115="◎"),"【"&amp;AK115&amp;"行目】【整備区分】未入力、【規格・数量】未入力、【単価】入力不十分"&amp;CHAR(10),
IF(AND(AF115="○",AG115="○",AH115="◎",AI115="○"),"【"&amp;AK115&amp;"行目】【整備区分】未入力、【規格・数量】未入力、【補助対象区分】未入力"&amp;CHAR(10),
IF(AND(AF115="○",AG115="○",AH115="◎",AI115="◎"),"【"&amp;AK115&amp;"行目】【整備区分】未入力、【規格・数量】未入力"&amp;CHAR(10),
IF(AND(AF115="○",AG115="×",AH115="○",AI115="○"),"【"&amp;AK115&amp;"行目】【整備区分】未入力、【規格・数量】入力不十分、【単価】未入力、【補助対象区分】未入力"&amp;CHAR(10),
IF(AND(AF115="○",AG115="×",AH115="○",AI115="◎"),"【"&amp;AK115&amp;"行目】【整備区分】未入力、【規格・数量】入力不十分、【単価】未入力"&amp;CHAR(10),
IF(AND(AF115="○",AG115="×",AH115="×",AI115="○"),"【"&amp;AK115&amp;"行目】【整備区分】未入力、【規格・数量】入力不十分、【単価】入力不十分、【補助対象区分】未入力"&amp;CHAR(10),
IF(AND(AF115="○",AG115="×",AH115="×",AI115="◎"),"【"&amp;AK115&amp;"行目】【整備区分】未入力、【規格・数量】入力不十分、【単価】入力不十分"&amp;CHAR(10),
IF(AND(AF115="○",AG115="×",AH115="◎",AI115="○"),"【"&amp;AK115&amp;"行目】【整備区分】未入力、【規格・数量】入力不十分、【補助対象区分】未入力"&amp;CHAR(10),
IF(AND(AF115="○",AG115="×",AH115="◎",AI115="◎"),"【"&amp;AK115&amp;"行目】【整備区分】未入力、【規格・数量】入力不十分"&amp;CHAR(10),
IF(AND(AF115="○",AG115="◎",AH115="○",AI115="○"),"【"&amp;AK115&amp;"行目】【整備区分】未入力、【単価】未入力、【補助対象区分】未入力"&amp;CHAR(10),
IF(AND(AF115="○",AG115="◎",AH115="○",AI115="◎"),"【"&amp;AK115&amp;"行目】【整備区分】未入力、【単価】未入力"&amp;CHAR(10),
IF(AND(AF115="○",AG115="◎",AH115="×",AI115="○"),"【"&amp;AK115&amp;"行目】【整備区分】未入力、【単価】入力不十分、【補助対象区分】未入力"&amp;CHAR(10),
IF(AND(AF115="○",AG115="◎",AH115="×",AI115="◎"),"【"&amp;AK115&amp;"行目】【整備区分】未入力、【単価】入力不十分"&amp;CHAR(10),
IF(AND(AF115="○",AG115="◎",AH115="◎",AI115="○"),"【"&amp;AK115&amp;"行目】【整備区分】未入力、【補助対象区分】未入力"&amp;CHAR(10),
IF(AND(AF115="○",AG115="◎",AH115="◎",AI115="◎"),"【"&amp;AK115&amp;"行目】【整備区分】未入力"&amp;CHAR(10),
IF(AND(AF115="×",AG115="○",AH115="○",AI115="○"),"【"&amp;AK115&amp;"行目】【整備区分】入力不十分、【規格・数量】未入力、【単価】未入力、【補助対象区分】未入力"&amp;CHAR(10),
IF(AND(AF115="×",AG115="○",AH115="○",AI115="◎"),"【"&amp;AK115&amp;"行目】【整備区分】入力不十分、【規格・数量】未入力、【単価】未入力"&amp;CHAR(10),
IF(AND(AF115="×",AG115="○",AH115="×",AI115="○"),"【"&amp;AK115&amp;"行目】【整備区分】入力不十分、【規格・数量】未入力、【単価】入力不十分、【補助対象区分】未入力"&amp;CHAR(10),
IF(AND(AF115="×",AG115="○",AH115="×",AI115="◎"),"【"&amp;AK115&amp;"行目】【整備区分】入力不十分、【規格・数量】未入力、【単価】入力不十分"&amp;CHAR(10),
IF(AND(AF115="×",AG115="○",AH115="◎",AI115="○"),"【"&amp;AK115&amp;"行目】【整備区分】入力不十分、【規格・数量】未入力、【補助対象区分】未入力"&amp;CHAR(10),
IF(AND(AF115="×",AG115="○",AH115="◎",AI115="◎"),"【"&amp;AK115&amp;"行目】【整備区分】入力不十分、【規格・数量】未入力"&amp;CHAR(10),
IF(AND(AF115="×",AG115="×",AH115="○",AI115="○"),"【"&amp;AK115&amp;"行目】【整備区分】入力不十分、【規格・数量】入力不十分、【単価】未入力、【補助対象区分】未入力"&amp;CHAR(10),
IF(AND(AF115="×",AG115="×",AH115="○",AI115="◎"),"【"&amp;AK115&amp;"行目】【整備区分】入力不十分、【規格・数量】入力不十分、【単価】未入力"&amp;CHAR(10),
IF(AND(AF115="×",AG115="×",AH115="×",AI115="○"),"【"&amp;AK115&amp;"行目】【整備区分】入力不十分、【規格・数量】入力不十分、【単価】入力不十分、【補助対象区分】未入力"&amp;CHAR(10),
IF(AND(AF115="×",AG115="×",AH115="×",AI115="◎"),"【"&amp;AK115&amp;"行目】【整備区分】入力不十分、【規格・数量】入力不十分、【単価】入力不十分"&amp;CHAR(10),
IF(AND(AF115="×",AG115="×",AH115="◎",AI115="○"),"【"&amp;AK115&amp;"行目】【整備区分】入力不十分、【規格・数量】入力不十分、【補助対象区分】未入力"&amp;CHAR(10),
IF(AND(AF115="×",AG115="×",AH115="◎",AI115="◎"),"【"&amp;AK115&amp;"行目】【整備区分】入力不十分、【規格・数量】入力不十分"&amp;CHAR(10),
IF(AND(AF115="×",AG115="◎",AH115="○",AI115="○"),"【"&amp;AK115&amp;"行目】【整備区分】入力不十分、【単価】未入力、【補助対象区分】未入力"&amp;CHAR(10),
IF(AND(AF115="×",AG115="◎",AH115="○",AI115="◎"),"【"&amp;AK115&amp;"行目】【整備区分】入力不十分、【単価】未入力"&amp;CHAR(10),
IF(AND(AF115="×",AG115="◎",AH115="×",AI115="○"),"【"&amp;AK115&amp;"行目】【整備区分】入力不十分、【単価】入力不十分、【補助対象区分】未入力"&amp;CHAR(10),
IF(AND(AF115="×",AG115="◎",AH115="×",AI115="◎"),"【"&amp;AK115&amp;"行目】【整備区分】入力不十分、【単価】入力不十分"&amp;CHAR(10),
IF(AND(AF115="×",AG115="◎",AH115="◎",AI115="○"),"【"&amp;AK115&amp;"行目】【整備区分】入力不十分、【補助対象区分】未入力"&amp;CHAR(10),
IF(AND(AF115="×",AG115="◎",AH115="◎",AI115="◎"),"【"&amp;AK115&amp;"行目】【整備区分】入力不十分"&amp;CHAR(10),
IF(AND(AF115="◎",AG115="○",AH115="○",AI115="○"),"【"&amp;AK115&amp;"行目】【規格・数量】未入力、【単価】未入力、【補助対象区分】未入力"&amp;CHAR(10),
IF(AND(AF115="◎",AG115="○",AH115="○",AI115="◎"),"【"&amp;AK115&amp;"行目】【規格・数量】未入力、【単価】未入力"&amp;CHAR(10),
IF(AND(AF115="◎",AG115="○",AH115="×",AI115="○"),"【"&amp;AK115&amp;"行目】【規格・数量】未入力、【単価】入力不十分、【補助対象区分】未入力"&amp;CHAR(10),
IF(AND(AF115="◎",AG115="○",AH115="×",AI115="◎"),"【"&amp;AK115&amp;"行目】【規格・数量】未入力、【単価】入力不十分"&amp;CHAR(10),
IF(AND(AF115="◎",AG115="○",AH115="◎",AI115="○"),"【"&amp;AK115&amp;"行目】【規格・数量】未入力、【補助対象区分】未入力"&amp;CHAR(10),
IF(AND(AF115="◎",AG115="○",AH115="◎",AI115="◎"),"【"&amp;AK115&amp;"行目】【規格・数量】未入力"&amp;CHAR(10),
IF(AND(AF115="◎",AG115="×",AH115="○",AI115="○"),"【"&amp;AK115&amp;"行目】【規格・数量】入力不十分、【単価】未入力、【補助対象区分】未入力"&amp;CHAR(10),
IF(AND(AF115="◎",AG115="×",AH115="○",AI115="◎"),"【"&amp;AK115&amp;"行目】【規格・数量】入力不十分、【単価】未入力"&amp;CHAR(10),
IF(AND(AF115="◎",AG115="×",AH115="×",AI115="○"),"【"&amp;AK115&amp;"行目】【規格・数量】入力不十分、【単価】入力不十分、【補助対象区分】未入力"&amp;CHAR(10),
IF(AND(AF115="◎",AG115="×",AH115="×",AI115="◎"),"【"&amp;AK115&amp;"行目】【規格・数量】入力不十分、【単価】入力不十分"&amp;CHAR(10),
IF(AND(AF115="◎",AG115="×",AH115="◎",AI115="○"),"【"&amp;AK115&amp;"行目】【規格・数量】入力不十分、【補助対象区分】未入力"&amp;CHAR(10),
IF(AND(AF115="◎",AG115="×",AH115="◎",AI115="◎"),"【"&amp;AK115&amp;"行目】【規格・数量】入力不十分"&amp;CHAR(10),
IF(AND(AF115="◎",AG115="◎",AH115="○",AI115="○"),"【"&amp;AK115&amp;"行目】【単価】未入力、【補助対象区分】未入力"&amp;CHAR(10),
IF(AND(AF115="◎",AG115="◎",AH115="○",AI115="◎"),"【"&amp;AK115&amp;"行目】【単価】未入力"&amp;CHAR(10),
IF(AND(AF115="◎",AG115="◎",AH115="×",AI115="○"),"【"&amp;AK115&amp;"行目】【単価】入力不十分、【補助対象区分】未入力"&amp;CHAR(10),
IF(AND(AF115="◎",AG115="◎",AH115="×",AI115="◎"),"【"&amp;AK115&amp;"行目】【単価】入力不十分"&amp;CHAR(10),
IF(AND(AF115="◎",AG115="◎",AH115="◎",AI115="○"),"【"&amp;AK115&amp;"行目】【補助対象区分】未入力"&amp;CHAR(10),
IF(AND(AF115="◎",AG115="◎",AH115="◎",AI115="◎"),"",
))))))))))))))))))))))))))))))))))))))))))))))))))))))</f>
        <v/>
      </c>
      <c r="AK115" s="52">
        <v>100</v>
      </c>
    </row>
  </sheetData>
  <sheetProtection algorithmName="SHA-512" hashValue="s9P9GO6dzOT7HS23osp9d3+8/yCTMrRO7TWNddvWA4uzVGOi4rlJfn43Ki8u+hclfbbknwmDhd49byfl/zjceg==" saltValue="jzDX4KRrUDea5WJT4ETFUA==" spinCount="100000" sheet="1" insertRows="0"/>
  <mergeCells count="230">
    <mergeCell ref="B8:L8"/>
    <mergeCell ref="B9:C9"/>
    <mergeCell ref="H9:I9"/>
    <mergeCell ref="K9:L9"/>
    <mergeCell ref="B10:C10"/>
    <mergeCell ref="H10:I11"/>
    <mergeCell ref="K10:L11"/>
    <mergeCell ref="B11:C11"/>
    <mergeCell ref="J10:J11"/>
    <mergeCell ref="B21:C21"/>
    <mergeCell ref="F2:G2"/>
    <mergeCell ref="H2:L2"/>
    <mergeCell ref="B3:L6"/>
    <mergeCell ref="AY18:BC18"/>
    <mergeCell ref="BD18:BH18"/>
    <mergeCell ref="BS18:BW20"/>
    <mergeCell ref="AY19:BC23"/>
    <mergeCell ref="BD19:BH23"/>
    <mergeCell ref="BQ19:BQ20"/>
    <mergeCell ref="BR19:BR20"/>
    <mergeCell ref="B13:L13"/>
    <mergeCell ref="G14:J14"/>
    <mergeCell ref="K14:K15"/>
    <mergeCell ref="L14:L15"/>
    <mergeCell ref="B22:C22"/>
    <mergeCell ref="B23:C23"/>
    <mergeCell ref="D21:E21"/>
    <mergeCell ref="D22:E22"/>
    <mergeCell ref="D23:E23"/>
    <mergeCell ref="AD5:AD6"/>
    <mergeCell ref="AE5:AG6"/>
    <mergeCell ref="AD7:AD13"/>
    <mergeCell ref="AE7:AG13"/>
    <mergeCell ref="B40:C40"/>
    <mergeCell ref="B41:C41"/>
    <mergeCell ref="B42:C42"/>
    <mergeCell ref="B43:C43"/>
    <mergeCell ref="B44:C44"/>
    <mergeCell ref="B45:C45"/>
    <mergeCell ref="B34:C34"/>
    <mergeCell ref="B35:C35"/>
    <mergeCell ref="B36:C36"/>
    <mergeCell ref="B37:C37"/>
    <mergeCell ref="B38:C38"/>
    <mergeCell ref="B39:C39"/>
    <mergeCell ref="B52:C52"/>
    <mergeCell ref="B53:C53"/>
    <mergeCell ref="B54:C54"/>
    <mergeCell ref="B55:C55"/>
    <mergeCell ref="B56:C56"/>
    <mergeCell ref="B57:C57"/>
    <mergeCell ref="B46:C46"/>
    <mergeCell ref="B47:C47"/>
    <mergeCell ref="B48:C48"/>
    <mergeCell ref="B49:C49"/>
    <mergeCell ref="B50:C50"/>
    <mergeCell ref="B51:C51"/>
    <mergeCell ref="B64:C64"/>
    <mergeCell ref="B65:C65"/>
    <mergeCell ref="B66:C66"/>
    <mergeCell ref="B67:C67"/>
    <mergeCell ref="B68:C68"/>
    <mergeCell ref="B69:C69"/>
    <mergeCell ref="B58:C58"/>
    <mergeCell ref="B59:C59"/>
    <mergeCell ref="B60:C60"/>
    <mergeCell ref="B61:C61"/>
    <mergeCell ref="B62:C62"/>
    <mergeCell ref="B63:C63"/>
    <mergeCell ref="B76:C76"/>
    <mergeCell ref="B77:C77"/>
    <mergeCell ref="B78:C78"/>
    <mergeCell ref="B79:C79"/>
    <mergeCell ref="B80:C80"/>
    <mergeCell ref="B81:C81"/>
    <mergeCell ref="B70:C70"/>
    <mergeCell ref="B71:C71"/>
    <mergeCell ref="B72:C72"/>
    <mergeCell ref="B73:C73"/>
    <mergeCell ref="B74:C74"/>
    <mergeCell ref="B75:C75"/>
    <mergeCell ref="B88:C88"/>
    <mergeCell ref="B89:C89"/>
    <mergeCell ref="B90:C90"/>
    <mergeCell ref="B91:C91"/>
    <mergeCell ref="B92:C92"/>
    <mergeCell ref="B93:C93"/>
    <mergeCell ref="B82:C82"/>
    <mergeCell ref="B83:C83"/>
    <mergeCell ref="B84:C84"/>
    <mergeCell ref="B85:C85"/>
    <mergeCell ref="B86:C86"/>
    <mergeCell ref="B87:C87"/>
    <mergeCell ref="D34:E34"/>
    <mergeCell ref="D35:E35"/>
    <mergeCell ref="B112:C112"/>
    <mergeCell ref="B113:C113"/>
    <mergeCell ref="B114:C114"/>
    <mergeCell ref="B115:C115"/>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14:C15"/>
    <mergeCell ref="D15:E15"/>
    <mergeCell ref="D16:E16"/>
    <mergeCell ref="D14:F14"/>
    <mergeCell ref="D17:E17"/>
    <mergeCell ref="D18:E18"/>
    <mergeCell ref="D19:E19"/>
    <mergeCell ref="D20:E20"/>
    <mergeCell ref="D33:E33"/>
    <mergeCell ref="B28:C28"/>
    <mergeCell ref="B29:C29"/>
    <mergeCell ref="B30:C30"/>
    <mergeCell ref="B31:C31"/>
    <mergeCell ref="B32:C32"/>
    <mergeCell ref="B33:C33"/>
    <mergeCell ref="B24:C24"/>
    <mergeCell ref="B25:C25"/>
    <mergeCell ref="B26:C26"/>
    <mergeCell ref="B27:C27"/>
    <mergeCell ref="B16:C16"/>
    <mergeCell ref="B17:C17"/>
    <mergeCell ref="B18:C18"/>
    <mergeCell ref="B19:C19"/>
    <mergeCell ref="B20:C20"/>
    <mergeCell ref="D27:E27"/>
    <mergeCell ref="D28:E28"/>
    <mergeCell ref="D29:E29"/>
    <mergeCell ref="D30:E30"/>
    <mergeCell ref="D31:E31"/>
    <mergeCell ref="D32:E32"/>
    <mergeCell ref="D24:E24"/>
    <mergeCell ref="D25:E25"/>
    <mergeCell ref="D26:E26"/>
    <mergeCell ref="D39:E39"/>
    <mergeCell ref="D40:E40"/>
    <mergeCell ref="D41:E41"/>
    <mergeCell ref="D42:E42"/>
    <mergeCell ref="D43:E43"/>
    <mergeCell ref="D44:E44"/>
    <mergeCell ref="D36:E36"/>
    <mergeCell ref="D37:E37"/>
    <mergeCell ref="D38:E38"/>
    <mergeCell ref="D51:E51"/>
    <mergeCell ref="D52:E52"/>
    <mergeCell ref="D53:E53"/>
    <mergeCell ref="D54:E54"/>
    <mergeCell ref="D55:E55"/>
    <mergeCell ref="D56:E56"/>
    <mergeCell ref="D45:E45"/>
    <mergeCell ref="D46:E46"/>
    <mergeCell ref="D47:E47"/>
    <mergeCell ref="D48:E48"/>
    <mergeCell ref="D49:E49"/>
    <mergeCell ref="D50:E50"/>
    <mergeCell ref="D63:E63"/>
    <mergeCell ref="D64:E64"/>
    <mergeCell ref="D65:E65"/>
    <mergeCell ref="D66:E66"/>
    <mergeCell ref="D67:E67"/>
    <mergeCell ref="D68:E68"/>
    <mergeCell ref="D57:E57"/>
    <mergeCell ref="D58:E58"/>
    <mergeCell ref="D59:E59"/>
    <mergeCell ref="D60:E60"/>
    <mergeCell ref="D61:E61"/>
    <mergeCell ref="D62:E62"/>
    <mergeCell ref="D75:E75"/>
    <mergeCell ref="D76:E76"/>
    <mergeCell ref="D77:E77"/>
    <mergeCell ref="D78:E78"/>
    <mergeCell ref="D79:E79"/>
    <mergeCell ref="D80:E80"/>
    <mergeCell ref="D69:E69"/>
    <mergeCell ref="D70:E70"/>
    <mergeCell ref="D71:E71"/>
    <mergeCell ref="D72:E72"/>
    <mergeCell ref="D73:E73"/>
    <mergeCell ref="D74:E74"/>
    <mergeCell ref="D87:E87"/>
    <mergeCell ref="D88:E88"/>
    <mergeCell ref="D89:E89"/>
    <mergeCell ref="D90:E90"/>
    <mergeCell ref="D91:E91"/>
    <mergeCell ref="D92:E92"/>
    <mergeCell ref="D81:E81"/>
    <mergeCell ref="D82:E82"/>
    <mergeCell ref="D83:E83"/>
    <mergeCell ref="D84:E84"/>
    <mergeCell ref="D85:E85"/>
    <mergeCell ref="D86:E86"/>
    <mergeCell ref="D99:E99"/>
    <mergeCell ref="D100:E100"/>
    <mergeCell ref="D101:E101"/>
    <mergeCell ref="D102:E102"/>
    <mergeCell ref="D103:E103"/>
    <mergeCell ref="D104:E104"/>
    <mergeCell ref="D93:E93"/>
    <mergeCell ref="D94:E94"/>
    <mergeCell ref="D95:E95"/>
    <mergeCell ref="D96:E96"/>
    <mergeCell ref="D97:E97"/>
    <mergeCell ref="D98:E98"/>
    <mergeCell ref="D111:E111"/>
    <mergeCell ref="D112:E112"/>
    <mergeCell ref="D113:E113"/>
    <mergeCell ref="D114:E114"/>
    <mergeCell ref="D115:E115"/>
    <mergeCell ref="D105:E105"/>
    <mergeCell ref="D106:E106"/>
    <mergeCell ref="D107:E107"/>
    <mergeCell ref="D108:E108"/>
    <mergeCell ref="D109:E109"/>
    <mergeCell ref="D110:E110"/>
  </mergeCells>
  <phoneticPr fontId="1"/>
  <conditionalFormatting sqref="AY19">
    <cfRule type="containsText" dxfId="39" priority="12" operator="containsText" text="（補助対象員数）">
      <formula>NOT(ISERROR(SEARCH("（補助対象員数）",AY19)))</formula>
    </cfRule>
  </conditionalFormatting>
  <conditionalFormatting sqref="BD19:BG23">
    <cfRule type="containsText" dxfId="38" priority="9" operator="containsText" text="要修正">
      <formula>NOT(ISERROR(SEARCH("要修正",BD19)))</formula>
    </cfRule>
  </conditionalFormatting>
  <conditionalFormatting sqref="AY19:BC23">
    <cfRule type="containsText" dxfId="37" priority="8" operator="containsText" text="【未入力有】">
      <formula>NOT(ISERROR(SEARCH("【未入力有】",AY19)))</formula>
    </cfRule>
  </conditionalFormatting>
  <conditionalFormatting sqref="BP19:BQ20">
    <cfRule type="containsText" dxfId="36" priority="7" operator="containsText" text="×">
      <formula>NOT(ISERROR(SEARCH("×",BP19)))</formula>
    </cfRule>
  </conditionalFormatting>
  <conditionalFormatting sqref="BR19:BR20">
    <cfRule type="containsText" dxfId="35" priority="6" operator="containsText" text="要修正">
      <formula>NOT(ISERROR(SEARCH("要修正",BR19)))</formula>
    </cfRule>
  </conditionalFormatting>
  <conditionalFormatting sqref="AD7:AD13">
    <cfRule type="containsText" dxfId="34" priority="5" operator="containsText" text="×">
      <formula>NOT(ISERROR(SEARCH("×",AD7)))</formula>
    </cfRule>
  </conditionalFormatting>
  <conditionalFormatting sqref="AE7:AE13">
    <cfRule type="containsText" dxfId="33" priority="4" operator="containsText" text="要修正">
      <formula>NOT(ISERROR(SEARCH("要修正",AE7)))</formula>
    </cfRule>
  </conditionalFormatting>
  <conditionalFormatting sqref="AF16:AF115">
    <cfRule type="containsText" dxfId="32" priority="3" operator="containsText" text="【不備の点】">
      <formula>NOT(ISERROR(SEARCH("【不備の点】",AF16)))</formula>
    </cfRule>
  </conditionalFormatting>
  <conditionalFormatting sqref="AE16:AE115">
    <cfRule type="containsText" dxfId="31" priority="2" operator="containsText" text="【不備の点】">
      <formula>NOT(ISERROR(SEARCH("【不備の点】",AE16)))</formula>
    </cfRule>
  </conditionalFormatting>
  <conditionalFormatting sqref="AD16:AD115">
    <cfRule type="containsText" dxfId="30" priority="1" operator="containsText" text="×">
      <formula>NOT(ISERROR(SEARCH("×",AD16)))</formula>
    </cfRule>
  </conditionalFormatting>
  <dataValidations xWindow="341" yWindow="502" count="8">
    <dataValidation type="list" allowBlank="1" showInputMessage="1" showErrorMessage="1" promptTitle="装置、付属備品の別を選択" prompt="当該行に記載する品目が_x000a_・「装置」（本体）_x000a_・「付属備品」_x000a_の別をプルダウンから選択してください。" sqref="B16:B115">
      <formula1>"装置,付属備品"</formula1>
    </dataValidation>
    <dataValidation allowBlank="1" showInputMessage="1" showErrorMessage="1" promptTitle="単価の入力" prompt="税抜額または税込額のいずれかを入力してください。_x000a_入力しない方は「0」は入力せず、空欄としてください。" sqref="G16:H115"/>
    <dataValidation allowBlank="1" showInputMessage="1" showErrorMessage="1" promptTitle="添付書類番号" prompt="種類、規格、数量、単価が全て適切に入力され、右の「判定」が「◎」と表示されると自動で番号が表示されます。" sqref="L16:L115"/>
    <dataValidation allowBlank="1" showInputMessage="1" showErrorMessage="1" promptTitle="金額の表示" prompt="数式が入力されているため、自動計算されます。" sqref="K16:K115 I16:I115"/>
    <dataValidation type="list" allowBlank="1" showInputMessage="1" showErrorMessage="1" promptTitle="補助対象の該当非該当" prompt="CT撮影装置の整備に係る経費が対象となります。_x000a_医療用消耗品等のランニングコストといった装置自体の整備と直接に関係しないは補助対象外なので「対象外」を選択してください。_x000a_審査において確認、対象外と認めたものについては対象外として補正をお願いする場合があります。" sqref="J16:J115">
      <formula1>"補助対象,補助対象外"</formula1>
    </dataValidation>
    <dataValidation allowBlank="1" showInputMessage="1" showErrorMessage="1" promptTitle="規格及び数量の入力" prompt="補助対象経費を計上する際、いずれも入力してください。" sqref="D16:D115 F16:F115"/>
    <dataValidation allowBlank="1" showInputMessage="1" showErrorMessage="1" promptTitle="補助対象金額" prompt="見積書金額×（見積書金額-割引額）/見積書金額_x000a_で算出されます。" sqref="K10:L11"/>
    <dataValidation allowBlank="1" showInputMessage="1" showErrorMessage="1" promptTitle="割引額がある場合は入力" prompt="割引がない場合は「0円」のままとしてください。" sqref="J10:J11"/>
  </dataValidations>
  <printOptions horizontalCentered="1"/>
  <pageMargins left="0.59055118110236227" right="0.39370078740157483" top="0.39370078740157483" bottom="0.39370078740157483" header="0.31496062992125984" footer="0.31496062992125984"/>
  <pageSetup paperSize="9" scale="53" fitToWidth="0" orientation="portrait"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BW90"/>
  <sheetViews>
    <sheetView showGridLines="0" view="pageBreakPreview" zoomScale="40" zoomScaleNormal="100" zoomScaleSheetLayoutView="40" workbookViewId="0">
      <pane xSplit="1" ySplit="15" topLeftCell="B16" activePane="bottomRight" state="frozen"/>
      <selection activeCell="N3" sqref="N3:Q3"/>
      <selection pane="topRight" activeCell="N3" sqref="N3:Q3"/>
      <selection pane="bottomLeft" activeCell="N3" sqref="N3:Q3"/>
      <selection pane="bottomRight" activeCell="AK15" sqref="AK15:AK90"/>
    </sheetView>
  </sheetViews>
  <sheetFormatPr defaultColWidth="9" defaultRowHeight="20.100000000000001" customHeight="1"/>
  <cols>
    <col min="1" max="1" width="5.625" style="38" customWidth="1"/>
    <col min="2" max="4" width="11.625" style="38" customWidth="1"/>
    <col min="5" max="5" width="26.5" style="39" customWidth="1"/>
    <col min="6" max="7" width="11.625" style="40" customWidth="1"/>
    <col min="8" max="9" width="12.625" style="40" customWidth="1"/>
    <col min="10" max="10" width="12.625" style="25" customWidth="1"/>
    <col min="11" max="12" width="12.625" style="40" customWidth="1"/>
    <col min="13" max="13" width="2.625" style="40" customWidth="1"/>
    <col min="14" max="15" width="30.625" style="41" customWidth="1"/>
    <col min="16" max="16" width="40.625" style="41" customWidth="1"/>
    <col min="17" max="18" width="30.625" style="41" hidden="1" customWidth="1"/>
    <col min="19" max="22" width="12.625" style="41" hidden="1" customWidth="1"/>
    <col min="23" max="23" width="0" style="200" hidden="1" customWidth="1"/>
    <col min="24" max="24" width="10.375" style="41" hidden="1" customWidth="1"/>
    <col min="25" max="25" width="0" style="41" hidden="1" customWidth="1"/>
    <col min="26" max="28" width="9" style="41"/>
    <col min="29" max="29" width="3.625" style="49" customWidth="1"/>
    <col min="30" max="30" width="9.75" style="41" bestFit="1" customWidth="1"/>
    <col min="31" max="31" width="85.625" style="201" customWidth="1"/>
    <col min="32" max="35" width="10.625" style="41" customWidth="1"/>
    <col min="36" max="36" width="60.625" style="41" customWidth="1"/>
    <col min="37" max="52" width="9" style="41"/>
    <col min="53" max="53" width="20.625" style="41" customWidth="1"/>
    <col min="54" max="55" width="9" style="41"/>
    <col min="56" max="56" width="35.625" style="41" customWidth="1"/>
    <col min="57" max="16384" width="9" style="41"/>
  </cols>
  <sheetData>
    <row r="1" spans="1:37" ht="9.9499999999999993" customHeight="1"/>
    <row r="2" spans="1:37" ht="30" customHeight="1">
      <c r="B2" s="199" t="s">
        <v>231</v>
      </c>
      <c r="C2" s="36"/>
      <c r="D2" s="36"/>
      <c r="F2" s="772" t="s">
        <v>208</v>
      </c>
      <c r="G2" s="773"/>
      <c r="H2" s="772" t="str">
        <f>表紙!L9&amp;IF(はじめに入力してください!L20="","","※"&amp;はじめに入力してください!AE20)</f>
        <v/>
      </c>
      <c r="I2" s="774"/>
      <c r="J2" s="774"/>
      <c r="K2" s="774"/>
      <c r="L2" s="773"/>
    </row>
    <row r="3" spans="1:37" ht="20.100000000000001" customHeight="1">
      <c r="B3" s="775" t="str">
        <f>人工呼吸器明細!B3</f>
        <v>　まとめて「一式」と記載はせず、見積書、納品書等に記載の設備・付属備品ごとに分けて記載するようにしてください。
　整備する設備の配備先（既設又は新設病床、病床に番号付与した場合いずれの病床に充てるのか左部分「配備先・内容」欄で選択してください。
　配備先の病床の別及び、当該品目が「装置」か「付属備品」の別をプルダウンから選択してください。</v>
      </c>
      <c r="C3" s="755"/>
      <c r="D3" s="755"/>
      <c r="E3" s="755"/>
      <c r="F3" s="755"/>
      <c r="G3" s="755"/>
      <c r="H3" s="755"/>
      <c r="I3" s="755"/>
      <c r="J3" s="755"/>
      <c r="K3" s="755"/>
      <c r="L3" s="755"/>
      <c r="S3" s="55"/>
      <c r="T3" s="55"/>
      <c r="U3" s="55"/>
      <c r="V3" s="55"/>
    </row>
    <row r="4" spans="1:37" ht="20.100000000000001" customHeight="1">
      <c r="B4" s="755"/>
      <c r="C4" s="755"/>
      <c r="D4" s="755"/>
      <c r="E4" s="755"/>
      <c r="F4" s="755"/>
      <c r="G4" s="755"/>
      <c r="H4" s="755"/>
      <c r="I4" s="755"/>
      <c r="J4" s="755"/>
      <c r="K4" s="755"/>
      <c r="L4" s="755"/>
      <c r="S4" s="55"/>
      <c r="T4" s="55"/>
      <c r="U4" s="55"/>
      <c r="V4" s="55"/>
    </row>
    <row r="5" spans="1:37" ht="20.100000000000001" customHeight="1">
      <c r="B5" s="755"/>
      <c r="C5" s="755"/>
      <c r="D5" s="755"/>
      <c r="E5" s="755"/>
      <c r="F5" s="755"/>
      <c r="G5" s="755"/>
      <c r="H5" s="755"/>
      <c r="I5" s="755"/>
      <c r="J5" s="755"/>
      <c r="K5" s="755"/>
      <c r="L5" s="755"/>
      <c r="S5" s="55"/>
      <c r="T5" s="55"/>
      <c r="U5" s="55"/>
      <c r="V5" s="55"/>
      <c r="AD5" s="776" t="s">
        <v>122</v>
      </c>
      <c r="AE5" s="735" t="s">
        <v>121</v>
      </c>
      <c r="AF5" s="736"/>
      <c r="AG5" s="737"/>
    </row>
    <row r="6" spans="1:37" ht="20.100000000000001" customHeight="1">
      <c r="B6" s="755"/>
      <c r="C6" s="755"/>
      <c r="D6" s="755"/>
      <c r="E6" s="755"/>
      <c r="F6" s="755"/>
      <c r="G6" s="755"/>
      <c r="H6" s="755"/>
      <c r="I6" s="755"/>
      <c r="J6" s="755"/>
      <c r="K6" s="755"/>
      <c r="L6" s="755"/>
      <c r="S6" s="55"/>
      <c r="T6" s="55"/>
      <c r="U6" s="55"/>
      <c r="V6" s="55"/>
      <c r="AD6" s="777"/>
      <c r="AE6" s="738"/>
      <c r="AF6" s="739"/>
      <c r="AG6" s="740"/>
    </row>
    <row r="7" spans="1:37" ht="9.9499999999999993" customHeight="1">
      <c r="B7" s="56"/>
      <c r="C7" s="56"/>
      <c r="D7" s="56"/>
      <c r="E7" s="57"/>
      <c r="F7" s="58"/>
      <c r="G7" s="41"/>
      <c r="H7" s="41"/>
      <c r="I7" s="41"/>
      <c r="J7" s="200"/>
      <c r="K7" s="41"/>
      <c r="L7" s="41"/>
      <c r="S7" s="55"/>
      <c r="T7" s="55"/>
      <c r="U7" s="55"/>
      <c r="V7" s="55"/>
      <c r="AD7" s="768" t="str">
        <f xml:space="preserve">
IF(AND(COUNTA(D9)=0,COUNTIF(AD16:AD90,"○")=75),"○",
IF(AND(COUNTA(D9)=0,COUNTIF(AD16:AD90,"×")&gt;=1),"×",
IF(AND(COUNTA(D9)=0,COUNTIF(AD16:AD90,"×")=0,COUNTIF(AD16:AD90,"◎")&gt;=1),"×",
IF(AND(COUNTA(D9)=1,COUNTIF(AD16:AD90,"○")=75),"×",
IF(AND(COUNTA(D9)=1,COUNTIF(AD16:AD90,"×")&gt;=1),"×",
IF(AND(COUNTA(D9)=1,COUNTIF(AD16:AD90,"×")=0,COUNTIF(AD16:AD90,"◎")&gt;=1),"◎"))))))</f>
        <v>○</v>
      </c>
      <c r="AE7" s="741" t="str">
        <f xml:space="preserve">
IF(COUNTA(D9)=0,"【１．配備計画】既存配備の生体情報モニタ台数が未入力です。"&amp;CHAR(10)&amp;CHAR(10),
IF(COUNTA(D9)=1,"【１．配備計画】適切に入力がされました。 "&amp;CHAR(10)&amp;CHAR(10)))
&amp;
IF(AD7="◎","【装置情報】適切に入力がされました。",
IF(AD7="○","",
IF(AD7="×","【２．装置情報】【要修正】以下の点につき御確認ください。"&amp;CHAR(10)&amp;AJ16&amp;AJ17&amp;AJ18&amp;AJ19&amp;AJ20&amp;AJ21&amp;AJ22&amp;AJ23&amp;AJ24&amp;AJ25&amp;AJ26&amp;AJ27&amp;AJ28&amp;AJ29&amp;AJ30&amp;AJ31&amp;AJ32&amp;AJ33&amp;AJ34&amp;AJ35&amp;AJ36&amp;AJ37&amp;AJ38&amp;AJ39&amp;AJ40&amp;AJ41&amp;AJ42&amp;AJ43&amp;AJ44&amp;AJ45&amp;AJ46&amp;AJ47&amp;AJ48&amp;AJ49&amp;AJ50&amp;AJ51&amp;AJ52&amp;AJ53&amp;AJ54&amp;AJ55&amp;AJ56&amp;AJ57&amp;AJ58&amp;AJ59&amp;AJ60&amp;AJ61&amp;AJ62&amp;AJ63&amp;AJ64&amp;AJ65&amp;AJ66&amp;AJ67&amp;AJ68&amp;AJ69&amp;AJ70&amp;AJ71&amp;AJ72&amp;AJ73&amp;AJ74&amp;AJ75&amp;AJ76&amp;AJ77&amp;AJ78&amp;AJ79&amp;AJ80&amp;AJ81&amp;AJ82&amp;AJ83&amp;AJ84&amp;AJ85&amp;AJ86&amp;AJ87&amp;AJ88&amp;AJ89&amp;AJ90
)))</f>
        <v xml:space="preserve">【１．配備計画】既存配備の生体情報モニタ台数が未入力です。
</v>
      </c>
      <c r="AF7" s="736"/>
      <c r="AG7" s="737"/>
    </row>
    <row r="8" spans="1:37" ht="20.100000000000001" customHeight="1">
      <c r="B8" s="754" t="s">
        <v>221</v>
      </c>
      <c r="C8" s="755"/>
      <c r="D8" s="755"/>
      <c r="E8" s="755"/>
      <c r="F8" s="755"/>
      <c r="G8" s="755"/>
      <c r="H8" s="755"/>
      <c r="I8" s="755"/>
      <c r="J8" s="755"/>
      <c r="K8" s="755"/>
      <c r="L8" s="755"/>
      <c r="S8" s="55"/>
      <c r="T8" s="55"/>
      <c r="U8" s="55"/>
      <c r="V8" s="55"/>
      <c r="AD8" s="778"/>
      <c r="AE8" s="742"/>
      <c r="AF8" s="743"/>
      <c r="AG8" s="744"/>
    </row>
    <row r="9" spans="1:37" ht="20.100000000000001" customHeight="1">
      <c r="B9" s="748" t="s">
        <v>220</v>
      </c>
      <c r="C9" s="749"/>
      <c r="D9" s="318"/>
      <c r="E9" s="232" t="s">
        <v>209</v>
      </c>
      <c r="F9" s="202">
        <f>はじめに入力してください!K12</f>
        <v>0</v>
      </c>
      <c r="H9" s="709" t="s">
        <v>613</v>
      </c>
      <c r="I9" s="710"/>
      <c r="J9" s="50" t="s">
        <v>614</v>
      </c>
      <c r="K9" s="781" t="s">
        <v>212</v>
      </c>
      <c r="L9" s="782"/>
      <c r="S9" s="55"/>
      <c r="T9" s="55"/>
      <c r="U9" s="55"/>
      <c r="V9" s="55"/>
      <c r="AD9" s="779"/>
      <c r="AE9" s="745"/>
      <c r="AF9" s="743"/>
      <c r="AG9" s="744"/>
      <c r="AJ9" s="203"/>
    </row>
    <row r="10" spans="1:37" ht="20.100000000000001" customHeight="1" thickBot="1">
      <c r="B10" s="750" t="s">
        <v>219</v>
      </c>
      <c r="C10" s="751"/>
      <c r="D10" s="204">
        <f>COUNTIF(D16:D90,"装置")</f>
        <v>0</v>
      </c>
      <c r="E10" s="235" t="s">
        <v>210</v>
      </c>
      <c r="F10" s="207">
        <f>はじめに入力してください!K13</f>
        <v>0</v>
      </c>
      <c r="H10" s="756">
        <f>SUM(I16:I90)</f>
        <v>0</v>
      </c>
      <c r="I10" s="757"/>
      <c r="J10" s="716">
        <v>0</v>
      </c>
      <c r="K10" s="711">
        <f>IFERROR(ROUNDUP(SUM(K16:K90)*(H10-J10)/H10,0),0)</f>
        <v>0</v>
      </c>
      <c r="L10" s="712"/>
      <c r="S10" s="55"/>
      <c r="T10" s="55"/>
      <c r="U10" s="55"/>
      <c r="V10" s="55"/>
      <c r="AD10" s="779"/>
      <c r="AE10" s="745"/>
      <c r="AF10" s="743"/>
      <c r="AG10" s="744"/>
    </row>
    <row r="11" spans="1:37" ht="20.100000000000001" customHeight="1" thickTop="1">
      <c r="B11" s="752" t="s">
        <v>218</v>
      </c>
      <c r="C11" s="753"/>
      <c r="D11" s="205">
        <f>SUM(D9:D10)</f>
        <v>0</v>
      </c>
      <c r="E11" s="236" t="s">
        <v>211</v>
      </c>
      <c r="F11" s="208">
        <f>はじめに入力してください!M13</f>
        <v>0</v>
      </c>
      <c r="H11" s="757"/>
      <c r="I11" s="757"/>
      <c r="J11" s="717"/>
      <c r="K11" s="712"/>
      <c r="L11" s="712"/>
      <c r="S11" s="55"/>
      <c r="T11" s="55"/>
      <c r="U11" s="55"/>
      <c r="V11" s="55"/>
      <c r="AD11" s="779"/>
      <c r="AE11" s="745"/>
      <c r="AF11" s="743"/>
      <c r="AG11" s="744"/>
    </row>
    <row r="12" spans="1:37" ht="9.9499999999999993" customHeight="1">
      <c r="B12" s="56"/>
      <c r="C12" s="56"/>
      <c r="D12" s="56"/>
      <c r="E12" s="57"/>
      <c r="F12" s="58"/>
      <c r="G12" s="41"/>
      <c r="H12" s="41"/>
      <c r="I12" s="41"/>
      <c r="J12" s="200"/>
      <c r="K12" s="41"/>
      <c r="L12" s="41"/>
      <c r="S12" s="55"/>
      <c r="T12" s="55"/>
      <c r="U12" s="55"/>
      <c r="V12" s="55"/>
      <c r="AD12" s="779"/>
      <c r="AE12" s="746"/>
      <c r="AF12" s="743"/>
      <c r="AG12" s="744"/>
    </row>
    <row r="13" spans="1:37" ht="80.099999999999994" customHeight="1">
      <c r="B13" s="758" t="str">
        <f>人工呼吸器明細!B13</f>
        <v>２．装置情報（右端に表示の番号を、見積書あるいは納品書の内訳中、該当の部分に記入し記載の箇所を明示してください。）
　見積書等に記載の内訳は補助対象、対象外にかかわらず全て入力し、右上（実支出予定額）と見積金額とが一致するようにしてください。
　補助対象はコロナ病床施設の整備に限られるため医療用消耗品等は補助対象外です。
　記載いただいた補助対象外経費は「補助対象区分」欄で「対象外」を選択してください。（補助対象金額の算定から自動計算で除外されます。）</v>
      </c>
      <c r="C13" s="759"/>
      <c r="D13" s="759"/>
      <c r="E13" s="759"/>
      <c r="F13" s="759"/>
      <c r="G13" s="759"/>
      <c r="H13" s="759"/>
      <c r="I13" s="759"/>
      <c r="J13" s="759"/>
      <c r="K13" s="759"/>
      <c r="L13" s="759"/>
      <c r="S13" s="55"/>
      <c r="T13" s="55"/>
      <c r="U13" s="55"/>
      <c r="V13" s="55"/>
      <c r="AD13" s="780"/>
      <c r="AE13" s="747"/>
      <c r="AF13" s="739"/>
      <c r="AG13" s="740"/>
    </row>
    <row r="14" spans="1:37" ht="24.95" customHeight="1">
      <c r="B14" s="720" t="s">
        <v>206</v>
      </c>
      <c r="C14" s="721"/>
      <c r="D14" s="722"/>
      <c r="E14" s="720" t="s">
        <v>204</v>
      </c>
      <c r="F14" s="722"/>
      <c r="G14" s="723" t="s">
        <v>207</v>
      </c>
      <c r="H14" s="721"/>
      <c r="I14" s="721"/>
      <c r="J14" s="722"/>
      <c r="K14" s="724" t="s">
        <v>202</v>
      </c>
      <c r="L14" s="724" t="s">
        <v>213</v>
      </c>
      <c r="S14" s="55"/>
      <c r="T14" s="55"/>
      <c r="U14" s="55"/>
      <c r="V14" s="55"/>
    </row>
    <row r="15" spans="1:37" ht="24.95" customHeight="1">
      <c r="B15" s="42" t="s">
        <v>191</v>
      </c>
      <c r="C15" s="42" t="s">
        <v>199</v>
      </c>
      <c r="D15" s="42" t="s">
        <v>200</v>
      </c>
      <c r="E15" s="42" t="s">
        <v>55</v>
      </c>
      <c r="F15" s="42" t="s">
        <v>22</v>
      </c>
      <c r="G15" s="42" t="s">
        <v>71</v>
      </c>
      <c r="H15" s="42" t="s">
        <v>72</v>
      </c>
      <c r="I15" s="42" t="s">
        <v>73</v>
      </c>
      <c r="J15" s="42" t="s">
        <v>201</v>
      </c>
      <c r="K15" s="725"/>
      <c r="L15" s="725"/>
      <c r="AD15" s="62" t="s">
        <v>64</v>
      </c>
      <c r="AE15" s="206" t="s">
        <v>74</v>
      </c>
      <c r="AF15" s="63" t="s">
        <v>203</v>
      </c>
      <c r="AG15" s="234" t="s">
        <v>205</v>
      </c>
      <c r="AH15" s="234" t="s">
        <v>91</v>
      </c>
      <c r="AI15" s="231" t="s">
        <v>635</v>
      </c>
      <c r="AJ15" s="52" t="s">
        <v>121</v>
      </c>
      <c r="AK15" s="52" t="str">
        <f>AJ16&amp;AJ17&amp;AJ18&amp;AJ19&amp;AJ20&amp;AJ21&amp;AJ22&amp;AJ23&amp;AJ24&amp;AJ25&amp;AJ26&amp;AJ27&amp;AJ28&amp;AJ29&amp;AJ30&amp;AJ31&amp;AJ32&amp;AJ33&amp;AJ34&amp;AJ35&amp;AJ36&amp;AJ37&amp;AJ38&amp;AJ39&amp;AJ40&amp;AJ41&amp;AJ42&amp;AJ43&amp;AJ44&amp;AJ45&amp;AJ46&amp;AJ47&amp;AJ48&amp;AJ49&amp;AJ50&amp;AJ51&amp;AJ52&amp;AJ53&amp;AJ54&amp;AJ55&amp;AJ56&amp;AJ57&amp;AJ58&amp;AJ59&amp;AJ60&amp;AJ61&amp;AJ62&amp;AJ63&amp;AJ64&amp;AJ65&amp;AJ66&amp;AJ67&amp;AJ68&amp;AJ69&amp;AJ70&amp;AJ71&amp;AJ72&amp;AJ73&amp;AJ74&amp;AJ75&amp;AJ76&amp;AJ77&amp;AJ78&amp;AJ79&amp;AJ80&amp;AJ81&amp;AJ82&amp;AJ83&amp;AJ84&amp;AJ85&amp;AJ86&amp;AJ87&amp;AJ88&amp;AJ89&amp;AJ90</f>
        <v/>
      </c>
    </row>
    <row r="16" spans="1:37" ht="24.95" customHeight="1">
      <c r="A16" s="38">
        <v>1</v>
      </c>
      <c r="B16" s="313"/>
      <c r="C16" s="313"/>
      <c r="D16" s="313"/>
      <c r="E16" s="314"/>
      <c r="F16" s="315"/>
      <c r="G16" s="316"/>
      <c r="H16" s="316"/>
      <c r="I16" s="45">
        <f>IF(G16="",H16*F16,ROUNDDOWN(F16*G16*1.1,0))</f>
        <v>0</v>
      </c>
      <c r="J16" s="317"/>
      <c r="K16" s="45">
        <f>IF(J16="補助対象",I16,IF(J16="補助対象外",0,0))</f>
        <v>0</v>
      </c>
      <c r="L16" s="44" t="str">
        <f>IF(AD16="◎",COUNTIF($AD$16:AD16,"◎"),"")</f>
        <v/>
      </c>
      <c r="W16" s="234" t="str">
        <f>IF(B16="既設病床",はじめに入力してください!$K$12,IF(B16="新設病床",はじめに入力してください!$K$13,IF(B16="共通使用",1,"")))</f>
        <v/>
      </c>
      <c r="AC16" s="49" t="s">
        <v>69</v>
      </c>
      <c r="AD16" s="231" t="str">
        <f xml:space="preserve">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f>
        <v>○</v>
      </c>
      <c r="AE16" s="35" t="str">
        <f xml:space="preserve">
IF(AND(AF16="○",AG16="○",AH16="○",AI16="○"),"申請しない場合は入力不要です。",
IF(AND(AF16="○",AG16="○",AH16="○",AI16="◎"),"【要修正】【整備先・内容】未入力、【規格・数量】未入力、【単価】未入力"&amp;CHAR(10),
IF(AND(AF16="○",AG16="○",AH16="×",AI16="○"),"【要修正】【整備先・内容】未入力、【規格・数量】未入力、【単価】入力不十分、【補助対象区分】未入力"&amp;CHAR(10),
IF(AND(AF16="○",AG16="○",AH16="×",AI16="◎"),"【要修正】【整備先・内容】未入力、【規格・数量】未入力、【単価】入力不十分"&amp;CHAR(10),
IF(AND(AF16="○",AG16="○",AH16="◎",AI16="○"),"【要修正】【整備先・内容】未入力、【規格・数量】未入力、【補助対象区分】未入力"&amp;CHAR(10),
IF(AND(AF16="○",AG16="○",AH16="◎",AI16="◎"),"【要修正】【整備先・内容】未入力、【規格・数量】未入力"&amp;CHAR(10),
IF(AND(AF16="○",AG16="×",AH16="○",AI16="○"),"【要修正】【整備先・内容】未入力、【規格・数量】入力不十分、【単価】未入力、【補助対象区分】未入力"&amp;CHAR(10),
IF(AND(AF16="○",AG16="×",AH16="○",AI16="◎"),"【要修正】【整備先・内容】未入力、【規格・数量】入力不十分、【単価】未入力"&amp;CHAR(10),
IF(AND(AF16="○",AG16="×",AH16="×",AI16="○"),"【要修正】【整備先・内容】未入力、【規格・数量】入力不十分、【単価】入力不十分、【補助対象区分】未入力"&amp;CHAR(10),
IF(AND(AF16="○",AG16="×",AH16="×",AI16="◎"),"【要修正】【整備先・内容】未入力、【規格・数量】入力不十分、【単価】入力不十分"&amp;CHAR(10),
IF(AND(AF16="○",AG16="×",AH16="◎",AI16="○"),"【要修正】【整備先・内容】未入力、【規格・数量】入力不十分、【補助対象区分】未入力"&amp;CHAR(10),
IF(AND(AF16="○",AG16="×",AH16="◎",AI16="◎"),"【要修正】【整備先・内容】未入力、【規格・数量】入力不十分"&amp;CHAR(10),
IF(AND(AF16="○",AG16="◎",AH16="○",AI16="○"),"【要修正】【整備先・内容】未入力、【単価】未入力、【補助対象区分】未入力"&amp;CHAR(10),
IF(AND(AF16="○",AG16="◎",AH16="○",AI16="◎"),"【要修正】【整備先・内容】未入力、【単価】未入力"&amp;CHAR(10),
IF(AND(AF16="○",AG16="◎",AH16="×",AI16="○"),"【要修正】【整備先・内容】未入力、【単価】入力不十分、【補助対象区分】未入力"&amp;CHAR(10),
IF(AND(AF16="○",AG16="◎",AH16="×",AI16="◎"),"【要修正】【整備先・内容】未入力、【単価】入力不十分"&amp;CHAR(10),
IF(AND(AF16="○",AG16="◎",AH16="◎",AI16="○"),"【要修正】【整備先・内容】未入力、【補助対象区分】未入力"&amp;CHAR(10),
IF(AND(AF16="○",AG16="◎",AH16="◎",AI16="◎"),"【要修正】【整備先・内容】未入力"&amp;CHAR(10),
IF(AND(AF16="×",AG16="○",AH16="○",AI16="○"),"【要修正】【整備先・内容】入力不十分、【規格・数量】未入力、【単価】未入力、【補助対象区分】未入力"&amp;CHAR(10),
IF(AND(AF16="×",AG16="○",AH16="○",AI16="◎"),"【要修正】【整備先・内容】入力不十分、【規格・数量】未入力、【単価】未入力"&amp;CHAR(10),
IF(AND(AF16="×",AG16="○",AH16="×",AI16="○"),"【要修正】【整備先・内容】入力不十分、【規格・数量】未入力、【単価】入力不十分、【補助対象区分】未入力"&amp;CHAR(10),
IF(AND(AF16="×",AG16="○",AH16="×",AI16="◎"),"【要修正】【整備先・内容】入力不十分、【規格・数量】未入力、【単価】入力不十分"&amp;CHAR(10),
IF(AND(AF16="×",AG16="○",AH16="◎",AI16="○"),"【要修正】【整備先・内容】入力不十分、【規格・数量】未入力、【補助対象区分】未入力"&amp;CHAR(10),
IF(AND(AF16="×",AG16="○",AH16="◎",AI16="◎"),"【要修正】【整備先・内容】入力不十分、【規格・数量】未入力"&amp;CHAR(10),
IF(AND(AF16="×",AG16="×",AH16="○",AI16="○"),"【要修正】【整備先・内容】入力不十分、【規格・数量】入力不十分、【単価】未入力、【補助対象区分】未入力"&amp;CHAR(10),
IF(AND(AF16="×",AG16="×",AH16="○",AI16="◎"),"【要修正】【整備先・内容】入力不十分、【規格・数量】入力不十分、【単価】未入力"&amp;CHAR(10),
IF(AND(AF16="×",AG16="×",AH16="×",AI16="○"),"【要修正】【整備先・内容】入力不十分、【規格・数量】入力不十分、【単価】入力不十分、【補助対象区分】未入力"&amp;CHAR(10),
IF(AND(AF16="×",AG16="×",AH16="×",AI16="◎"),"【要修正】【整備先・内容】入力不十分、【規格・数量】入力不十分、【単価】入力不十分"&amp;CHAR(10),
IF(AND(AF16="×",AG16="×",AH16="◎",AI16="○"),"【要修正】【整備先・内容】入力不十分、【規格・数量】入力不十分、【補助対象区分】未入力"&amp;CHAR(10),
IF(AND(AF16="×",AG16="×",AH16="◎",AI16="◎"),"【要修正】【整備先・内容】入力不十分、【規格・数量】入力不十分"&amp;CHAR(10),
IF(AND(AF16="×",AG16="◎",AH16="○",AI16="○"),"【要修正】【整備先・内容】入力不十分、【単価】未入力、【補助対象区分】未入力"&amp;CHAR(10),
IF(AND(AF16="×",AG16="◎",AH16="○",AI16="◎"),"【要修正】【整備先・内容】入力不十分、【単価】未入力"&amp;CHAR(10),
IF(AND(AF16="×",AG16="◎",AH16="×",AI16="○"),"【要修正】【整備先・内容】入力不十分、【単価】入力不十分、【補助対象区分】未入力"&amp;CHAR(10),
IF(AND(AF16="×",AG16="◎",AH16="×",AI16="◎"),"【要修正】【整備先・内容】入力不十分、【単価】入力不十分"&amp;CHAR(10),
IF(AND(AF16="×",AG16="◎",AH16="◎",AI16="○"),"【要修正】【整備先・内容】入力不十分、【補助対象区分】未入力"&amp;CHAR(10),
IF(AND(AF16="×",AG16="◎",AH16="◎",AI16="◎"),"【要修正】【整備先・内容】入力不十分"&amp;CHAR(10),
IF(AND(AF16="◎",AG16="○",AH16="○",AI16="○"),"【要修正】【規格・数量】未入力、【単価】未入力、【補助対象区分】未入力"&amp;CHAR(10),
IF(AND(AF16="◎",AG16="○",AH16="○",AI16="◎"),"【要修正】【規格・数量】未入力、【単価】未入力"&amp;CHAR(10),
IF(AND(AF16="◎",AG16="○",AH16="×",AI16="○"),"【要修正】【規格・数量】未入力、【単価】入力不十分、【補助対象区分】未入力"&amp;CHAR(10),
IF(AND(AF16="◎",AG16="○",AH16="×",AI16="◎"),"【要修正】【規格・数量】未入力、【単価】入力不十分"&amp;CHAR(10),
IF(AND(AF16="◎",AG16="○",AH16="◎",AI16="○"),"【要修正】【規格・数量】未入力、【補助対象区分】未入力"&amp;CHAR(10),
IF(AND(AF16="◎",AG16="○",AH16="◎",AI16="◎"),"【要修正】【規格・数量】未入力"&amp;CHAR(10),
IF(AND(AF16="◎",AG16="×",AH16="○",AI16="○"),"【要修正】【規格・数量】入力不十分、【単価】未入力、【補助対象区分】未入力"&amp;CHAR(10),
IF(AND(AF16="◎",AG16="×",AH16="○",AI16="◎"),"【要修正】【規格・数量】入力不十分、【単価】未入力"&amp;CHAR(10),
IF(AND(AF16="◎",AG16="×",AH16="×",AI16="○"),"【要修正】【規格・数量】入力不十分、【単価】入力不十分、【補助対象区分】未入力"&amp;CHAR(10),
IF(AND(AF16="◎",AG16="×",AH16="×",AI16="◎"),"【要修正】【規格・数量】入力不十分、【単価】入力不十分"&amp;CHAR(10),
IF(AND(AF16="◎",AG16="×",AH16="◎",AI16="○"),"【要修正】【規格・数量】入力不十分、【補助対象区分】未入力"&amp;CHAR(10),
IF(AND(AF16="◎",AG16="×",AH16="◎",AI16="◎"),"【要修正】【規格・数量】入力不十分"&amp;CHAR(10),
IF(AND(AF16="◎",AG16="◎",AH16="○",AI16="○"),"【要修正】【単価】未入力、【補助対象区分】未入力"&amp;CHAR(10),
IF(AND(AF16="◎",AG16="◎",AH16="○",AI16="◎"),"【要修正】【単価】未入力"&amp;CHAR(10),
IF(AND(AF16="◎",AG16="◎",AH16="×",AI16="○"),"【要修正】【単価】入力不十分、【補助対象区分】未入力"&amp;CHAR(10),
IF(AND(AF16="◎",AG16="◎",AH16="×",AI16="◎"),"【要修正】【単価】入力不十分"&amp;CHAR(10),
IF(AND(AF16="◎",AG16="◎",AH16="◎",AI16="○"),"【要修正】【補助対象区分】未入力"&amp;CHAR(10),
IF(AND(AF16="◎",AG16="◎",AH16="◎",AI16="◎"),"適切に入力がされました。",
))))))))))))))))))))))))))))))))))))))))))))))))))))))</f>
        <v>申請しない場合は入力不要です。</v>
      </c>
      <c r="AF16" s="234" t="str">
        <f>IF(COUNTA(B16:D16)=0,"○",IF(AND(COUNTA(B16:D16)&gt;=1,COUNTA(B16:D16)&lt;3),"×",IF(COUNTA(B16:D16)=3,"◎")))</f>
        <v>○</v>
      </c>
      <c r="AG16" s="234" t="str">
        <f>IF(COUNTA(E16,F16,J16)=0,"○",IF(AND(COUNTA(E16,F16,J16)&gt;=1,COUNTA(E16,F16,J16)&lt;3),"×",IF(COUNTA(E16,F16,J16)=3,"◎")))</f>
        <v>○</v>
      </c>
      <c r="AH16" s="234" t="str">
        <f>IF(COUNTA(G16:H16)=0,"○",IF(COUNTA(G16:H16)=1,"◎",IF(COUNTA(G16:H16)=2,"×")))</f>
        <v>○</v>
      </c>
      <c r="AI16" s="231" t="str">
        <f>IF(COUNTA(J16)=0,"○",IF(COUNTA(J16)=1,"◎"))</f>
        <v>○</v>
      </c>
      <c r="AJ16" s="14" t="str">
        <f xml:space="preserve">
IF(AND(AF16="○",AG16="○",AH16="○",AI16="○"),"",
IF(AND(AF16="○",AG16="○",AH16="○",AI16="◎"),"【"&amp;AK16&amp;"行目】【整備先・内容】未入力、【規格・数量】未入力、【単価】未入力"&amp;CHAR(10),
IF(AND(AF16="○",AG16="○",AH16="×",AI16="○"),"【"&amp;AK16&amp;"行目】【整備先・内容】未入力、【規格・数量】未入力、【単価】入力不十分、【補助対象区分】未入力"&amp;CHAR(10),
IF(AND(AF16="○",AG16="○",AH16="×",AI16="◎"),"【"&amp;AK16&amp;"行目】【整備先・内容】未入力、【規格・数量】未入力、【単価】入力不十分"&amp;CHAR(10),
IF(AND(AF16="○",AG16="○",AH16="◎",AI16="○"),"【"&amp;AK16&amp;"行目】【整備先・内容】未入力、【規格・数量】未入力、【補助対象区分】未入力"&amp;CHAR(10),
IF(AND(AF16="○",AG16="○",AH16="◎",AI16="◎"),"【"&amp;AK16&amp;"行目】【整備先・内容】未入力、【規格・数量】未入力"&amp;CHAR(10),
IF(AND(AF16="○",AG16="×",AH16="○",AI16="○"),"【"&amp;AK16&amp;"行目】【整備先・内容】未入力、【規格・数量】入力不十分、【単価】未入力、【補助対象区分】未入力"&amp;CHAR(10),
IF(AND(AF16="○",AG16="×",AH16="○",AI16="◎"),"【"&amp;AK16&amp;"行目】【整備先・内容】未入力、【規格・数量】入力不十分、【単価】未入力"&amp;CHAR(10),
IF(AND(AF16="○",AG16="×",AH16="×",AI16="○"),"【"&amp;AK16&amp;"行目】【整備先・内容】未入力、【規格・数量】入力不十分、【単価】入力不十分、【補助対象区分】未入力"&amp;CHAR(10),
IF(AND(AF16="○",AG16="×",AH16="×",AI16="◎"),"【"&amp;AK16&amp;"行目】【整備先・内容】未入力、【規格・数量】入力不十分、【単価】入力不十分"&amp;CHAR(10),
IF(AND(AF16="○",AG16="×",AH16="◎",AI16="○"),"【"&amp;AK16&amp;"行目】【整備先・内容】未入力、【規格・数量】入力不十分、【補助対象区分】未入力"&amp;CHAR(10),
IF(AND(AF16="○",AG16="×",AH16="◎",AI16="◎"),"【"&amp;AK16&amp;"行目】【整備先・内容】未入力、【規格・数量】入力不十分"&amp;CHAR(10),
IF(AND(AF16="○",AG16="◎",AH16="○",AI16="○"),"【"&amp;AK16&amp;"行目】【整備先・内容】未入力、【単価】未入力、【補助対象区分】未入力"&amp;CHAR(10),
IF(AND(AF16="○",AG16="◎",AH16="○",AI16="◎"),"【"&amp;AK16&amp;"行目】【整備先・内容】未入力、【単価】未入力"&amp;CHAR(10),
IF(AND(AF16="○",AG16="◎",AH16="×",AI16="○"),"【"&amp;AK16&amp;"行目】【整備先・内容】未入力、【単価】入力不十分、【補助対象区分】未入力"&amp;CHAR(10),
IF(AND(AF16="○",AG16="◎",AH16="×",AI16="◎"),"【"&amp;AK16&amp;"行目】【整備先・内容】未入力、【単価】入力不十分"&amp;CHAR(10),
IF(AND(AF16="○",AG16="◎",AH16="◎",AI16="○"),"【"&amp;AK16&amp;"行目】【整備先・内容】未入力、【補助対象区分】未入力"&amp;CHAR(10),
IF(AND(AF16="○",AG16="◎",AH16="◎",AI16="◎"),"【"&amp;AK16&amp;"行目】【整備先・内容】未入力"&amp;CHAR(10),
IF(AND(AF16="×",AG16="○",AH16="○",AI16="○"),"【"&amp;AK16&amp;"行目】【整備先・内容】入力不十分、【規格・数量】未入力、【単価】未入力、【補助対象区分】未入力"&amp;CHAR(10),
IF(AND(AF16="×",AG16="○",AH16="○",AI16="◎"),"【"&amp;AK16&amp;"行目】【整備先・内容】入力不十分、【規格・数量】未入力、【単価】未入力"&amp;CHAR(10),
IF(AND(AF16="×",AG16="○",AH16="×",AI16="○"),"【"&amp;AK16&amp;"行目】【整備先・内容】入力不十分、【規格・数量】未入力、【単価】入力不十分、【補助対象区分】未入力"&amp;CHAR(10),
IF(AND(AF16="×",AG16="○",AH16="×",AI16="◎"),"【"&amp;AK16&amp;"行目】【整備先・内容】入力不十分、【規格・数量】未入力、【単価】入力不十分"&amp;CHAR(10),
IF(AND(AF16="×",AG16="○",AH16="◎",AI16="○"),"【"&amp;AK16&amp;"行目】【整備先・内容】入力不十分、【規格・数量】未入力、【補助対象区分】未入力"&amp;CHAR(10),
IF(AND(AF16="×",AG16="○",AH16="◎",AI16="◎"),"【"&amp;AK16&amp;"行目】【整備先・内容】入力不十分、【規格・数量】未入力"&amp;CHAR(10),
IF(AND(AF16="×",AG16="×",AH16="○",AI16="○"),"【"&amp;AK16&amp;"行目】【整備先・内容】入力不十分、【規格・数量】入力不十分、【単価】未入力、【補助対象区分】未入力"&amp;CHAR(10),
IF(AND(AF16="×",AG16="×",AH16="○",AI16="◎"),"【"&amp;AK16&amp;"行目】【整備先・内容】入力不十分、【規格・数量】入力不十分、【単価】未入力"&amp;CHAR(10),
IF(AND(AF16="×",AG16="×",AH16="×",AI16="○"),"【"&amp;AK16&amp;"行目】【整備先・内容】入力不十分、【規格・数量】入力不十分、【単価】入力不十分、【補助対象区分】未入力"&amp;CHAR(10),
IF(AND(AF16="×",AG16="×",AH16="×",AI16="◎"),"【"&amp;AK16&amp;"行目】【整備先・内容】入力不十分、【規格・数量】入力不十分、【単価】入力不十分"&amp;CHAR(10),
IF(AND(AF16="×",AG16="×",AH16="◎",AI16="○"),"【"&amp;AK16&amp;"行目】【整備先・内容】入力不十分、【規格・数量】入力不十分、【補助対象区分】未入力"&amp;CHAR(10),
IF(AND(AF16="×",AG16="×",AH16="◎",AI16="◎"),"【"&amp;AK16&amp;"行目】【整備先・内容】入力不十分、【規格・数量】入力不十分"&amp;CHAR(10),
IF(AND(AF16="×",AG16="◎",AH16="○",AI16="○"),"【"&amp;AK16&amp;"行目】【整備先・内容】入力不十分、【単価】未入力、【補助対象区分】未入力"&amp;CHAR(10),
IF(AND(AF16="×",AG16="◎",AH16="○",AI16="◎"),"【"&amp;AK16&amp;"行目】【整備先・内容】入力不十分、【単価】未入力"&amp;CHAR(10),
IF(AND(AF16="×",AG16="◎",AH16="×",AI16="○"),"【"&amp;AK16&amp;"行目】【整備先・内容】入力不十分、【単価】入力不十分、【補助対象区分】未入力"&amp;CHAR(10),
IF(AND(AF16="×",AG16="◎",AH16="×",AI16="◎"),"【"&amp;AK16&amp;"行目】【整備先・内容】入力不十分、【単価】入力不十分"&amp;CHAR(10),
IF(AND(AF16="×",AG16="◎",AH16="◎",AI16="○"),"【"&amp;AK16&amp;"行目】【整備先・内容】入力不十分、【補助対象区分】未入力"&amp;CHAR(10),
IF(AND(AF16="×",AG16="◎",AH16="◎",AI16="◎"),"【"&amp;AK16&amp;"行目】【整備先・内容】入力不十分"&amp;CHAR(10),
IF(AND(AF16="◎",AG16="○",AH16="○",AI16="○"),"【"&amp;AK16&amp;"行目】【規格・数量】未入力、【単価】未入力、【補助対象区分】未入力"&amp;CHAR(10),
IF(AND(AF16="◎",AG16="○",AH16="○",AI16="◎"),"【"&amp;AK16&amp;"行目】【規格・数量】未入力、【単価】未入力"&amp;CHAR(10),
IF(AND(AF16="◎",AG16="○",AH16="×",AI16="○"),"【"&amp;AK16&amp;"行目】【規格・数量】未入力、【単価】入力不十分、【補助対象区分】未入力"&amp;CHAR(10),
IF(AND(AF16="◎",AG16="○",AH16="×",AI16="◎"),"【"&amp;AK16&amp;"行目】【規格・数量】未入力、【単価】入力不十分"&amp;CHAR(10),
IF(AND(AF16="◎",AG16="○",AH16="◎",AI16="○"),"【"&amp;AK16&amp;"行目】【規格・数量】未入力、【補助対象区分】未入力"&amp;CHAR(10),
IF(AND(AF16="◎",AG16="○",AH16="◎",AI16="◎"),"【"&amp;AK16&amp;"行目】【規格・数量】未入力"&amp;CHAR(10),
IF(AND(AF16="◎",AG16="×",AH16="○",AI16="○"),"【"&amp;AK16&amp;"行目】【規格・数量】入力不十分、【単価】未入力、【補助対象区分】未入力"&amp;CHAR(10),
IF(AND(AF16="◎",AG16="×",AH16="○",AI16="◎"),"【"&amp;AK16&amp;"行目】【規格・数量】入力不十分、【単価】未入力"&amp;CHAR(10),
IF(AND(AF16="◎",AG16="×",AH16="×",AI16="○"),"【"&amp;AK16&amp;"行目】【規格・数量】入力不十分、【単価】入力不十分、【補助対象区分】未入力"&amp;CHAR(10),
IF(AND(AF16="◎",AG16="×",AH16="×",AI16="◎"),"【"&amp;AK16&amp;"行目】【規格・数量】入力不十分、【単価】入力不十分"&amp;CHAR(10),
IF(AND(AF16="◎",AG16="×",AH16="◎",AI16="○"),"【"&amp;AK16&amp;"行目】【規格・数量】入力不十分、【補助対象区分】未入力"&amp;CHAR(10),
IF(AND(AF16="◎",AG16="×",AH16="◎",AI16="◎"),"【"&amp;AK16&amp;"行目】【規格・数量】入力不十分"&amp;CHAR(10),
IF(AND(AF16="◎",AG16="◎",AH16="○",AI16="○"),"【"&amp;AK16&amp;"行目】【単価】未入力、【補助対象区分】未入力"&amp;CHAR(10),
IF(AND(AF16="◎",AG16="◎",AH16="○",AI16="◎"),"【"&amp;AK16&amp;"行目】【単価】未入力"&amp;CHAR(10),
IF(AND(AF16="◎",AG16="◎",AH16="×",AI16="○"),"【"&amp;AK16&amp;"行目】【単価】入力不十分、【補助対象区分】未入力"&amp;CHAR(10),
IF(AND(AF16="◎",AG16="◎",AH16="×",AI16="◎"),"【"&amp;AK16&amp;"行目】【単価】入力不十分"&amp;CHAR(10),
IF(AND(AF16="◎",AG16="◎",AH16="◎",AI16="○"),"【"&amp;AK16&amp;"行目】【補助対象区分】未入力"&amp;CHAR(10),
IF(AND(AF16="◎",AG16="◎",AH16="◎",AI16="◎"),"",
))))))))))))))))))))))))))))))))))))))))))))))))))))))</f>
        <v/>
      </c>
      <c r="AK16" s="52">
        <v>1</v>
      </c>
    </row>
    <row r="17" spans="1:75" ht="24.95" customHeight="1">
      <c r="A17" s="38">
        <v>2</v>
      </c>
      <c r="B17" s="313"/>
      <c r="C17" s="313"/>
      <c r="D17" s="313"/>
      <c r="E17" s="314"/>
      <c r="F17" s="315"/>
      <c r="G17" s="316"/>
      <c r="H17" s="316"/>
      <c r="I17" s="45">
        <f t="shared" ref="I17:I80" si="0">IF(G17="",H17*F17,ROUNDDOWN(F17*G17*1.1,0))</f>
        <v>0</v>
      </c>
      <c r="J17" s="317"/>
      <c r="K17" s="45">
        <f t="shared" ref="K17:K80" si="1">IF(J17="補助対象",I17,IF(J17="補助対象外",0,0))</f>
        <v>0</v>
      </c>
      <c r="L17" s="44" t="str">
        <f>IF(AD17="◎",COUNTIF($AD$16:AD17,"◎"),"")</f>
        <v/>
      </c>
      <c r="W17" s="234" t="str">
        <f>IF(B17="既設病床",はじめに入力してください!$K$12,IF(B17="新設病床",はじめに入力してください!$K$13,IF(B17="共通使用",1,"")))</f>
        <v/>
      </c>
      <c r="X17" s="41" t="e">
        <f ca="1">OFFSET(#REF!,
0,
MATCH(B17,#REF!,0),
COUNTA(OFFSET(#REF!,0,MATCH(B17,#REF!,0), 150,1)),1)</f>
        <v>#REF!</v>
      </c>
      <c r="AC17" s="49" t="s">
        <v>69</v>
      </c>
      <c r="AD17" s="231" t="str">
        <f t="shared" ref="AD17:AD80" si="2" xml:space="preserve">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f>
        <v>○</v>
      </c>
      <c r="AE17" s="35" t="str">
        <f t="shared" ref="AE17:AE80" si="3" xml:space="preserve">
IF(AND(AF17="○",AG17="○",AH17="○",AI17="○"),"申請しない場合は入力不要です。",
IF(AND(AF17="○",AG17="○",AH17="○",AI17="◎"),"【要修正】【整備先・内容】未入力、【規格・数量】未入力、【単価】未入力"&amp;CHAR(10),
IF(AND(AF17="○",AG17="○",AH17="×",AI17="○"),"【要修正】【整備先・内容】未入力、【規格・数量】未入力、【単価】入力不十分、【補助対象区分】未入力"&amp;CHAR(10),
IF(AND(AF17="○",AG17="○",AH17="×",AI17="◎"),"【要修正】【整備先・内容】未入力、【規格・数量】未入力、【単価】入力不十分"&amp;CHAR(10),
IF(AND(AF17="○",AG17="○",AH17="◎",AI17="○"),"【要修正】【整備先・内容】未入力、【規格・数量】未入力、【補助対象区分】未入力"&amp;CHAR(10),
IF(AND(AF17="○",AG17="○",AH17="◎",AI17="◎"),"【要修正】【整備先・内容】未入力、【規格・数量】未入力"&amp;CHAR(10),
IF(AND(AF17="○",AG17="×",AH17="○",AI17="○"),"【要修正】【整備先・内容】未入力、【規格・数量】入力不十分、【単価】未入力、【補助対象区分】未入力"&amp;CHAR(10),
IF(AND(AF17="○",AG17="×",AH17="○",AI17="◎"),"【要修正】【整備先・内容】未入力、【規格・数量】入力不十分、【単価】未入力"&amp;CHAR(10),
IF(AND(AF17="○",AG17="×",AH17="×",AI17="○"),"【要修正】【整備先・内容】未入力、【規格・数量】入力不十分、【単価】入力不十分、【補助対象区分】未入力"&amp;CHAR(10),
IF(AND(AF17="○",AG17="×",AH17="×",AI17="◎"),"【要修正】【整備先・内容】未入力、【規格・数量】入力不十分、【単価】入力不十分"&amp;CHAR(10),
IF(AND(AF17="○",AG17="×",AH17="◎",AI17="○"),"【要修正】【整備先・内容】未入力、【規格・数量】入力不十分、【補助対象区分】未入力"&amp;CHAR(10),
IF(AND(AF17="○",AG17="×",AH17="◎",AI17="◎"),"【要修正】【整備先・内容】未入力、【規格・数量】入力不十分"&amp;CHAR(10),
IF(AND(AF17="○",AG17="◎",AH17="○",AI17="○"),"【要修正】【整備先・内容】未入力、【単価】未入力、【補助対象区分】未入力"&amp;CHAR(10),
IF(AND(AF17="○",AG17="◎",AH17="○",AI17="◎"),"【要修正】【整備先・内容】未入力、【単価】未入力"&amp;CHAR(10),
IF(AND(AF17="○",AG17="◎",AH17="×",AI17="○"),"【要修正】【整備先・内容】未入力、【単価】入力不十分、【補助対象区分】未入力"&amp;CHAR(10),
IF(AND(AF17="○",AG17="◎",AH17="×",AI17="◎"),"【要修正】【整備先・内容】未入力、【単価】入力不十分"&amp;CHAR(10),
IF(AND(AF17="○",AG17="◎",AH17="◎",AI17="○"),"【要修正】【整備先・内容】未入力、【補助対象区分】未入力"&amp;CHAR(10),
IF(AND(AF17="○",AG17="◎",AH17="◎",AI17="◎"),"【要修正】【整備先・内容】未入力"&amp;CHAR(10),
IF(AND(AF17="×",AG17="○",AH17="○",AI17="○"),"【要修正】【整備先・内容】入力不十分、【規格・数量】未入力、【単価】未入力、【補助対象区分】未入力"&amp;CHAR(10),
IF(AND(AF17="×",AG17="○",AH17="○",AI17="◎"),"【要修正】【整備先・内容】入力不十分、【規格・数量】未入力、【単価】未入力"&amp;CHAR(10),
IF(AND(AF17="×",AG17="○",AH17="×",AI17="○"),"【要修正】【整備先・内容】入力不十分、【規格・数量】未入力、【単価】入力不十分、【補助対象区分】未入力"&amp;CHAR(10),
IF(AND(AF17="×",AG17="○",AH17="×",AI17="◎"),"【要修正】【整備先・内容】入力不十分、【規格・数量】未入力、【単価】入力不十分"&amp;CHAR(10),
IF(AND(AF17="×",AG17="○",AH17="◎",AI17="○"),"【要修正】【整備先・内容】入力不十分、【規格・数量】未入力、【補助対象区分】未入力"&amp;CHAR(10),
IF(AND(AF17="×",AG17="○",AH17="◎",AI17="◎"),"【要修正】【整備先・内容】入力不十分、【規格・数量】未入力"&amp;CHAR(10),
IF(AND(AF17="×",AG17="×",AH17="○",AI17="○"),"【要修正】【整備先・内容】入力不十分、【規格・数量】入力不十分、【単価】未入力、【補助対象区分】未入力"&amp;CHAR(10),
IF(AND(AF17="×",AG17="×",AH17="○",AI17="◎"),"【要修正】【整備先・内容】入力不十分、【規格・数量】入力不十分、【単価】未入力"&amp;CHAR(10),
IF(AND(AF17="×",AG17="×",AH17="×",AI17="○"),"【要修正】【整備先・内容】入力不十分、【規格・数量】入力不十分、【単価】入力不十分、【補助対象区分】未入力"&amp;CHAR(10),
IF(AND(AF17="×",AG17="×",AH17="×",AI17="◎"),"【要修正】【整備先・内容】入力不十分、【規格・数量】入力不十分、【単価】入力不十分"&amp;CHAR(10),
IF(AND(AF17="×",AG17="×",AH17="◎",AI17="○"),"【要修正】【整備先・内容】入力不十分、【規格・数量】入力不十分、【補助対象区分】未入力"&amp;CHAR(10),
IF(AND(AF17="×",AG17="×",AH17="◎",AI17="◎"),"【要修正】【整備先・内容】入力不十分、【規格・数量】入力不十分"&amp;CHAR(10),
IF(AND(AF17="×",AG17="◎",AH17="○",AI17="○"),"【要修正】【整備先・内容】入力不十分、【単価】未入力、【補助対象区分】未入力"&amp;CHAR(10),
IF(AND(AF17="×",AG17="◎",AH17="○",AI17="◎"),"【要修正】【整備先・内容】入力不十分、【単価】未入力"&amp;CHAR(10),
IF(AND(AF17="×",AG17="◎",AH17="×",AI17="○"),"【要修正】【整備先・内容】入力不十分、【単価】入力不十分、【補助対象区分】未入力"&amp;CHAR(10),
IF(AND(AF17="×",AG17="◎",AH17="×",AI17="◎"),"【要修正】【整備先・内容】入力不十分、【単価】入力不十分"&amp;CHAR(10),
IF(AND(AF17="×",AG17="◎",AH17="◎",AI17="○"),"【要修正】【整備先・内容】入力不十分、【補助対象区分】未入力"&amp;CHAR(10),
IF(AND(AF17="×",AG17="◎",AH17="◎",AI17="◎"),"【要修正】【整備先・内容】入力不十分"&amp;CHAR(10),
IF(AND(AF17="◎",AG17="○",AH17="○",AI17="○"),"【要修正】【規格・数量】未入力、【単価】未入力、【補助対象区分】未入力"&amp;CHAR(10),
IF(AND(AF17="◎",AG17="○",AH17="○",AI17="◎"),"【要修正】【規格・数量】未入力、【単価】未入力"&amp;CHAR(10),
IF(AND(AF17="◎",AG17="○",AH17="×",AI17="○"),"【要修正】【規格・数量】未入力、【単価】入力不十分、【補助対象区分】未入力"&amp;CHAR(10),
IF(AND(AF17="◎",AG17="○",AH17="×",AI17="◎"),"【要修正】【規格・数量】未入力、【単価】入力不十分"&amp;CHAR(10),
IF(AND(AF17="◎",AG17="○",AH17="◎",AI17="○"),"【要修正】【規格・数量】未入力、【補助対象区分】未入力"&amp;CHAR(10),
IF(AND(AF17="◎",AG17="○",AH17="◎",AI17="◎"),"【要修正】【規格・数量】未入力"&amp;CHAR(10),
IF(AND(AF17="◎",AG17="×",AH17="○",AI17="○"),"【要修正】【規格・数量】入力不十分、【単価】未入力、【補助対象区分】未入力"&amp;CHAR(10),
IF(AND(AF17="◎",AG17="×",AH17="○",AI17="◎"),"【要修正】【規格・数量】入力不十分、【単価】未入力"&amp;CHAR(10),
IF(AND(AF17="◎",AG17="×",AH17="×",AI17="○"),"【要修正】【規格・数量】入力不十分、【単価】入力不十分、【補助対象区分】未入力"&amp;CHAR(10),
IF(AND(AF17="◎",AG17="×",AH17="×",AI17="◎"),"【要修正】【規格・数量】入力不十分、【単価】入力不十分"&amp;CHAR(10),
IF(AND(AF17="◎",AG17="×",AH17="◎",AI17="○"),"【要修正】【規格・数量】入力不十分、【補助対象区分】未入力"&amp;CHAR(10),
IF(AND(AF17="◎",AG17="×",AH17="◎",AI17="◎"),"【要修正】【規格・数量】入力不十分"&amp;CHAR(10),
IF(AND(AF17="◎",AG17="◎",AH17="○",AI17="○"),"【要修正】【単価】未入力、【補助対象区分】未入力"&amp;CHAR(10),
IF(AND(AF17="◎",AG17="◎",AH17="○",AI17="◎"),"【要修正】【単価】未入力"&amp;CHAR(10),
IF(AND(AF17="◎",AG17="◎",AH17="×",AI17="○"),"【要修正】【単価】入力不十分、【補助対象区分】未入力"&amp;CHAR(10),
IF(AND(AF17="◎",AG17="◎",AH17="×",AI17="◎"),"【要修正】【単価】入力不十分"&amp;CHAR(10),
IF(AND(AF17="◎",AG17="◎",AH17="◎",AI17="○"),"【要修正】【補助対象区分】未入力"&amp;CHAR(10),
IF(AND(AF17="◎",AG17="◎",AH17="◎",AI17="◎"),"適切に入力がされました。",
))))))))))))))))))))))))))))))))))))))))))))))))))))))</f>
        <v>申請しない場合は入力不要です。</v>
      </c>
      <c r="AF17" s="234" t="str">
        <f t="shared" ref="AF17:AF80" si="4">IF(COUNTA(B17:D17)=0,"○",IF(AND(COUNTA(B17:D17)&gt;=1,COUNTA(B17:D17)&lt;3),"×",IF(COUNTA(B17:D17)=3,"◎")))</f>
        <v>○</v>
      </c>
      <c r="AG17" s="234" t="str">
        <f t="shared" ref="AG17:AG80" si="5">IF(COUNTA(E17,F17,J17)=0,"○",IF(AND(COUNTA(E17,F17,J17)&gt;=1,COUNTA(E17,F17,J17)&lt;3),"×",IF(COUNTA(E17,F17,J17)=3,"◎")))</f>
        <v>○</v>
      </c>
      <c r="AH17" s="234" t="str">
        <f t="shared" ref="AH17:AH80" si="6">IF(COUNTA(G17:H17)=0,"○",IF(COUNTA(G17:H17)=1,"◎",IF(COUNTA(G17:H17)=2,"×")))</f>
        <v>○</v>
      </c>
      <c r="AI17" s="231" t="str">
        <f t="shared" ref="AI17:AI80" si="7">IF(COUNTA(J17)=0,"○",IF(COUNTA(J17)=1,"◎"))</f>
        <v>○</v>
      </c>
      <c r="AJ17" s="14" t="str">
        <f t="shared" ref="AJ17:AJ80" si="8" xml:space="preserve">
IF(AND(AF17="○",AG17="○",AH17="○",AI17="○"),"",
IF(AND(AF17="○",AG17="○",AH17="○",AI17="◎"),"【"&amp;AK17&amp;"行目】【整備先・内容】未入力、【規格・数量】未入力、【単価】未入力"&amp;CHAR(10),
IF(AND(AF17="○",AG17="○",AH17="×",AI17="○"),"【"&amp;AK17&amp;"行目】【整備先・内容】未入力、【規格・数量】未入力、【単価】入力不十分、【補助対象区分】未入力"&amp;CHAR(10),
IF(AND(AF17="○",AG17="○",AH17="×",AI17="◎"),"【"&amp;AK17&amp;"行目】【整備先・内容】未入力、【規格・数量】未入力、【単価】入力不十分"&amp;CHAR(10),
IF(AND(AF17="○",AG17="○",AH17="◎",AI17="○"),"【"&amp;AK17&amp;"行目】【整備先・内容】未入力、【規格・数量】未入力、【補助対象区分】未入力"&amp;CHAR(10),
IF(AND(AF17="○",AG17="○",AH17="◎",AI17="◎"),"【"&amp;AK17&amp;"行目】【整備先・内容】未入力、【規格・数量】未入力"&amp;CHAR(10),
IF(AND(AF17="○",AG17="×",AH17="○",AI17="○"),"【"&amp;AK17&amp;"行目】【整備先・内容】未入力、【規格・数量】入力不十分、【単価】未入力、【補助対象区分】未入力"&amp;CHAR(10),
IF(AND(AF17="○",AG17="×",AH17="○",AI17="◎"),"【"&amp;AK17&amp;"行目】【整備先・内容】未入力、【規格・数量】入力不十分、【単価】未入力"&amp;CHAR(10),
IF(AND(AF17="○",AG17="×",AH17="×",AI17="○"),"【"&amp;AK17&amp;"行目】【整備先・内容】未入力、【規格・数量】入力不十分、【単価】入力不十分、【補助対象区分】未入力"&amp;CHAR(10),
IF(AND(AF17="○",AG17="×",AH17="×",AI17="◎"),"【"&amp;AK17&amp;"行目】【整備先・内容】未入力、【規格・数量】入力不十分、【単価】入力不十分"&amp;CHAR(10),
IF(AND(AF17="○",AG17="×",AH17="◎",AI17="○"),"【"&amp;AK17&amp;"行目】【整備先・内容】未入力、【規格・数量】入力不十分、【補助対象区分】未入力"&amp;CHAR(10),
IF(AND(AF17="○",AG17="×",AH17="◎",AI17="◎"),"【"&amp;AK17&amp;"行目】【整備先・内容】未入力、【規格・数量】入力不十分"&amp;CHAR(10),
IF(AND(AF17="○",AG17="◎",AH17="○",AI17="○"),"【"&amp;AK17&amp;"行目】【整備先・内容】未入力、【単価】未入力、【補助対象区分】未入力"&amp;CHAR(10),
IF(AND(AF17="○",AG17="◎",AH17="○",AI17="◎"),"【"&amp;AK17&amp;"行目】【整備先・内容】未入力、【単価】未入力"&amp;CHAR(10),
IF(AND(AF17="○",AG17="◎",AH17="×",AI17="○"),"【"&amp;AK17&amp;"行目】【整備先・内容】未入力、【単価】入力不十分、【補助対象区分】未入力"&amp;CHAR(10),
IF(AND(AF17="○",AG17="◎",AH17="×",AI17="◎"),"【"&amp;AK17&amp;"行目】【整備先・内容】未入力、【単価】入力不十分"&amp;CHAR(10),
IF(AND(AF17="○",AG17="◎",AH17="◎",AI17="○"),"【"&amp;AK17&amp;"行目】【整備先・内容】未入力、【補助対象区分】未入力"&amp;CHAR(10),
IF(AND(AF17="○",AG17="◎",AH17="◎",AI17="◎"),"【"&amp;AK17&amp;"行目】【整備先・内容】未入力"&amp;CHAR(10),
IF(AND(AF17="×",AG17="○",AH17="○",AI17="○"),"【"&amp;AK17&amp;"行目】【整備先・内容】入力不十分、【規格・数量】未入力、【単価】未入力、【補助対象区分】未入力"&amp;CHAR(10),
IF(AND(AF17="×",AG17="○",AH17="○",AI17="◎"),"【"&amp;AK17&amp;"行目】【整備先・内容】入力不十分、【規格・数量】未入力、【単価】未入力"&amp;CHAR(10),
IF(AND(AF17="×",AG17="○",AH17="×",AI17="○"),"【"&amp;AK17&amp;"行目】【整備先・内容】入力不十分、【規格・数量】未入力、【単価】入力不十分、【補助対象区分】未入力"&amp;CHAR(10),
IF(AND(AF17="×",AG17="○",AH17="×",AI17="◎"),"【"&amp;AK17&amp;"行目】【整備先・内容】入力不十分、【規格・数量】未入力、【単価】入力不十分"&amp;CHAR(10),
IF(AND(AF17="×",AG17="○",AH17="◎",AI17="○"),"【"&amp;AK17&amp;"行目】【整備先・内容】入力不十分、【規格・数量】未入力、【補助対象区分】未入力"&amp;CHAR(10),
IF(AND(AF17="×",AG17="○",AH17="◎",AI17="◎"),"【"&amp;AK17&amp;"行目】【整備先・内容】入力不十分、【規格・数量】未入力"&amp;CHAR(10),
IF(AND(AF17="×",AG17="×",AH17="○",AI17="○"),"【"&amp;AK17&amp;"行目】【整備先・内容】入力不十分、【規格・数量】入力不十分、【単価】未入力、【補助対象区分】未入力"&amp;CHAR(10),
IF(AND(AF17="×",AG17="×",AH17="○",AI17="◎"),"【"&amp;AK17&amp;"行目】【整備先・内容】入力不十分、【規格・数量】入力不十分、【単価】未入力"&amp;CHAR(10),
IF(AND(AF17="×",AG17="×",AH17="×",AI17="○"),"【"&amp;AK17&amp;"行目】【整備先・内容】入力不十分、【規格・数量】入力不十分、【単価】入力不十分、【補助対象区分】未入力"&amp;CHAR(10),
IF(AND(AF17="×",AG17="×",AH17="×",AI17="◎"),"【"&amp;AK17&amp;"行目】【整備先・内容】入力不十分、【規格・数量】入力不十分、【単価】入力不十分"&amp;CHAR(10),
IF(AND(AF17="×",AG17="×",AH17="◎",AI17="○"),"【"&amp;AK17&amp;"行目】【整備先・内容】入力不十分、【規格・数量】入力不十分、【補助対象区分】未入力"&amp;CHAR(10),
IF(AND(AF17="×",AG17="×",AH17="◎",AI17="◎"),"【"&amp;AK17&amp;"行目】【整備先・内容】入力不十分、【規格・数量】入力不十分"&amp;CHAR(10),
IF(AND(AF17="×",AG17="◎",AH17="○",AI17="○"),"【"&amp;AK17&amp;"行目】【整備先・内容】入力不十分、【単価】未入力、【補助対象区分】未入力"&amp;CHAR(10),
IF(AND(AF17="×",AG17="◎",AH17="○",AI17="◎"),"【"&amp;AK17&amp;"行目】【整備先・内容】入力不十分、【単価】未入力"&amp;CHAR(10),
IF(AND(AF17="×",AG17="◎",AH17="×",AI17="○"),"【"&amp;AK17&amp;"行目】【整備先・内容】入力不十分、【単価】入力不十分、【補助対象区分】未入力"&amp;CHAR(10),
IF(AND(AF17="×",AG17="◎",AH17="×",AI17="◎"),"【"&amp;AK17&amp;"行目】【整備先・内容】入力不十分、【単価】入力不十分"&amp;CHAR(10),
IF(AND(AF17="×",AG17="◎",AH17="◎",AI17="○"),"【"&amp;AK17&amp;"行目】【整備先・内容】入力不十分、【補助対象区分】未入力"&amp;CHAR(10),
IF(AND(AF17="×",AG17="◎",AH17="◎",AI17="◎"),"【"&amp;AK17&amp;"行目】【整備先・内容】入力不十分"&amp;CHAR(10),
IF(AND(AF17="◎",AG17="○",AH17="○",AI17="○"),"【"&amp;AK17&amp;"行目】【規格・数量】未入力、【単価】未入力、【補助対象区分】未入力"&amp;CHAR(10),
IF(AND(AF17="◎",AG17="○",AH17="○",AI17="◎"),"【"&amp;AK17&amp;"行目】【規格・数量】未入力、【単価】未入力"&amp;CHAR(10),
IF(AND(AF17="◎",AG17="○",AH17="×",AI17="○"),"【"&amp;AK17&amp;"行目】【規格・数量】未入力、【単価】入力不十分、【補助対象区分】未入力"&amp;CHAR(10),
IF(AND(AF17="◎",AG17="○",AH17="×",AI17="◎"),"【"&amp;AK17&amp;"行目】【規格・数量】未入力、【単価】入力不十分"&amp;CHAR(10),
IF(AND(AF17="◎",AG17="○",AH17="◎",AI17="○"),"【"&amp;AK17&amp;"行目】【規格・数量】未入力、【補助対象区分】未入力"&amp;CHAR(10),
IF(AND(AF17="◎",AG17="○",AH17="◎",AI17="◎"),"【"&amp;AK17&amp;"行目】【規格・数量】未入力"&amp;CHAR(10),
IF(AND(AF17="◎",AG17="×",AH17="○",AI17="○"),"【"&amp;AK17&amp;"行目】【規格・数量】入力不十分、【単価】未入力、【補助対象区分】未入力"&amp;CHAR(10),
IF(AND(AF17="◎",AG17="×",AH17="○",AI17="◎"),"【"&amp;AK17&amp;"行目】【規格・数量】入力不十分、【単価】未入力"&amp;CHAR(10),
IF(AND(AF17="◎",AG17="×",AH17="×",AI17="○"),"【"&amp;AK17&amp;"行目】【規格・数量】入力不十分、【単価】入力不十分、【補助対象区分】未入力"&amp;CHAR(10),
IF(AND(AF17="◎",AG17="×",AH17="×",AI17="◎"),"【"&amp;AK17&amp;"行目】【規格・数量】入力不十分、【単価】入力不十分"&amp;CHAR(10),
IF(AND(AF17="◎",AG17="×",AH17="◎",AI17="○"),"【"&amp;AK17&amp;"行目】【規格・数量】入力不十分、【補助対象区分】未入力"&amp;CHAR(10),
IF(AND(AF17="◎",AG17="×",AH17="◎",AI17="◎"),"【"&amp;AK17&amp;"行目】【規格・数量】入力不十分"&amp;CHAR(10),
IF(AND(AF17="◎",AG17="◎",AH17="○",AI17="○"),"【"&amp;AK17&amp;"行目】【単価】未入力、【補助対象区分】未入力"&amp;CHAR(10),
IF(AND(AF17="◎",AG17="◎",AH17="○",AI17="◎"),"【"&amp;AK17&amp;"行目】【単価】未入力"&amp;CHAR(10),
IF(AND(AF17="◎",AG17="◎",AH17="×",AI17="○"),"【"&amp;AK17&amp;"行目】【単価】入力不十分、【補助対象区分】未入力"&amp;CHAR(10),
IF(AND(AF17="◎",AG17="◎",AH17="×",AI17="◎"),"【"&amp;AK17&amp;"行目】【単価】入力不十分"&amp;CHAR(10),
IF(AND(AF17="◎",AG17="◎",AH17="◎",AI17="○"),"【"&amp;AK17&amp;"行目】【補助対象区分】未入力"&amp;CHAR(10),
IF(AND(AF17="◎",AG17="◎",AH17="◎",AI17="◎"),"",
))))))))))))))))))))))))))))))))))))))))))))))))))))))</f>
        <v/>
      </c>
      <c r="AK17" s="52">
        <v>2</v>
      </c>
    </row>
    <row r="18" spans="1:75" ht="24.95" customHeight="1">
      <c r="A18" s="38">
        <v>3</v>
      </c>
      <c r="B18" s="313"/>
      <c r="C18" s="313"/>
      <c r="D18" s="313"/>
      <c r="E18" s="314"/>
      <c r="F18" s="315"/>
      <c r="G18" s="316"/>
      <c r="H18" s="316"/>
      <c r="I18" s="45">
        <f t="shared" si="0"/>
        <v>0</v>
      </c>
      <c r="J18" s="317"/>
      <c r="K18" s="45">
        <f t="shared" si="1"/>
        <v>0</v>
      </c>
      <c r="L18" s="44" t="str">
        <f>IF(AD18="◎",COUNTIF($AD$16:AD18,"◎"),"")</f>
        <v/>
      </c>
      <c r="W18" s="234" t="str">
        <f>IF(B18="既設病床",はじめに入力してください!$K$12,IF(B18="新設病床",はじめに入力してください!$K$13,IF(B18="共通使用",1,"")))</f>
        <v/>
      </c>
      <c r="AC18" s="49" t="s">
        <v>69</v>
      </c>
      <c r="AD18" s="231" t="str">
        <f t="shared" si="2"/>
        <v>○</v>
      </c>
      <c r="AE18" s="35" t="str">
        <f t="shared" si="3"/>
        <v>申請しない場合は入力不要です。</v>
      </c>
      <c r="AF18" s="234" t="str">
        <f t="shared" si="4"/>
        <v>○</v>
      </c>
      <c r="AG18" s="234" t="str">
        <f t="shared" si="5"/>
        <v>○</v>
      </c>
      <c r="AH18" s="234" t="str">
        <f t="shared" si="6"/>
        <v>○</v>
      </c>
      <c r="AI18" s="231" t="str">
        <f t="shared" si="7"/>
        <v>○</v>
      </c>
      <c r="AJ18" s="14" t="str">
        <f t="shared" si="8"/>
        <v/>
      </c>
      <c r="AK18" s="52">
        <v>3</v>
      </c>
      <c r="AY18" s="823"/>
      <c r="AZ18" s="823"/>
      <c r="BA18" s="823"/>
      <c r="BB18" s="823"/>
      <c r="BC18" s="823"/>
      <c r="BD18" s="823"/>
      <c r="BE18" s="823"/>
      <c r="BF18" s="823"/>
      <c r="BG18" s="823"/>
      <c r="BH18" s="823"/>
      <c r="BI18" s="402"/>
      <c r="BJ18" s="402"/>
      <c r="BK18" s="402"/>
      <c r="BL18" s="402"/>
      <c r="BM18" s="402"/>
      <c r="BN18" s="402"/>
      <c r="BO18" s="223"/>
      <c r="BP18" s="223"/>
      <c r="BQ18" s="223"/>
      <c r="BR18" s="223"/>
      <c r="BS18" s="764"/>
      <c r="BT18" s="764"/>
      <c r="BU18" s="764"/>
      <c r="BV18" s="764"/>
      <c r="BW18" s="764"/>
    </row>
    <row r="19" spans="1:75" ht="24.95" customHeight="1">
      <c r="A19" s="38">
        <v>4</v>
      </c>
      <c r="B19" s="313"/>
      <c r="C19" s="313"/>
      <c r="D19" s="313"/>
      <c r="E19" s="314"/>
      <c r="F19" s="315"/>
      <c r="G19" s="316"/>
      <c r="H19" s="316"/>
      <c r="I19" s="45">
        <f t="shared" si="0"/>
        <v>0</v>
      </c>
      <c r="J19" s="317"/>
      <c r="K19" s="45">
        <f t="shared" si="1"/>
        <v>0</v>
      </c>
      <c r="L19" s="44" t="str">
        <f>IF(AD19="◎",COUNTIF($AD$16:AD19,"◎"),"")</f>
        <v/>
      </c>
      <c r="W19" s="234" t="str">
        <f>IF(B19="既設病床",はじめに入力してください!$K$12,IF(B19="新設病床",はじめに入力してください!$K$13,IF(B19="共通使用",1,"")))</f>
        <v/>
      </c>
      <c r="Y19" s="203" t="s">
        <v>232</v>
      </c>
      <c r="AC19" s="49" t="s">
        <v>69</v>
      </c>
      <c r="AD19" s="231" t="str">
        <f t="shared" si="2"/>
        <v>○</v>
      </c>
      <c r="AE19" s="35" t="str">
        <f t="shared" si="3"/>
        <v>申請しない場合は入力不要です。</v>
      </c>
      <c r="AF19" s="234" t="str">
        <f t="shared" si="4"/>
        <v>○</v>
      </c>
      <c r="AG19" s="234" t="str">
        <f t="shared" si="5"/>
        <v>○</v>
      </c>
      <c r="AH19" s="234" t="str">
        <f t="shared" si="6"/>
        <v>○</v>
      </c>
      <c r="AI19" s="231" t="str">
        <f t="shared" si="7"/>
        <v>○</v>
      </c>
      <c r="AJ19" s="14" t="str">
        <f t="shared" si="8"/>
        <v/>
      </c>
      <c r="AK19" s="52">
        <v>4</v>
      </c>
      <c r="AY19" s="824"/>
      <c r="AZ19" s="825"/>
      <c r="BA19" s="825"/>
      <c r="BB19" s="825"/>
      <c r="BC19" s="823"/>
      <c r="BD19" s="825"/>
      <c r="BE19" s="823"/>
      <c r="BF19" s="823"/>
      <c r="BG19" s="823"/>
      <c r="BH19" s="823"/>
      <c r="BI19" s="402"/>
      <c r="BJ19" s="402"/>
      <c r="BK19" s="402"/>
      <c r="BL19" s="402"/>
      <c r="BM19" s="402"/>
      <c r="BN19" s="402"/>
      <c r="BO19" s="402"/>
      <c r="BP19" s="223"/>
      <c r="BQ19" s="823"/>
      <c r="BR19" s="764"/>
      <c r="BS19" s="764"/>
      <c r="BT19" s="764"/>
      <c r="BU19" s="764"/>
      <c r="BV19" s="764"/>
      <c r="BW19" s="764"/>
    </row>
    <row r="20" spans="1:75" ht="24.95" customHeight="1">
      <c r="A20" s="38">
        <v>5</v>
      </c>
      <c r="B20" s="313"/>
      <c r="C20" s="313"/>
      <c r="D20" s="313"/>
      <c r="E20" s="314"/>
      <c r="F20" s="315"/>
      <c r="G20" s="316"/>
      <c r="H20" s="316"/>
      <c r="I20" s="45">
        <f t="shared" si="0"/>
        <v>0</v>
      </c>
      <c r="J20" s="317"/>
      <c r="K20" s="45">
        <f t="shared" si="1"/>
        <v>0</v>
      </c>
      <c r="L20" s="44" t="str">
        <f>IF(AD20="◎",COUNTIF($AD$16:AD20,"◎"),"")</f>
        <v/>
      </c>
      <c r="W20" s="234" t="str">
        <f>IF(B20="既設病床",はじめに入力してください!$K$12,IF(B20="新設病床",はじめに入力してください!$K$13,IF(B20="共通使用",1,"")))</f>
        <v/>
      </c>
      <c r="AC20" s="49" t="s">
        <v>69</v>
      </c>
      <c r="AD20" s="231" t="str">
        <f t="shared" si="2"/>
        <v>○</v>
      </c>
      <c r="AE20" s="35" t="str">
        <f t="shared" si="3"/>
        <v>申請しない場合は入力不要です。</v>
      </c>
      <c r="AF20" s="234" t="str">
        <f t="shared" si="4"/>
        <v>○</v>
      </c>
      <c r="AG20" s="234" t="str">
        <f t="shared" si="5"/>
        <v>○</v>
      </c>
      <c r="AH20" s="234" t="str">
        <f t="shared" si="6"/>
        <v>○</v>
      </c>
      <c r="AI20" s="231" t="str">
        <f t="shared" si="7"/>
        <v>○</v>
      </c>
      <c r="AJ20" s="14" t="str">
        <f t="shared" si="8"/>
        <v/>
      </c>
      <c r="AK20" s="52">
        <v>5</v>
      </c>
      <c r="AY20" s="825"/>
      <c r="AZ20" s="825"/>
      <c r="BA20" s="825"/>
      <c r="BB20" s="825"/>
      <c r="BC20" s="823"/>
      <c r="BD20" s="823"/>
      <c r="BE20" s="823"/>
      <c r="BF20" s="823"/>
      <c r="BG20" s="823"/>
      <c r="BH20" s="823"/>
      <c r="BI20" s="402"/>
      <c r="BJ20" s="402"/>
      <c r="BK20" s="402"/>
      <c r="BL20" s="402"/>
      <c r="BM20" s="402"/>
      <c r="BN20" s="402"/>
      <c r="BO20" s="402"/>
      <c r="BP20" s="223"/>
      <c r="BQ20" s="823"/>
      <c r="BR20" s="764"/>
      <c r="BS20" s="764"/>
      <c r="BT20" s="764"/>
      <c r="BU20" s="764"/>
      <c r="BV20" s="764"/>
      <c r="BW20" s="764"/>
    </row>
    <row r="21" spans="1:75" ht="24.95" customHeight="1">
      <c r="A21" s="38">
        <v>6</v>
      </c>
      <c r="B21" s="313"/>
      <c r="C21" s="313"/>
      <c r="D21" s="313"/>
      <c r="E21" s="314"/>
      <c r="F21" s="315"/>
      <c r="G21" s="316"/>
      <c r="H21" s="316"/>
      <c r="I21" s="45">
        <f t="shared" si="0"/>
        <v>0</v>
      </c>
      <c r="J21" s="317"/>
      <c r="K21" s="45">
        <f t="shared" si="1"/>
        <v>0</v>
      </c>
      <c r="L21" s="44" t="str">
        <f>IF(AD21="◎",COUNTIF($AD$16:AD21,"◎"),"")</f>
        <v/>
      </c>
      <c r="W21" s="234" t="str">
        <f>IF(B21="既設病床",はじめに入力してください!$K$12,IF(B21="新設病床",はじめに入力してください!$K$13,IF(B21="共通使用",1,"")))</f>
        <v/>
      </c>
      <c r="AC21" s="49" t="s">
        <v>69</v>
      </c>
      <c r="AD21" s="231" t="str">
        <f t="shared" si="2"/>
        <v>○</v>
      </c>
      <c r="AE21" s="35" t="str">
        <f t="shared" si="3"/>
        <v>申請しない場合は入力不要です。</v>
      </c>
      <c r="AF21" s="234" t="str">
        <f t="shared" si="4"/>
        <v>○</v>
      </c>
      <c r="AG21" s="234" t="str">
        <f t="shared" si="5"/>
        <v>○</v>
      </c>
      <c r="AH21" s="234" t="str">
        <f t="shared" si="6"/>
        <v>○</v>
      </c>
      <c r="AI21" s="231" t="str">
        <f t="shared" si="7"/>
        <v>○</v>
      </c>
      <c r="AJ21" s="14" t="str">
        <f t="shared" si="8"/>
        <v/>
      </c>
      <c r="AK21" s="52">
        <v>6</v>
      </c>
      <c r="AY21" s="825"/>
      <c r="AZ21" s="825"/>
      <c r="BA21" s="825"/>
      <c r="BB21" s="825"/>
      <c r="BC21" s="823"/>
      <c r="BD21" s="823"/>
      <c r="BE21" s="823"/>
      <c r="BF21" s="823"/>
      <c r="BG21" s="823"/>
      <c r="BH21" s="823"/>
      <c r="BI21" s="402"/>
      <c r="BJ21" s="402"/>
      <c r="BK21" s="402"/>
      <c r="BL21" s="402"/>
      <c r="BM21" s="402"/>
      <c r="BN21" s="402"/>
      <c r="BO21" s="59"/>
      <c r="BP21" s="223"/>
      <c r="BQ21" s="223"/>
      <c r="BR21" s="222"/>
      <c r="BS21" s="222"/>
      <c r="BT21" s="222"/>
      <c r="BU21" s="222"/>
      <c r="BV21" s="222"/>
      <c r="BW21" s="222"/>
    </row>
    <row r="22" spans="1:75" ht="24.95" customHeight="1">
      <c r="A22" s="38">
        <v>7</v>
      </c>
      <c r="B22" s="313"/>
      <c r="C22" s="313"/>
      <c r="D22" s="313"/>
      <c r="E22" s="314"/>
      <c r="F22" s="315"/>
      <c r="G22" s="316"/>
      <c r="H22" s="316"/>
      <c r="I22" s="45">
        <f t="shared" si="0"/>
        <v>0</v>
      </c>
      <c r="J22" s="317"/>
      <c r="K22" s="45">
        <f t="shared" si="1"/>
        <v>0</v>
      </c>
      <c r="L22" s="44" t="str">
        <f>IF(AD22="◎",COUNTIF($AD$16:AD22,"◎"),"")</f>
        <v/>
      </c>
      <c r="W22" s="234" t="str">
        <f>IF(B22="既設病床",はじめに入力してください!$K$12,IF(B22="新設病床",はじめに入力してください!$K$13,IF(B22="共通使用",1,"")))</f>
        <v/>
      </c>
      <c r="AC22" s="49" t="s">
        <v>69</v>
      </c>
      <c r="AD22" s="231" t="str">
        <f t="shared" si="2"/>
        <v>○</v>
      </c>
      <c r="AE22" s="35" t="str">
        <f t="shared" si="3"/>
        <v>申請しない場合は入力不要です。</v>
      </c>
      <c r="AF22" s="234" t="str">
        <f t="shared" si="4"/>
        <v>○</v>
      </c>
      <c r="AG22" s="234" t="str">
        <f t="shared" si="5"/>
        <v>○</v>
      </c>
      <c r="AH22" s="234" t="str">
        <f t="shared" si="6"/>
        <v>○</v>
      </c>
      <c r="AI22" s="231" t="str">
        <f t="shared" si="7"/>
        <v>○</v>
      </c>
      <c r="AJ22" s="14" t="str">
        <f t="shared" si="8"/>
        <v/>
      </c>
      <c r="AK22" s="52">
        <v>7</v>
      </c>
      <c r="AY22" s="823"/>
      <c r="AZ22" s="823"/>
      <c r="BA22" s="823"/>
      <c r="BB22" s="823"/>
      <c r="BC22" s="823"/>
      <c r="BD22" s="823"/>
      <c r="BE22" s="823"/>
      <c r="BF22" s="823"/>
      <c r="BG22" s="823"/>
      <c r="BH22" s="823"/>
      <c r="BI22" s="402"/>
      <c r="BJ22" s="402"/>
      <c r="BK22" s="402"/>
      <c r="BL22" s="402"/>
      <c r="BM22" s="402"/>
      <c r="BN22" s="402"/>
      <c r="BO22" s="402"/>
      <c r="BP22" s="402"/>
      <c r="BQ22" s="402"/>
      <c r="BR22" s="402"/>
      <c r="BS22" s="222"/>
      <c r="BT22" s="222"/>
      <c r="BU22" s="222"/>
      <c r="BV22" s="222"/>
      <c r="BW22" s="222"/>
    </row>
    <row r="23" spans="1:75" ht="24.95" customHeight="1">
      <c r="A23" s="38">
        <v>8</v>
      </c>
      <c r="B23" s="313"/>
      <c r="C23" s="313"/>
      <c r="D23" s="313"/>
      <c r="E23" s="314"/>
      <c r="F23" s="315"/>
      <c r="G23" s="316"/>
      <c r="H23" s="316"/>
      <c r="I23" s="45">
        <f t="shared" si="0"/>
        <v>0</v>
      </c>
      <c r="J23" s="317"/>
      <c r="K23" s="45">
        <f t="shared" si="1"/>
        <v>0</v>
      </c>
      <c r="L23" s="44" t="str">
        <f>IF(AD23="◎",COUNTIF($AD$16:AD23,"◎"),"")</f>
        <v/>
      </c>
      <c r="T23" s="197"/>
      <c r="U23" s="197"/>
      <c r="V23" s="197"/>
      <c r="W23" s="234" t="str">
        <f>IF(B23="既設病床",はじめに入力してください!$K$12,IF(B23="新設病床",はじめに入力してください!$K$13,IF(B23="共通使用",1,"")))</f>
        <v/>
      </c>
      <c r="AC23" s="49" t="s">
        <v>69</v>
      </c>
      <c r="AD23" s="231" t="str">
        <f t="shared" si="2"/>
        <v>○</v>
      </c>
      <c r="AE23" s="35" t="str">
        <f t="shared" si="3"/>
        <v>申請しない場合は入力不要です。</v>
      </c>
      <c r="AF23" s="234" t="str">
        <f t="shared" si="4"/>
        <v>○</v>
      </c>
      <c r="AG23" s="234" t="str">
        <f t="shared" si="5"/>
        <v>○</v>
      </c>
      <c r="AH23" s="234" t="str">
        <f t="shared" si="6"/>
        <v>○</v>
      </c>
      <c r="AI23" s="231" t="str">
        <f t="shared" si="7"/>
        <v>○</v>
      </c>
      <c r="AJ23" s="14" t="str">
        <f t="shared" si="8"/>
        <v/>
      </c>
      <c r="AK23" s="52">
        <v>8</v>
      </c>
      <c r="AY23" s="823"/>
      <c r="AZ23" s="823"/>
      <c r="BA23" s="823"/>
      <c r="BB23" s="823"/>
      <c r="BC23" s="823"/>
      <c r="BD23" s="823"/>
      <c r="BE23" s="823"/>
      <c r="BF23" s="823"/>
      <c r="BG23" s="823"/>
      <c r="BH23" s="823"/>
      <c r="BI23" s="402"/>
      <c r="BJ23" s="402"/>
      <c r="BK23" s="402"/>
      <c r="BL23" s="402"/>
      <c r="BM23" s="402"/>
      <c r="BN23" s="402"/>
      <c r="BO23" s="402"/>
      <c r="BP23" s="402"/>
      <c r="BQ23" s="402"/>
      <c r="BR23" s="402"/>
      <c r="BS23" s="222"/>
      <c r="BT23" s="222"/>
      <c r="BU23" s="222"/>
      <c r="BV23" s="222"/>
      <c r="BW23" s="222"/>
    </row>
    <row r="24" spans="1:75" ht="24.95" customHeight="1">
      <c r="A24" s="38">
        <v>9</v>
      </c>
      <c r="B24" s="313"/>
      <c r="C24" s="313"/>
      <c r="D24" s="313"/>
      <c r="E24" s="314"/>
      <c r="F24" s="315"/>
      <c r="G24" s="316"/>
      <c r="H24" s="316"/>
      <c r="I24" s="45">
        <f t="shared" si="0"/>
        <v>0</v>
      </c>
      <c r="J24" s="317"/>
      <c r="K24" s="45">
        <f t="shared" si="1"/>
        <v>0</v>
      </c>
      <c r="L24" s="44" t="str">
        <f>IF(AD24="◎",COUNTIF($AD$16:AD24,"◎"),"")</f>
        <v/>
      </c>
      <c r="W24" s="234" t="str">
        <f>IF(B24="既設病床",はじめに入力してください!$K$12,IF(B24="新設病床",はじめに入力してください!$K$13,IF(B24="共通使用",1,"")))</f>
        <v/>
      </c>
      <c r="AC24" s="49" t="s">
        <v>69</v>
      </c>
      <c r="AD24" s="231" t="str">
        <f t="shared" si="2"/>
        <v>○</v>
      </c>
      <c r="AE24" s="35" t="str">
        <f t="shared" si="3"/>
        <v>申請しない場合は入力不要です。</v>
      </c>
      <c r="AF24" s="234" t="str">
        <f t="shared" si="4"/>
        <v>○</v>
      </c>
      <c r="AG24" s="234" t="str">
        <f t="shared" si="5"/>
        <v>○</v>
      </c>
      <c r="AH24" s="234" t="str">
        <f t="shared" si="6"/>
        <v>○</v>
      </c>
      <c r="AI24" s="231" t="str">
        <f t="shared" si="7"/>
        <v>○</v>
      </c>
      <c r="AJ24" s="14" t="str">
        <f t="shared" si="8"/>
        <v/>
      </c>
      <c r="AK24" s="52">
        <v>9</v>
      </c>
    </row>
    <row r="25" spans="1:75" ht="24.95" customHeight="1">
      <c r="A25" s="38">
        <v>10</v>
      </c>
      <c r="B25" s="313"/>
      <c r="C25" s="313"/>
      <c r="D25" s="313"/>
      <c r="E25" s="314"/>
      <c r="F25" s="315"/>
      <c r="G25" s="316"/>
      <c r="H25" s="316"/>
      <c r="I25" s="45">
        <f t="shared" si="0"/>
        <v>0</v>
      </c>
      <c r="J25" s="317"/>
      <c r="K25" s="45">
        <f t="shared" si="1"/>
        <v>0</v>
      </c>
      <c r="L25" s="44" t="str">
        <f>IF(AD25="◎",COUNTIF($AD$16:AD25,"◎"),"")</f>
        <v/>
      </c>
      <c r="W25" s="234" t="str">
        <f>IF(B25="既設病床",はじめに入力してください!$K$12,IF(B25="新設病床",はじめに入力してください!$K$13,IF(B25="共通使用",1,"")))</f>
        <v/>
      </c>
      <c r="AC25" s="49" t="s">
        <v>69</v>
      </c>
      <c r="AD25" s="231" t="str">
        <f t="shared" si="2"/>
        <v>○</v>
      </c>
      <c r="AE25" s="35" t="str">
        <f t="shared" si="3"/>
        <v>申請しない場合は入力不要です。</v>
      </c>
      <c r="AF25" s="234" t="str">
        <f t="shared" si="4"/>
        <v>○</v>
      </c>
      <c r="AG25" s="234" t="str">
        <f t="shared" si="5"/>
        <v>○</v>
      </c>
      <c r="AH25" s="234" t="str">
        <f t="shared" si="6"/>
        <v>○</v>
      </c>
      <c r="AI25" s="231" t="str">
        <f t="shared" si="7"/>
        <v>○</v>
      </c>
      <c r="AJ25" s="14" t="str">
        <f t="shared" si="8"/>
        <v/>
      </c>
      <c r="AK25" s="52">
        <v>10</v>
      </c>
    </row>
    <row r="26" spans="1:75" ht="24.95" customHeight="1">
      <c r="A26" s="38">
        <v>11</v>
      </c>
      <c r="B26" s="313"/>
      <c r="C26" s="313"/>
      <c r="D26" s="313"/>
      <c r="E26" s="314"/>
      <c r="F26" s="315"/>
      <c r="G26" s="316"/>
      <c r="H26" s="316"/>
      <c r="I26" s="45">
        <f t="shared" si="0"/>
        <v>0</v>
      </c>
      <c r="J26" s="317"/>
      <c r="K26" s="45">
        <f t="shared" si="1"/>
        <v>0</v>
      </c>
      <c r="L26" s="44" t="str">
        <f>IF(AD26="◎",COUNTIF($AD$16:AD26,"◎"),"")</f>
        <v/>
      </c>
      <c r="W26" s="234" t="str">
        <f>IF(B26="既設病床",はじめに入力してください!$K$12,IF(B26="新設病床",はじめに入力してください!$K$13,IF(B26="共通使用",1,"")))</f>
        <v/>
      </c>
      <c r="AC26" s="49" t="s">
        <v>69</v>
      </c>
      <c r="AD26" s="231" t="str">
        <f t="shared" si="2"/>
        <v>○</v>
      </c>
      <c r="AE26" s="35" t="str">
        <f t="shared" si="3"/>
        <v>申請しない場合は入力不要です。</v>
      </c>
      <c r="AF26" s="234" t="str">
        <f t="shared" si="4"/>
        <v>○</v>
      </c>
      <c r="AG26" s="234" t="str">
        <f t="shared" si="5"/>
        <v>○</v>
      </c>
      <c r="AH26" s="234" t="str">
        <f t="shared" si="6"/>
        <v>○</v>
      </c>
      <c r="AI26" s="231" t="str">
        <f t="shared" si="7"/>
        <v>○</v>
      </c>
      <c r="AJ26" s="14" t="str">
        <f t="shared" si="8"/>
        <v/>
      </c>
      <c r="AK26" s="52">
        <v>11</v>
      </c>
    </row>
    <row r="27" spans="1:75" ht="24.95" customHeight="1">
      <c r="A27" s="38">
        <v>12</v>
      </c>
      <c r="B27" s="313"/>
      <c r="C27" s="313"/>
      <c r="D27" s="313"/>
      <c r="E27" s="314"/>
      <c r="F27" s="315"/>
      <c r="G27" s="316"/>
      <c r="H27" s="316"/>
      <c r="I27" s="45">
        <f t="shared" si="0"/>
        <v>0</v>
      </c>
      <c r="J27" s="317"/>
      <c r="K27" s="45">
        <f t="shared" si="1"/>
        <v>0</v>
      </c>
      <c r="L27" s="44" t="str">
        <f>IF(AD27="◎",COUNTIF($AD$16:AD27,"◎"),"")</f>
        <v/>
      </c>
      <c r="W27" s="234" t="str">
        <f>IF(B27="既設病床",はじめに入力してください!$K$12,IF(B27="新設病床",はじめに入力してください!$K$13,IF(B27="共通使用",1,"")))</f>
        <v/>
      </c>
      <c r="AC27" s="49" t="s">
        <v>69</v>
      </c>
      <c r="AD27" s="231" t="str">
        <f t="shared" si="2"/>
        <v>○</v>
      </c>
      <c r="AE27" s="35" t="str">
        <f t="shared" si="3"/>
        <v>申請しない場合は入力不要です。</v>
      </c>
      <c r="AF27" s="234" t="str">
        <f t="shared" si="4"/>
        <v>○</v>
      </c>
      <c r="AG27" s="234" t="str">
        <f t="shared" si="5"/>
        <v>○</v>
      </c>
      <c r="AH27" s="234" t="str">
        <f t="shared" si="6"/>
        <v>○</v>
      </c>
      <c r="AI27" s="231" t="str">
        <f t="shared" si="7"/>
        <v>○</v>
      </c>
      <c r="AJ27" s="14" t="str">
        <f t="shared" si="8"/>
        <v/>
      </c>
      <c r="AK27" s="52">
        <v>12</v>
      </c>
    </row>
    <row r="28" spans="1:75" ht="24.95" customHeight="1">
      <c r="A28" s="38">
        <v>13</v>
      </c>
      <c r="B28" s="313"/>
      <c r="C28" s="313"/>
      <c r="D28" s="313"/>
      <c r="E28" s="314"/>
      <c r="F28" s="315"/>
      <c r="G28" s="316"/>
      <c r="H28" s="316"/>
      <c r="I28" s="45">
        <f t="shared" si="0"/>
        <v>0</v>
      </c>
      <c r="J28" s="317"/>
      <c r="K28" s="45">
        <f t="shared" si="1"/>
        <v>0</v>
      </c>
      <c r="L28" s="44" t="str">
        <f>IF(AD28="◎",COUNTIF($AD$16:AD28,"◎"),"")</f>
        <v/>
      </c>
      <c r="W28" s="234" t="str">
        <f>IF(B28="既設病床",はじめに入力してください!$K$12,IF(B28="新設病床",はじめに入力してください!$K$13,IF(B28="共通使用",1,"")))</f>
        <v/>
      </c>
      <c r="AC28" s="49" t="s">
        <v>69</v>
      </c>
      <c r="AD28" s="231" t="str">
        <f t="shared" si="2"/>
        <v>○</v>
      </c>
      <c r="AE28" s="35" t="str">
        <f t="shared" si="3"/>
        <v>申請しない場合は入力不要です。</v>
      </c>
      <c r="AF28" s="234" t="str">
        <f t="shared" si="4"/>
        <v>○</v>
      </c>
      <c r="AG28" s="234" t="str">
        <f t="shared" si="5"/>
        <v>○</v>
      </c>
      <c r="AH28" s="234" t="str">
        <f t="shared" si="6"/>
        <v>○</v>
      </c>
      <c r="AI28" s="231" t="str">
        <f t="shared" si="7"/>
        <v>○</v>
      </c>
      <c r="AJ28" s="14" t="str">
        <f t="shared" si="8"/>
        <v/>
      </c>
      <c r="AK28" s="52">
        <v>13</v>
      </c>
    </row>
    <row r="29" spans="1:75" ht="24.95" customHeight="1">
      <c r="A29" s="38">
        <v>14</v>
      </c>
      <c r="B29" s="313"/>
      <c r="C29" s="313"/>
      <c r="D29" s="313"/>
      <c r="E29" s="314"/>
      <c r="F29" s="315"/>
      <c r="G29" s="316"/>
      <c r="H29" s="316"/>
      <c r="I29" s="45">
        <f t="shared" si="0"/>
        <v>0</v>
      </c>
      <c r="J29" s="317"/>
      <c r="K29" s="45">
        <f t="shared" si="1"/>
        <v>0</v>
      </c>
      <c r="L29" s="44" t="str">
        <f>IF(AD29="◎",COUNTIF($AD$16:AD29,"◎"),"")</f>
        <v/>
      </c>
      <c r="W29" s="234" t="str">
        <f>IF(B29="既設病床",はじめに入力してください!$K$12,IF(B29="新設病床",はじめに入力してください!$K$13,IF(B29="共通使用",1,"")))</f>
        <v/>
      </c>
      <c r="AC29" s="49" t="s">
        <v>69</v>
      </c>
      <c r="AD29" s="231" t="str">
        <f t="shared" si="2"/>
        <v>○</v>
      </c>
      <c r="AE29" s="35" t="str">
        <f t="shared" si="3"/>
        <v>申請しない場合は入力不要です。</v>
      </c>
      <c r="AF29" s="234" t="str">
        <f t="shared" si="4"/>
        <v>○</v>
      </c>
      <c r="AG29" s="234" t="str">
        <f t="shared" si="5"/>
        <v>○</v>
      </c>
      <c r="AH29" s="234" t="str">
        <f t="shared" si="6"/>
        <v>○</v>
      </c>
      <c r="AI29" s="231" t="str">
        <f t="shared" si="7"/>
        <v>○</v>
      </c>
      <c r="AJ29" s="14" t="str">
        <f t="shared" si="8"/>
        <v/>
      </c>
      <c r="AK29" s="52">
        <v>14</v>
      </c>
    </row>
    <row r="30" spans="1:75" ht="24.95" customHeight="1">
      <c r="A30" s="38">
        <v>15</v>
      </c>
      <c r="B30" s="313"/>
      <c r="C30" s="313"/>
      <c r="D30" s="313"/>
      <c r="E30" s="314"/>
      <c r="F30" s="315"/>
      <c r="G30" s="316"/>
      <c r="H30" s="316"/>
      <c r="I30" s="45">
        <f t="shared" si="0"/>
        <v>0</v>
      </c>
      <c r="J30" s="317"/>
      <c r="K30" s="45">
        <f t="shared" si="1"/>
        <v>0</v>
      </c>
      <c r="L30" s="44" t="str">
        <f>IF(AD30="◎",COUNTIF($AD$16:AD30,"◎"),"")</f>
        <v/>
      </c>
      <c r="W30" s="234" t="str">
        <f>IF(B30="既設病床",はじめに入力してください!$K$12,IF(B30="新設病床",はじめに入力してください!$K$13,IF(B30="共通使用",1,"")))</f>
        <v/>
      </c>
      <c r="AC30" s="49" t="s">
        <v>69</v>
      </c>
      <c r="AD30" s="231" t="str">
        <f t="shared" si="2"/>
        <v>○</v>
      </c>
      <c r="AE30" s="35" t="str">
        <f t="shared" si="3"/>
        <v>申請しない場合は入力不要です。</v>
      </c>
      <c r="AF30" s="234" t="str">
        <f t="shared" si="4"/>
        <v>○</v>
      </c>
      <c r="AG30" s="234" t="str">
        <f t="shared" si="5"/>
        <v>○</v>
      </c>
      <c r="AH30" s="234" t="str">
        <f t="shared" si="6"/>
        <v>○</v>
      </c>
      <c r="AI30" s="231" t="str">
        <f t="shared" si="7"/>
        <v>○</v>
      </c>
      <c r="AJ30" s="14" t="str">
        <f t="shared" si="8"/>
        <v/>
      </c>
      <c r="AK30" s="52">
        <v>15</v>
      </c>
    </row>
    <row r="31" spans="1:75" ht="24.95" customHeight="1">
      <c r="A31" s="38">
        <v>16</v>
      </c>
      <c r="B31" s="313"/>
      <c r="C31" s="313"/>
      <c r="D31" s="313"/>
      <c r="E31" s="314"/>
      <c r="F31" s="315"/>
      <c r="G31" s="316"/>
      <c r="H31" s="316"/>
      <c r="I31" s="45">
        <f t="shared" si="0"/>
        <v>0</v>
      </c>
      <c r="J31" s="317"/>
      <c r="K31" s="45">
        <f t="shared" si="1"/>
        <v>0</v>
      </c>
      <c r="L31" s="44" t="str">
        <f>IF(AD31="◎",COUNTIF($AD$16:AD31,"◎"),"")</f>
        <v/>
      </c>
      <c r="W31" s="234" t="str">
        <f>IF(B31="既設病床",はじめに入力してください!$K$12,IF(B31="新設病床",はじめに入力してください!$K$13,IF(B31="共通使用",1,"")))</f>
        <v/>
      </c>
      <c r="AC31" s="49" t="s">
        <v>69</v>
      </c>
      <c r="AD31" s="231" t="str">
        <f t="shared" si="2"/>
        <v>○</v>
      </c>
      <c r="AE31" s="35" t="str">
        <f t="shared" si="3"/>
        <v>申請しない場合は入力不要です。</v>
      </c>
      <c r="AF31" s="234" t="str">
        <f t="shared" si="4"/>
        <v>○</v>
      </c>
      <c r="AG31" s="234" t="str">
        <f t="shared" si="5"/>
        <v>○</v>
      </c>
      <c r="AH31" s="234" t="str">
        <f t="shared" si="6"/>
        <v>○</v>
      </c>
      <c r="AI31" s="231" t="str">
        <f t="shared" si="7"/>
        <v>○</v>
      </c>
      <c r="AJ31" s="14" t="str">
        <f t="shared" si="8"/>
        <v/>
      </c>
      <c r="AK31" s="52">
        <v>16</v>
      </c>
    </row>
    <row r="32" spans="1:75" ht="24.95" customHeight="1">
      <c r="A32" s="38">
        <v>17</v>
      </c>
      <c r="B32" s="313"/>
      <c r="C32" s="313"/>
      <c r="D32" s="313"/>
      <c r="E32" s="314"/>
      <c r="F32" s="315"/>
      <c r="G32" s="316"/>
      <c r="H32" s="316"/>
      <c r="I32" s="45">
        <f t="shared" si="0"/>
        <v>0</v>
      </c>
      <c r="J32" s="317"/>
      <c r="K32" s="45">
        <f t="shared" si="1"/>
        <v>0</v>
      </c>
      <c r="L32" s="44" t="str">
        <f>IF(AD32="◎",COUNTIF($AD$16:AD32,"◎"),"")</f>
        <v/>
      </c>
      <c r="W32" s="234" t="str">
        <f>IF(B32="既設病床",はじめに入力してください!$K$12,IF(B32="新設病床",はじめに入力してください!$K$13,IF(B32="共通使用",1,"")))</f>
        <v/>
      </c>
      <c r="AC32" s="49" t="s">
        <v>69</v>
      </c>
      <c r="AD32" s="231" t="str">
        <f t="shared" si="2"/>
        <v>○</v>
      </c>
      <c r="AE32" s="35" t="str">
        <f t="shared" si="3"/>
        <v>申請しない場合は入力不要です。</v>
      </c>
      <c r="AF32" s="234" t="str">
        <f t="shared" si="4"/>
        <v>○</v>
      </c>
      <c r="AG32" s="234" t="str">
        <f t="shared" si="5"/>
        <v>○</v>
      </c>
      <c r="AH32" s="234" t="str">
        <f t="shared" si="6"/>
        <v>○</v>
      </c>
      <c r="AI32" s="231" t="str">
        <f t="shared" si="7"/>
        <v>○</v>
      </c>
      <c r="AJ32" s="14" t="str">
        <f t="shared" si="8"/>
        <v/>
      </c>
      <c r="AK32" s="52">
        <v>17</v>
      </c>
    </row>
    <row r="33" spans="1:37" ht="24.95" customHeight="1">
      <c r="A33" s="38">
        <v>18</v>
      </c>
      <c r="B33" s="313"/>
      <c r="C33" s="313"/>
      <c r="D33" s="313"/>
      <c r="E33" s="314"/>
      <c r="F33" s="315"/>
      <c r="G33" s="316"/>
      <c r="H33" s="316"/>
      <c r="I33" s="45">
        <f t="shared" si="0"/>
        <v>0</v>
      </c>
      <c r="J33" s="317"/>
      <c r="K33" s="45">
        <f t="shared" si="1"/>
        <v>0</v>
      </c>
      <c r="L33" s="44" t="str">
        <f>IF(AD33="◎",COUNTIF($AD$16:AD33,"◎"),"")</f>
        <v/>
      </c>
      <c r="W33" s="234" t="str">
        <f>IF(B33="既設病床",はじめに入力してください!$K$12,IF(B33="新設病床",はじめに入力してください!$K$13,IF(B33="共通使用",1,"")))</f>
        <v/>
      </c>
      <c r="AC33" s="49" t="s">
        <v>69</v>
      </c>
      <c r="AD33" s="231" t="str">
        <f t="shared" si="2"/>
        <v>○</v>
      </c>
      <c r="AE33" s="35" t="str">
        <f t="shared" si="3"/>
        <v>申請しない場合は入力不要です。</v>
      </c>
      <c r="AF33" s="234" t="str">
        <f t="shared" si="4"/>
        <v>○</v>
      </c>
      <c r="AG33" s="234" t="str">
        <f t="shared" si="5"/>
        <v>○</v>
      </c>
      <c r="AH33" s="234" t="str">
        <f t="shared" si="6"/>
        <v>○</v>
      </c>
      <c r="AI33" s="231" t="str">
        <f t="shared" si="7"/>
        <v>○</v>
      </c>
      <c r="AJ33" s="14" t="str">
        <f t="shared" si="8"/>
        <v/>
      </c>
      <c r="AK33" s="52">
        <v>18</v>
      </c>
    </row>
    <row r="34" spans="1:37" ht="24.95" customHeight="1">
      <c r="A34" s="38">
        <v>19</v>
      </c>
      <c r="B34" s="313"/>
      <c r="C34" s="313"/>
      <c r="D34" s="313"/>
      <c r="E34" s="314"/>
      <c r="F34" s="315"/>
      <c r="G34" s="316"/>
      <c r="H34" s="316"/>
      <c r="I34" s="45">
        <f t="shared" si="0"/>
        <v>0</v>
      </c>
      <c r="J34" s="317"/>
      <c r="K34" s="45">
        <f t="shared" si="1"/>
        <v>0</v>
      </c>
      <c r="L34" s="44" t="str">
        <f>IF(AD34="◎",COUNTIF($AD$16:AD34,"◎"),"")</f>
        <v/>
      </c>
      <c r="W34" s="234" t="str">
        <f>IF(B34="既設病床",はじめに入力してください!$K$12,IF(B34="新設病床",はじめに入力してください!$K$13,IF(B34="共通使用",1,"")))</f>
        <v/>
      </c>
      <c r="AC34" s="49" t="s">
        <v>69</v>
      </c>
      <c r="AD34" s="231" t="str">
        <f t="shared" si="2"/>
        <v>○</v>
      </c>
      <c r="AE34" s="35" t="str">
        <f t="shared" si="3"/>
        <v>申請しない場合は入力不要です。</v>
      </c>
      <c r="AF34" s="234" t="str">
        <f t="shared" si="4"/>
        <v>○</v>
      </c>
      <c r="AG34" s="234" t="str">
        <f t="shared" si="5"/>
        <v>○</v>
      </c>
      <c r="AH34" s="234" t="str">
        <f t="shared" si="6"/>
        <v>○</v>
      </c>
      <c r="AI34" s="231" t="str">
        <f t="shared" si="7"/>
        <v>○</v>
      </c>
      <c r="AJ34" s="14" t="str">
        <f t="shared" si="8"/>
        <v/>
      </c>
      <c r="AK34" s="52">
        <v>19</v>
      </c>
    </row>
    <row r="35" spans="1:37" ht="24.95" customHeight="1">
      <c r="A35" s="38">
        <v>20</v>
      </c>
      <c r="B35" s="313"/>
      <c r="C35" s="313"/>
      <c r="D35" s="313"/>
      <c r="E35" s="314"/>
      <c r="F35" s="315"/>
      <c r="G35" s="316"/>
      <c r="H35" s="316"/>
      <c r="I35" s="45">
        <f t="shared" si="0"/>
        <v>0</v>
      </c>
      <c r="J35" s="317"/>
      <c r="K35" s="45">
        <f t="shared" si="1"/>
        <v>0</v>
      </c>
      <c r="L35" s="44" t="str">
        <f>IF(AD35="◎",COUNTIF($AD$16:AD35,"◎"),"")</f>
        <v/>
      </c>
      <c r="W35" s="234" t="str">
        <f>IF(B35="既設病床",はじめに入力してください!$K$12,IF(B35="新設病床",はじめに入力してください!$K$13,IF(B35="共通使用",1,"")))</f>
        <v/>
      </c>
      <c r="AC35" s="49" t="s">
        <v>69</v>
      </c>
      <c r="AD35" s="231" t="str">
        <f t="shared" si="2"/>
        <v>○</v>
      </c>
      <c r="AE35" s="35" t="str">
        <f t="shared" si="3"/>
        <v>申請しない場合は入力不要です。</v>
      </c>
      <c r="AF35" s="234" t="str">
        <f t="shared" si="4"/>
        <v>○</v>
      </c>
      <c r="AG35" s="234" t="str">
        <f t="shared" si="5"/>
        <v>○</v>
      </c>
      <c r="AH35" s="234" t="str">
        <f t="shared" si="6"/>
        <v>○</v>
      </c>
      <c r="AI35" s="231" t="str">
        <f t="shared" si="7"/>
        <v>○</v>
      </c>
      <c r="AJ35" s="14" t="str">
        <f t="shared" si="8"/>
        <v/>
      </c>
      <c r="AK35" s="52">
        <v>20</v>
      </c>
    </row>
    <row r="36" spans="1:37" ht="24.95" customHeight="1">
      <c r="A36" s="38">
        <v>21</v>
      </c>
      <c r="B36" s="313"/>
      <c r="C36" s="313"/>
      <c r="D36" s="313"/>
      <c r="E36" s="314"/>
      <c r="F36" s="315"/>
      <c r="G36" s="316"/>
      <c r="H36" s="316"/>
      <c r="I36" s="45">
        <f t="shared" si="0"/>
        <v>0</v>
      </c>
      <c r="J36" s="317"/>
      <c r="K36" s="45">
        <f t="shared" si="1"/>
        <v>0</v>
      </c>
      <c r="L36" s="44" t="str">
        <f>IF(AD36="◎",COUNTIF($AD$16:AD36,"◎"),"")</f>
        <v/>
      </c>
      <c r="W36" s="234" t="str">
        <f>IF(B36="既設病床",はじめに入力してください!$K$12,IF(B36="新設病床",はじめに入力してください!$K$13,IF(B36="共通使用",1,"")))</f>
        <v/>
      </c>
      <c r="AC36" s="49" t="s">
        <v>69</v>
      </c>
      <c r="AD36" s="231" t="str">
        <f t="shared" si="2"/>
        <v>○</v>
      </c>
      <c r="AE36" s="35" t="str">
        <f t="shared" si="3"/>
        <v>申請しない場合は入力不要です。</v>
      </c>
      <c r="AF36" s="234" t="str">
        <f t="shared" si="4"/>
        <v>○</v>
      </c>
      <c r="AG36" s="234" t="str">
        <f t="shared" si="5"/>
        <v>○</v>
      </c>
      <c r="AH36" s="234" t="str">
        <f t="shared" si="6"/>
        <v>○</v>
      </c>
      <c r="AI36" s="231" t="str">
        <f t="shared" si="7"/>
        <v>○</v>
      </c>
      <c r="AJ36" s="14" t="str">
        <f t="shared" si="8"/>
        <v/>
      </c>
      <c r="AK36" s="52">
        <v>21</v>
      </c>
    </row>
    <row r="37" spans="1:37" ht="24.95" customHeight="1">
      <c r="A37" s="38">
        <v>22</v>
      </c>
      <c r="B37" s="313"/>
      <c r="C37" s="313"/>
      <c r="D37" s="313"/>
      <c r="E37" s="314"/>
      <c r="F37" s="315"/>
      <c r="G37" s="316"/>
      <c r="H37" s="316"/>
      <c r="I37" s="45">
        <f t="shared" si="0"/>
        <v>0</v>
      </c>
      <c r="J37" s="317"/>
      <c r="K37" s="45">
        <f t="shared" si="1"/>
        <v>0</v>
      </c>
      <c r="L37" s="44" t="str">
        <f>IF(AD37="◎",COUNTIF($AD$16:AD37,"◎"),"")</f>
        <v/>
      </c>
      <c r="W37" s="234" t="str">
        <f>IF(B37="既設病床",はじめに入力してください!$K$12,IF(B37="新設病床",はじめに入力してください!$K$13,IF(B37="共通使用",1,"")))</f>
        <v/>
      </c>
      <c r="AC37" s="49" t="s">
        <v>69</v>
      </c>
      <c r="AD37" s="231" t="str">
        <f t="shared" si="2"/>
        <v>○</v>
      </c>
      <c r="AE37" s="35" t="str">
        <f t="shared" si="3"/>
        <v>申請しない場合は入力不要です。</v>
      </c>
      <c r="AF37" s="234" t="str">
        <f t="shared" si="4"/>
        <v>○</v>
      </c>
      <c r="AG37" s="234" t="str">
        <f t="shared" si="5"/>
        <v>○</v>
      </c>
      <c r="AH37" s="234" t="str">
        <f t="shared" si="6"/>
        <v>○</v>
      </c>
      <c r="AI37" s="231" t="str">
        <f t="shared" si="7"/>
        <v>○</v>
      </c>
      <c r="AJ37" s="14" t="str">
        <f t="shared" si="8"/>
        <v/>
      </c>
      <c r="AK37" s="52">
        <v>22</v>
      </c>
    </row>
    <row r="38" spans="1:37" ht="24.95" customHeight="1">
      <c r="A38" s="38">
        <v>23</v>
      </c>
      <c r="B38" s="313"/>
      <c r="C38" s="313"/>
      <c r="D38" s="313"/>
      <c r="E38" s="314"/>
      <c r="F38" s="315"/>
      <c r="G38" s="316"/>
      <c r="H38" s="316"/>
      <c r="I38" s="45">
        <f t="shared" si="0"/>
        <v>0</v>
      </c>
      <c r="J38" s="317"/>
      <c r="K38" s="45">
        <f t="shared" si="1"/>
        <v>0</v>
      </c>
      <c r="L38" s="44" t="str">
        <f>IF(AD38="◎",COUNTIF($AD$16:AD38,"◎"),"")</f>
        <v/>
      </c>
      <c r="W38" s="234" t="str">
        <f>IF(B38="既設病床",はじめに入力してください!$K$12,IF(B38="新設病床",はじめに入力してください!$K$13,IF(B38="共通使用",1,"")))</f>
        <v/>
      </c>
      <c r="AC38" s="49" t="s">
        <v>69</v>
      </c>
      <c r="AD38" s="231" t="str">
        <f t="shared" si="2"/>
        <v>○</v>
      </c>
      <c r="AE38" s="35" t="str">
        <f t="shared" si="3"/>
        <v>申請しない場合は入力不要です。</v>
      </c>
      <c r="AF38" s="234" t="str">
        <f t="shared" si="4"/>
        <v>○</v>
      </c>
      <c r="AG38" s="234" t="str">
        <f t="shared" si="5"/>
        <v>○</v>
      </c>
      <c r="AH38" s="234" t="str">
        <f t="shared" si="6"/>
        <v>○</v>
      </c>
      <c r="AI38" s="231" t="str">
        <f t="shared" si="7"/>
        <v>○</v>
      </c>
      <c r="AJ38" s="14" t="str">
        <f t="shared" si="8"/>
        <v/>
      </c>
      <c r="AK38" s="52">
        <v>23</v>
      </c>
    </row>
    <row r="39" spans="1:37" ht="24.95" customHeight="1">
      <c r="A39" s="38">
        <v>24</v>
      </c>
      <c r="B39" s="313"/>
      <c r="C39" s="313"/>
      <c r="D39" s="313"/>
      <c r="E39" s="314"/>
      <c r="F39" s="315"/>
      <c r="G39" s="316"/>
      <c r="H39" s="316"/>
      <c r="I39" s="45">
        <f t="shared" si="0"/>
        <v>0</v>
      </c>
      <c r="J39" s="317"/>
      <c r="K39" s="45">
        <f t="shared" si="1"/>
        <v>0</v>
      </c>
      <c r="L39" s="44" t="str">
        <f>IF(AD39="◎",COUNTIF($AD$16:AD39,"◎"),"")</f>
        <v/>
      </c>
      <c r="W39" s="234" t="str">
        <f>IF(B39="既設病床",はじめに入力してください!$K$12,IF(B39="新設病床",はじめに入力してください!$K$13,IF(B39="共通使用",1,"")))</f>
        <v/>
      </c>
      <c r="AC39" s="49" t="s">
        <v>69</v>
      </c>
      <c r="AD39" s="231" t="str">
        <f t="shared" si="2"/>
        <v>○</v>
      </c>
      <c r="AE39" s="35" t="str">
        <f t="shared" si="3"/>
        <v>申請しない場合は入力不要です。</v>
      </c>
      <c r="AF39" s="234" t="str">
        <f t="shared" si="4"/>
        <v>○</v>
      </c>
      <c r="AG39" s="234" t="str">
        <f t="shared" si="5"/>
        <v>○</v>
      </c>
      <c r="AH39" s="234" t="str">
        <f t="shared" si="6"/>
        <v>○</v>
      </c>
      <c r="AI39" s="231" t="str">
        <f t="shared" si="7"/>
        <v>○</v>
      </c>
      <c r="AJ39" s="14" t="str">
        <f t="shared" si="8"/>
        <v/>
      </c>
      <c r="AK39" s="52">
        <v>24</v>
      </c>
    </row>
    <row r="40" spans="1:37" ht="24.95" customHeight="1">
      <c r="A40" s="38">
        <v>25</v>
      </c>
      <c r="B40" s="313"/>
      <c r="C40" s="313"/>
      <c r="D40" s="313"/>
      <c r="E40" s="314"/>
      <c r="F40" s="315"/>
      <c r="G40" s="316"/>
      <c r="H40" s="316"/>
      <c r="I40" s="45">
        <f t="shared" si="0"/>
        <v>0</v>
      </c>
      <c r="J40" s="317"/>
      <c r="K40" s="45">
        <f t="shared" si="1"/>
        <v>0</v>
      </c>
      <c r="L40" s="44" t="str">
        <f>IF(AD40="◎",COUNTIF($AD$16:AD40,"◎"),"")</f>
        <v/>
      </c>
      <c r="W40" s="234" t="str">
        <f>IF(B40="既設病床",はじめに入力してください!$K$12,IF(B40="新設病床",はじめに入力してください!$K$13,IF(B40="共通使用",1,"")))</f>
        <v/>
      </c>
      <c r="AC40" s="49" t="s">
        <v>69</v>
      </c>
      <c r="AD40" s="231" t="str">
        <f t="shared" si="2"/>
        <v>○</v>
      </c>
      <c r="AE40" s="35" t="str">
        <f t="shared" si="3"/>
        <v>申請しない場合は入力不要です。</v>
      </c>
      <c r="AF40" s="234" t="str">
        <f t="shared" si="4"/>
        <v>○</v>
      </c>
      <c r="AG40" s="234" t="str">
        <f t="shared" si="5"/>
        <v>○</v>
      </c>
      <c r="AH40" s="234" t="str">
        <f t="shared" si="6"/>
        <v>○</v>
      </c>
      <c r="AI40" s="231" t="str">
        <f t="shared" si="7"/>
        <v>○</v>
      </c>
      <c r="AJ40" s="14" t="str">
        <f t="shared" si="8"/>
        <v/>
      </c>
      <c r="AK40" s="52">
        <v>25</v>
      </c>
    </row>
    <row r="41" spans="1:37" ht="24.95" customHeight="1">
      <c r="A41" s="38">
        <v>26</v>
      </c>
      <c r="B41" s="313"/>
      <c r="C41" s="313"/>
      <c r="D41" s="313"/>
      <c r="E41" s="314"/>
      <c r="F41" s="315"/>
      <c r="G41" s="316"/>
      <c r="H41" s="316"/>
      <c r="I41" s="45">
        <f t="shared" si="0"/>
        <v>0</v>
      </c>
      <c r="J41" s="317"/>
      <c r="K41" s="45">
        <f t="shared" si="1"/>
        <v>0</v>
      </c>
      <c r="L41" s="44" t="str">
        <f>IF(AD41="◎",COUNTIF($AD$16:AD41,"◎"),"")</f>
        <v/>
      </c>
      <c r="W41" s="234" t="str">
        <f>IF(B41="既設病床",はじめに入力してください!$K$12,IF(B41="新設病床",はじめに入力してください!$K$13,IF(B41="共通使用",1,"")))</f>
        <v/>
      </c>
      <c r="AC41" s="49" t="s">
        <v>69</v>
      </c>
      <c r="AD41" s="231" t="str">
        <f t="shared" si="2"/>
        <v>○</v>
      </c>
      <c r="AE41" s="35" t="str">
        <f t="shared" si="3"/>
        <v>申請しない場合は入力不要です。</v>
      </c>
      <c r="AF41" s="234" t="str">
        <f t="shared" si="4"/>
        <v>○</v>
      </c>
      <c r="AG41" s="234" t="str">
        <f t="shared" si="5"/>
        <v>○</v>
      </c>
      <c r="AH41" s="234" t="str">
        <f t="shared" si="6"/>
        <v>○</v>
      </c>
      <c r="AI41" s="231" t="str">
        <f t="shared" si="7"/>
        <v>○</v>
      </c>
      <c r="AJ41" s="14" t="str">
        <f t="shared" si="8"/>
        <v/>
      </c>
      <c r="AK41" s="52">
        <v>26</v>
      </c>
    </row>
    <row r="42" spans="1:37" ht="24.95" customHeight="1">
      <c r="A42" s="38">
        <v>27</v>
      </c>
      <c r="B42" s="313"/>
      <c r="C42" s="313"/>
      <c r="D42" s="313"/>
      <c r="E42" s="314"/>
      <c r="F42" s="315"/>
      <c r="G42" s="316"/>
      <c r="H42" s="316"/>
      <c r="I42" s="45">
        <f t="shared" si="0"/>
        <v>0</v>
      </c>
      <c r="J42" s="317"/>
      <c r="K42" s="45">
        <f t="shared" si="1"/>
        <v>0</v>
      </c>
      <c r="L42" s="44" t="str">
        <f>IF(AD42="◎",COUNTIF($AD$16:AD42,"◎"),"")</f>
        <v/>
      </c>
      <c r="W42" s="234" t="str">
        <f>IF(B42="既設病床",はじめに入力してください!$K$12,IF(B42="新設病床",はじめに入力してください!$K$13,IF(B42="共通使用",1,"")))</f>
        <v/>
      </c>
      <c r="AC42" s="49" t="s">
        <v>69</v>
      </c>
      <c r="AD42" s="231" t="str">
        <f t="shared" si="2"/>
        <v>○</v>
      </c>
      <c r="AE42" s="35" t="str">
        <f t="shared" si="3"/>
        <v>申請しない場合は入力不要です。</v>
      </c>
      <c r="AF42" s="234" t="str">
        <f t="shared" si="4"/>
        <v>○</v>
      </c>
      <c r="AG42" s="234" t="str">
        <f t="shared" si="5"/>
        <v>○</v>
      </c>
      <c r="AH42" s="234" t="str">
        <f t="shared" si="6"/>
        <v>○</v>
      </c>
      <c r="AI42" s="231" t="str">
        <f t="shared" si="7"/>
        <v>○</v>
      </c>
      <c r="AJ42" s="14" t="str">
        <f t="shared" si="8"/>
        <v/>
      </c>
      <c r="AK42" s="52">
        <v>27</v>
      </c>
    </row>
    <row r="43" spans="1:37" ht="24.95" customHeight="1">
      <c r="A43" s="38">
        <v>28</v>
      </c>
      <c r="B43" s="313"/>
      <c r="C43" s="313"/>
      <c r="D43" s="313"/>
      <c r="E43" s="314"/>
      <c r="F43" s="315"/>
      <c r="G43" s="316"/>
      <c r="H43" s="316"/>
      <c r="I43" s="45">
        <f t="shared" si="0"/>
        <v>0</v>
      </c>
      <c r="J43" s="317"/>
      <c r="K43" s="45">
        <f t="shared" si="1"/>
        <v>0</v>
      </c>
      <c r="L43" s="44" t="str">
        <f>IF(AD43="◎",COUNTIF($AD$16:AD43,"◎"),"")</f>
        <v/>
      </c>
      <c r="W43" s="234" t="str">
        <f>IF(B43="既設病床",はじめに入力してください!$K$12,IF(B43="新設病床",はじめに入力してください!$K$13,IF(B43="共通使用",1,"")))</f>
        <v/>
      </c>
      <c r="AC43" s="49" t="s">
        <v>69</v>
      </c>
      <c r="AD43" s="231" t="str">
        <f t="shared" si="2"/>
        <v>○</v>
      </c>
      <c r="AE43" s="35" t="str">
        <f t="shared" si="3"/>
        <v>申請しない場合は入力不要です。</v>
      </c>
      <c r="AF43" s="234" t="str">
        <f t="shared" si="4"/>
        <v>○</v>
      </c>
      <c r="AG43" s="234" t="str">
        <f t="shared" si="5"/>
        <v>○</v>
      </c>
      <c r="AH43" s="234" t="str">
        <f t="shared" si="6"/>
        <v>○</v>
      </c>
      <c r="AI43" s="231" t="str">
        <f t="shared" si="7"/>
        <v>○</v>
      </c>
      <c r="AJ43" s="14" t="str">
        <f t="shared" si="8"/>
        <v/>
      </c>
      <c r="AK43" s="52">
        <v>28</v>
      </c>
    </row>
    <row r="44" spans="1:37" ht="24.95" customHeight="1">
      <c r="A44" s="38">
        <v>29</v>
      </c>
      <c r="B44" s="313"/>
      <c r="C44" s="313"/>
      <c r="D44" s="313"/>
      <c r="E44" s="314"/>
      <c r="F44" s="315"/>
      <c r="G44" s="316"/>
      <c r="H44" s="316"/>
      <c r="I44" s="45">
        <f t="shared" si="0"/>
        <v>0</v>
      </c>
      <c r="J44" s="317"/>
      <c r="K44" s="45">
        <f t="shared" si="1"/>
        <v>0</v>
      </c>
      <c r="L44" s="44" t="str">
        <f>IF(AD44="◎",COUNTIF($AD$16:AD44,"◎"),"")</f>
        <v/>
      </c>
      <c r="W44" s="234" t="str">
        <f>IF(B44="既設病床",はじめに入力してください!$K$12,IF(B44="新設病床",はじめに入力してください!$K$13,IF(B44="共通使用",1,"")))</f>
        <v/>
      </c>
      <c r="AC44" s="49" t="s">
        <v>69</v>
      </c>
      <c r="AD44" s="231" t="str">
        <f t="shared" si="2"/>
        <v>○</v>
      </c>
      <c r="AE44" s="35" t="str">
        <f t="shared" si="3"/>
        <v>申請しない場合は入力不要です。</v>
      </c>
      <c r="AF44" s="234" t="str">
        <f t="shared" si="4"/>
        <v>○</v>
      </c>
      <c r="AG44" s="234" t="str">
        <f t="shared" si="5"/>
        <v>○</v>
      </c>
      <c r="AH44" s="234" t="str">
        <f t="shared" si="6"/>
        <v>○</v>
      </c>
      <c r="AI44" s="231" t="str">
        <f t="shared" si="7"/>
        <v>○</v>
      </c>
      <c r="AJ44" s="14" t="str">
        <f t="shared" si="8"/>
        <v/>
      </c>
      <c r="AK44" s="52">
        <v>29</v>
      </c>
    </row>
    <row r="45" spans="1:37" ht="24.95" customHeight="1">
      <c r="A45" s="38">
        <v>30</v>
      </c>
      <c r="B45" s="313"/>
      <c r="C45" s="313"/>
      <c r="D45" s="313"/>
      <c r="E45" s="314"/>
      <c r="F45" s="315"/>
      <c r="G45" s="316"/>
      <c r="H45" s="316"/>
      <c r="I45" s="45">
        <f t="shared" si="0"/>
        <v>0</v>
      </c>
      <c r="J45" s="317"/>
      <c r="K45" s="45">
        <f t="shared" si="1"/>
        <v>0</v>
      </c>
      <c r="L45" s="44" t="str">
        <f>IF(AD45="◎",COUNTIF($AD$16:AD45,"◎"),"")</f>
        <v/>
      </c>
      <c r="W45" s="234" t="str">
        <f>IF(B45="既設病床",はじめに入力してください!$K$12,IF(B45="新設病床",はじめに入力してください!$K$13,IF(B45="共通使用",1,"")))</f>
        <v/>
      </c>
      <c r="AC45" s="49" t="s">
        <v>69</v>
      </c>
      <c r="AD45" s="231" t="str">
        <f t="shared" si="2"/>
        <v>○</v>
      </c>
      <c r="AE45" s="35" t="str">
        <f t="shared" si="3"/>
        <v>申請しない場合は入力不要です。</v>
      </c>
      <c r="AF45" s="234" t="str">
        <f t="shared" si="4"/>
        <v>○</v>
      </c>
      <c r="AG45" s="234" t="str">
        <f t="shared" si="5"/>
        <v>○</v>
      </c>
      <c r="AH45" s="234" t="str">
        <f t="shared" si="6"/>
        <v>○</v>
      </c>
      <c r="AI45" s="231" t="str">
        <f t="shared" si="7"/>
        <v>○</v>
      </c>
      <c r="AJ45" s="14" t="str">
        <f t="shared" si="8"/>
        <v/>
      </c>
      <c r="AK45" s="52">
        <v>30</v>
      </c>
    </row>
    <row r="46" spans="1:37" ht="24.95" customHeight="1">
      <c r="A46" s="38">
        <v>31</v>
      </c>
      <c r="B46" s="313"/>
      <c r="C46" s="313"/>
      <c r="D46" s="313"/>
      <c r="E46" s="314"/>
      <c r="F46" s="315"/>
      <c r="G46" s="316"/>
      <c r="H46" s="316"/>
      <c r="I46" s="45">
        <f t="shared" si="0"/>
        <v>0</v>
      </c>
      <c r="J46" s="317"/>
      <c r="K46" s="45">
        <f t="shared" si="1"/>
        <v>0</v>
      </c>
      <c r="L46" s="44" t="str">
        <f>IF(AD46="◎",COUNTIF($AD$16:AD46,"◎"),"")</f>
        <v/>
      </c>
      <c r="W46" s="234" t="str">
        <f>IF(B46="既設病床",はじめに入力してください!$K$12,IF(B46="新設病床",はじめに入力してください!$K$13,IF(B46="共通使用",1,"")))</f>
        <v/>
      </c>
      <c r="AC46" s="49" t="s">
        <v>69</v>
      </c>
      <c r="AD46" s="231" t="str">
        <f t="shared" si="2"/>
        <v>○</v>
      </c>
      <c r="AE46" s="35" t="str">
        <f t="shared" si="3"/>
        <v>申請しない場合は入力不要です。</v>
      </c>
      <c r="AF46" s="234" t="str">
        <f t="shared" si="4"/>
        <v>○</v>
      </c>
      <c r="AG46" s="234" t="str">
        <f t="shared" si="5"/>
        <v>○</v>
      </c>
      <c r="AH46" s="234" t="str">
        <f t="shared" si="6"/>
        <v>○</v>
      </c>
      <c r="AI46" s="231" t="str">
        <f t="shared" si="7"/>
        <v>○</v>
      </c>
      <c r="AJ46" s="14" t="str">
        <f t="shared" si="8"/>
        <v/>
      </c>
      <c r="AK46" s="52">
        <v>31</v>
      </c>
    </row>
    <row r="47" spans="1:37" ht="24.95" customHeight="1">
      <c r="A47" s="38">
        <v>32</v>
      </c>
      <c r="B47" s="313"/>
      <c r="C47" s="313"/>
      <c r="D47" s="313"/>
      <c r="E47" s="314"/>
      <c r="F47" s="315"/>
      <c r="G47" s="316"/>
      <c r="H47" s="316"/>
      <c r="I47" s="45">
        <f t="shared" si="0"/>
        <v>0</v>
      </c>
      <c r="J47" s="317"/>
      <c r="K47" s="45">
        <f t="shared" si="1"/>
        <v>0</v>
      </c>
      <c r="L47" s="44" t="str">
        <f>IF(AD47="◎",COUNTIF($AD$16:AD47,"◎"),"")</f>
        <v/>
      </c>
      <c r="W47" s="234" t="str">
        <f>IF(B47="既設病床",はじめに入力してください!$K$12,IF(B47="新設病床",はじめに入力してください!$K$13,IF(B47="共通使用",1,"")))</f>
        <v/>
      </c>
      <c r="AC47" s="49" t="s">
        <v>69</v>
      </c>
      <c r="AD47" s="231" t="str">
        <f t="shared" si="2"/>
        <v>○</v>
      </c>
      <c r="AE47" s="35" t="str">
        <f t="shared" si="3"/>
        <v>申請しない場合は入力不要です。</v>
      </c>
      <c r="AF47" s="234" t="str">
        <f t="shared" si="4"/>
        <v>○</v>
      </c>
      <c r="AG47" s="234" t="str">
        <f t="shared" si="5"/>
        <v>○</v>
      </c>
      <c r="AH47" s="234" t="str">
        <f t="shared" si="6"/>
        <v>○</v>
      </c>
      <c r="AI47" s="231" t="str">
        <f t="shared" si="7"/>
        <v>○</v>
      </c>
      <c r="AJ47" s="14" t="str">
        <f t="shared" si="8"/>
        <v/>
      </c>
      <c r="AK47" s="52">
        <v>32</v>
      </c>
    </row>
    <row r="48" spans="1:37" ht="24.95" customHeight="1">
      <c r="A48" s="38">
        <v>33</v>
      </c>
      <c r="B48" s="313"/>
      <c r="C48" s="313"/>
      <c r="D48" s="313"/>
      <c r="E48" s="314"/>
      <c r="F48" s="315"/>
      <c r="G48" s="316"/>
      <c r="H48" s="316"/>
      <c r="I48" s="45">
        <f t="shared" si="0"/>
        <v>0</v>
      </c>
      <c r="J48" s="317"/>
      <c r="K48" s="45">
        <f t="shared" si="1"/>
        <v>0</v>
      </c>
      <c r="L48" s="44" t="str">
        <f>IF(AD48="◎",COUNTIF($AD$16:AD48,"◎"),"")</f>
        <v/>
      </c>
      <c r="W48" s="234" t="str">
        <f>IF(B48="既設病床",はじめに入力してください!$K$12,IF(B48="新設病床",はじめに入力してください!$K$13,IF(B48="共通使用",1,"")))</f>
        <v/>
      </c>
      <c r="AC48" s="49" t="s">
        <v>69</v>
      </c>
      <c r="AD48" s="231" t="str">
        <f t="shared" si="2"/>
        <v>○</v>
      </c>
      <c r="AE48" s="35" t="str">
        <f t="shared" si="3"/>
        <v>申請しない場合は入力不要です。</v>
      </c>
      <c r="AF48" s="234" t="str">
        <f t="shared" si="4"/>
        <v>○</v>
      </c>
      <c r="AG48" s="234" t="str">
        <f t="shared" si="5"/>
        <v>○</v>
      </c>
      <c r="AH48" s="234" t="str">
        <f t="shared" si="6"/>
        <v>○</v>
      </c>
      <c r="AI48" s="231" t="str">
        <f t="shared" si="7"/>
        <v>○</v>
      </c>
      <c r="AJ48" s="14" t="str">
        <f t="shared" si="8"/>
        <v/>
      </c>
      <c r="AK48" s="52">
        <v>33</v>
      </c>
    </row>
    <row r="49" spans="1:37" ht="24.95" customHeight="1">
      <c r="A49" s="38">
        <v>34</v>
      </c>
      <c r="B49" s="313"/>
      <c r="C49" s="313"/>
      <c r="D49" s="313"/>
      <c r="E49" s="314"/>
      <c r="F49" s="315"/>
      <c r="G49" s="316"/>
      <c r="H49" s="316"/>
      <c r="I49" s="45">
        <f t="shared" si="0"/>
        <v>0</v>
      </c>
      <c r="J49" s="317"/>
      <c r="K49" s="45">
        <f t="shared" si="1"/>
        <v>0</v>
      </c>
      <c r="L49" s="44" t="str">
        <f>IF(AD49="◎",COUNTIF($AD$16:AD49,"◎"),"")</f>
        <v/>
      </c>
      <c r="W49" s="234" t="str">
        <f>IF(B49="既設病床",はじめに入力してください!$K$12,IF(B49="新設病床",はじめに入力してください!$K$13,IF(B49="共通使用",1,"")))</f>
        <v/>
      </c>
      <c r="AC49" s="49" t="s">
        <v>69</v>
      </c>
      <c r="AD49" s="231" t="str">
        <f t="shared" si="2"/>
        <v>○</v>
      </c>
      <c r="AE49" s="35" t="str">
        <f t="shared" si="3"/>
        <v>申請しない場合は入力不要です。</v>
      </c>
      <c r="AF49" s="234" t="str">
        <f t="shared" si="4"/>
        <v>○</v>
      </c>
      <c r="AG49" s="234" t="str">
        <f t="shared" si="5"/>
        <v>○</v>
      </c>
      <c r="AH49" s="234" t="str">
        <f t="shared" si="6"/>
        <v>○</v>
      </c>
      <c r="AI49" s="231" t="str">
        <f t="shared" si="7"/>
        <v>○</v>
      </c>
      <c r="AJ49" s="14" t="str">
        <f t="shared" si="8"/>
        <v/>
      </c>
      <c r="AK49" s="52">
        <v>34</v>
      </c>
    </row>
    <row r="50" spans="1:37" ht="24.95" customHeight="1">
      <c r="A50" s="38">
        <v>35</v>
      </c>
      <c r="B50" s="313"/>
      <c r="C50" s="313"/>
      <c r="D50" s="313"/>
      <c r="E50" s="314"/>
      <c r="F50" s="315"/>
      <c r="G50" s="316"/>
      <c r="H50" s="316"/>
      <c r="I50" s="45">
        <f t="shared" si="0"/>
        <v>0</v>
      </c>
      <c r="J50" s="317"/>
      <c r="K50" s="45">
        <f t="shared" si="1"/>
        <v>0</v>
      </c>
      <c r="L50" s="44" t="str">
        <f>IF(AD50="◎",COUNTIF($AD$16:AD50,"◎"),"")</f>
        <v/>
      </c>
      <c r="W50" s="234" t="str">
        <f>IF(B50="既設病床",はじめに入力してください!$K$12,IF(B50="新設病床",はじめに入力してください!$K$13,IF(B50="共通使用",1,"")))</f>
        <v/>
      </c>
      <c r="AC50" s="49" t="s">
        <v>69</v>
      </c>
      <c r="AD50" s="231" t="str">
        <f t="shared" si="2"/>
        <v>○</v>
      </c>
      <c r="AE50" s="35" t="str">
        <f t="shared" si="3"/>
        <v>申請しない場合は入力不要です。</v>
      </c>
      <c r="AF50" s="234" t="str">
        <f t="shared" si="4"/>
        <v>○</v>
      </c>
      <c r="AG50" s="234" t="str">
        <f t="shared" si="5"/>
        <v>○</v>
      </c>
      <c r="AH50" s="234" t="str">
        <f t="shared" si="6"/>
        <v>○</v>
      </c>
      <c r="AI50" s="231" t="str">
        <f t="shared" si="7"/>
        <v>○</v>
      </c>
      <c r="AJ50" s="14" t="str">
        <f t="shared" si="8"/>
        <v/>
      </c>
      <c r="AK50" s="52">
        <v>35</v>
      </c>
    </row>
    <row r="51" spans="1:37" ht="24.95" customHeight="1">
      <c r="A51" s="38">
        <v>36</v>
      </c>
      <c r="B51" s="313"/>
      <c r="C51" s="313"/>
      <c r="D51" s="313"/>
      <c r="E51" s="314"/>
      <c r="F51" s="315"/>
      <c r="G51" s="316"/>
      <c r="H51" s="316"/>
      <c r="I51" s="45">
        <f t="shared" si="0"/>
        <v>0</v>
      </c>
      <c r="J51" s="317"/>
      <c r="K51" s="45">
        <f t="shared" si="1"/>
        <v>0</v>
      </c>
      <c r="L51" s="44" t="str">
        <f>IF(AD51="◎",COUNTIF($AD$16:AD51,"◎"),"")</f>
        <v/>
      </c>
      <c r="W51" s="234" t="str">
        <f>IF(B51="既設病床",はじめに入力してください!$K$12,IF(B51="新設病床",はじめに入力してください!$K$13,IF(B51="共通使用",1,"")))</f>
        <v/>
      </c>
      <c r="AC51" s="49" t="s">
        <v>69</v>
      </c>
      <c r="AD51" s="231" t="str">
        <f t="shared" si="2"/>
        <v>○</v>
      </c>
      <c r="AE51" s="35" t="str">
        <f t="shared" si="3"/>
        <v>申請しない場合は入力不要です。</v>
      </c>
      <c r="AF51" s="234" t="str">
        <f t="shared" si="4"/>
        <v>○</v>
      </c>
      <c r="AG51" s="234" t="str">
        <f t="shared" si="5"/>
        <v>○</v>
      </c>
      <c r="AH51" s="234" t="str">
        <f t="shared" si="6"/>
        <v>○</v>
      </c>
      <c r="AI51" s="231" t="str">
        <f t="shared" si="7"/>
        <v>○</v>
      </c>
      <c r="AJ51" s="14" t="str">
        <f t="shared" si="8"/>
        <v/>
      </c>
      <c r="AK51" s="52">
        <v>36</v>
      </c>
    </row>
    <row r="52" spans="1:37" ht="24.95" customHeight="1">
      <c r="A52" s="38">
        <v>37</v>
      </c>
      <c r="B52" s="313"/>
      <c r="C52" s="313"/>
      <c r="D52" s="313"/>
      <c r="E52" s="314"/>
      <c r="F52" s="315"/>
      <c r="G52" s="316"/>
      <c r="H52" s="316"/>
      <c r="I52" s="45">
        <f t="shared" si="0"/>
        <v>0</v>
      </c>
      <c r="J52" s="317"/>
      <c r="K52" s="45">
        <f t="shared" si="1"/>
        <v>0</v>
      </c>
      <c r="L52" s="44" t="str">
        <f>IF(AD52="◎",COUNTIF($AD$16:AD52,"◎"),"")</f>
        <v/>
      </c>
      <c r="W52" s="234" t="str">
        <f>IF(B52="既設病床",はじめに入力してください!$K$12,IF(B52="新設病床",はじめに入力してください!$K$13,IF(B52="共通使用",1,"")))</f>
        <v/>
      </c>
      <c r="AC52" s="49" t="s">
        <v>69</v>
      </c>
      <c r="AD52" s="231" t="str">
        <f t="shared" si="2"/>
        <v>○</v>
      </c>
      <c r="AE52" s="35" t="str">
        <f t="shared" si="3"/>
        <v>申請しない場合は入力不要です。</v>
      </c>
      <c r="AF52" s="234" t="str">
        <f t="shared" si="4"/>
        <v>○</v>
      </c>
      <c r="AG52" s="234" t="str">
        <f t="shared" si="5"/>
        <v>○</v>
      </c>
      <c r="AH52" s="234" t="str">
        <f t="shared" si="6"/>
        <v>○</v>
      </c>
      <c r="AI52" s="231" t="str">
        <f t="shared" si="7"/>
        <v>○</v>
      </c>
      <c r="AJ52" s="14" t="str">
        <f t="shared" si="8"/>
        <v/>
      </c>
      <c r="AK52" s="52">
        <v>37</v>
      </c>
    </row>
    <row r="53" spans="1:37" ht="24.95" customHeight="1">
      <c r="A53" s="38">
        <v>38</v>
      </c>
      <c r="B53" s="313"/>
      <c r="C53" s="313"/>
      <c r="D53" s="313"/>
      <c r="E53" s="314"/>
      <c r="F53" s="315"/>
      <c r="G53" s="316"/>
      <c r="H53" s="316"/>
      <c r="I53" s="45">
        <f t="shared" si="0"/>
        <v>0</v>
      </c>
      <c r="J53" s="317"/>
      <c r="K53" s="45">
        <f t="shared" si="1"/>
        <v>0</v>
      </c>
      <c r="L53" s="44" t="str">
        <f>IF(AD53="◎",COUNTIF($AD$16:AD53,"◎"),"")</f>
        <v/>
      </c>
      <c r="W53" s="234" t="str">
        <f>IF(B53="既設病床",はじめに入力してください!$K$12,IF(B53="新設病床",はじめに入力してください!$K$13,IF(B53="共通使用",1,"")))</f>
        <v/>
      </c>
      <c r="AC53" s="49" t="s">
        <v>69</v>
      </c>
      <c r="AD53" s="231" t="str">
        <f t="shared" si="2"/>
        <v>○</v>
      </c>
      <c r="AE53" s="35" t="str">
        <f t="shared" si="3"/>
        <v>申請しない場合は入力不要です。</v>
      </c>
      <c r="AF53" s="234" t="str">
        <f t="shared" si="4"/>
        <v>○</v>
      </c>
      <c r="AG53" s="234" t="str">
        <f t="shared" si="5"/>
        <v>○</v>
      </c>
      <c r="AH53" s="234" t="str">
        <f t="shared" si="6"/>
        <v>○</v>
      </c>
      <c r="AI53" s="231" t="str">
        <f t="shared" si="7"/>
        <v>○</v>
      </c>
      <c r="AJ53" s="14" t="str">
        <f t="shared" si="8"/>
        <v/>
      </c>
      <c r="AK53" s="52">
        <v>38</v>
      </c>
    </row>
    <row r="54" spans="1:37" ht="24.95" customHeight="1">
      <c r="A54" s="38">
        <v>39</v>
      </c>
      <c r="B54" s="313"/>
      <c r="C54" s="313"/>
      <c r="D54" s="313"/>
      <c r="E54" s="314"/>
      <c r="F54" s="315"/>
      <c r="G54" s="316"/>
      <c r="H54" s="316"/>
      <c r="I54" s="45">
        <f t="shared" si="0"/>
        <v>0</v>
      </c>
      <c r="J54" s="317"/>
      <c r="K54" s="45">
        <f t="shared" si="1"/>
        <v>0</v>
      </c>
      <c r="L54" s="44" t="str">
        <f>IF(AD54="◎",COUNTIF($AD$16:AD54,"◎"),"")</f>
        <v/>
      </c>
      <c r="W54" s="234" t="str">
        <f>IF(B54="既設病床",はじめに入力してください!$K$12,IF(B54="新設病床",はじめに入力してください!$K$13,IF(B54="共通使用",1,"")))</f>
        <v/>
      </c>
      <c r="AC54" s="49" t="s">
        <v>69</v>
      </c>
      <c r="AD54" s="231" t="str">
        <f t="shared" si="2"/>
        <v>○</v>
      </c>
      <c r="AE54" s="35" t="str">
        <f t="shared" si="3"/>
        <v>申請しない場合は入力不要です。</v>
      </c>
      <c r="AF54" s="234" t="str">
        <f t="shared" si="4"/>
        <v>○</v>
      </c>
      <c r="AG54" s="234" t="str">
        <f t="shared" si="5"/>
        <v>○</v>
      </c>
      <c r="AH54" s="234" t="str">
        <f t="shared" si="6"/>
        <v>○</v>
      </c>
      <c r="AI54" s="231" t="str">
        <f t="shared" si="7"/>
        <v>○</v>
      </c>
      <c r="AJ54" s="14" t="str">
        <f t="shared" si="8"/>
        <v/>
      </c>
      <c r="AK54" s="52">
        <v>39</v>
      </c>
    </row>
    <row r="55" spans="1:37" ht="24.95" customHeight="1">
      <c r="A55" s="38">
        <v>40</v>
      </c>
      <c r="B55" s="313"/>
      <c r="C55" s="313"/>
      <c r="D55" s="313"/>
      <c r="E55" s="314"/>
      <c r="F55" s="315"/>
      <c r="G55" s="316"/>
      <c r="H55" s="316"/>
      <c r="I55" s="45">
        <f t="shared" si="0"/>
        <v>0</v>
      </c>
      <c r="J55" s="317"/>
      <c r="K55" s="45">
        <f t="shared" si="1"/>
        <v>0</v>
      </c>
      <c r="L55" s="44" t="str">
        <f>IF(AD55="◎",COUNTIF($AD$16:AD55,"◎"),"")</f>
        <v/>
      </c>
      <c r="W55" s="234" t="str">
        <f>IF(B55="既設病床",はじめに入力してください!$K$12,IF(B55="新設病床",はじめに入力してください!$K$13,IF(B55="共通使用",1,"")))</f>
        <v/>
      </c>
      <c r="AC55" s="49" t="s">
        <v>69</v>
      </c>
      <c r="AD55" s="231" t="str">
        <f t="shared" si="2"/>
        <v>○</v>
      </c>
      <c r="AE55" s="35" t="str">
        <f t="shared" si="3"/>
        <v>申請しない場合は入力不要です。</v>
      </c>
      <c r="AF55" s="234" t="str">
        <f t="shared" si="4"/>
        <v>○</v>
      </c>
      <c r="AG55" s="234" t="str">
        <f t="shared" si="5"/>
        <v>○</v>
      </c>
      <c r="AH55" s="234" t="str">
        <f t="shared" si="6"/>
        <v>○</v>
      </c>
      <c r="AI55" s="231" t="str">
        <f t="shared" si="7"/>
        <v>○</v>
      </c>
      <c r="AJ55" s="14" t="str">
        <f t="shared" si="8"/>
        <v/>
      </c>
      <c r="AK55" s="52">
        <v>40</v>
      </c>
    </row>
    <row r="56" spans="1:37" ht="24.95" customHeight="1">
      <c r="A56" s="38">
        <v>41</v>
      </c>
      <c r="B56" s="313"/>
      <c r="C56" s="313"/>
      <c r="D56" s="313"/>
      <c r="E56" s="314"/>
      <c r="F56" s="315"/>
      <c r="G56" s="316"/>
      <c r="H56" s="316"/>
      <c r="I56" s="45">
        <f t="shared" si="0"/>
        <v>0</v>
      </c>
      <c r="J56" s="317"/>
      <c r="K56" s="45">
        <f t="shared" si="1"/>
        <v>0</v>
      </c>
      <c r="L56" s="44" t="str">
        <f>IF(AD56="◎",COUNTIF($AD$16:AD56,"◎"),"")</f>
        <v/>
      </c>
      <c r="W56" s="234" t="str">
        <f>IF(B56="既設病床",はじめに入力してください!$K$12,IF(B56="新設病床",はじめに入力してください!$K$13,IF(B56="共通使用",1,"")))</f>
        <v/>
      </c>
      <c r="AC56" s="49" t="s">
        <v>69</v>
      </c>
      <c r="AD56" s="231" t="str">
        <f t="shared" si="2"/>
        <v>○</v>
      </c>
      <c r="AE56" s="35" t="str">
        <f t="shared" si="3"/>
        <v>申請しない場合は入力不要です。</v>
      </c>
      <c r="AF56" s="234" t="str">
        <f t="shared" si="4"/>
        <v>○</v>
      </c>
      <c r="AG56" s="234" t="str">
        <f t="shared" si="5"/>
        <v>○</v>
      </c>
      <c r="AH56" s="234" t="str">
        <f t="shared" si="6"/>
        <v>○</v>
      </c>
      <c r="AI56" s="231" t="str">
        <f t="shared" si="7"/>
        <v>○</v>
      </c>
      <c r="AJ56" s="14" t="str">
        <f t="shared" si="8"/>
        <v/>
      </c>
      <c r="AK56" s="52">
        <v>41</v>
      </c>
    </row>
    <row r="57" spans="1:37" ht="24.95" customHeight="1">
      <c r="A57" s="38">
        <v>42</v>
      </c>
      <c r="B57" s="313"/>
      <c r="C57" s="313"/>
      <c r="D57" s="313"/>
      <c r="E57" s="314"/>
      <c r="F57" s="315"/>
      <c r="G57" s="316"/>
      <c r="H57" s="316"/>
      <c r="I57" s="45">
        <f t="shared" si="0"/>
        <v>0</v>
      </c>
      <c r="J57" s="317"/>
      <c r="K57" s="45">
        <f t="shared" si="1"/>
        <v>0</v>
      </c>
      <c r="L57" s="44" t="str">
        <f>IF(AD57="◎",COUNTIF($AD$16:AD57,"◎"),"")</f>
        <v/>
      </c>
      <c r="W57" s="234" t="str">
        <f>IF(B57="既設病床",はじめに入力してください!$K$12,IF(B57="新設病床",はじめに入力してください!$K$13,IF(B57="共通使用",1,"")))</f>
        <v/>
      </c>
      <c r="AC57" s="49" t="s">
        <v>69</v>
      </c>
      <c r="AD57" s="231" t="str">
        <f t="shared" si="2"/>
        <v>○</v>
      </c>
      <c r="AE57" s="35" t="str">
        <f t="shared" si="3"/>
        <v>申請しない場合は入力不要です。</v>
      </c>
      <c r="AF57" s="234" t="str">
        <f t="shared" si="4"/>
        <v>○</v>
      </c>
      <c r="AG57" s="234" t="str">
        <f t="shared" si="5"/>
        <v>○</v>
      </c>
      <c r="AH57" s="234" t="str">
        <f t="shared" si="6"/>
        <v>○</v>
      </c>
      <c r="AI57" s="231" t="str">
        <f t="shared" si="7"/>
        <v>○</v>
      </c>
      <c r="AJ57" s="14" t="str">
        <f t="shared" si="8"/>
        <v/>
      </c>
      <c r="AK57" s="52">
        <v>42</v>
      </c>
    </row>
    <row r="58" spans="1:37" ht="24.95" customHeight="1">
      <c r="A58" s="38">
        <v>43</v>
      </c>
      <c r="B58" s="313"/>
      <c r="C58" s="313"/>
      <c r="D58" s="313"/>
      <c r="E58" s="314"/>
      <c r="F58" s="315"/>
      <c r="G58" s="316"/>
      <c r="H58" s="316"/>
      <c r="I58" s="45">
        <f t="shared" si="0"/>
        <v>0</v>
      </c>
      <c r="J58" s="317"/>
      <c r="K58" s="45">
        <f t="shared" si="1"/>
        <v>0</v>
      </c>
      <c r="L58" s="44" t="str">
        <f>IF(AD58="◎",COUNTIF($AD$16:AD58,"◎"),"")</f>
        <v/>
      </c>
      <c r="W58" s="234" t="str">
        <f>IF(B58="既設病床",はじめに入力してください!$K$12,IF(B58="新設病床",はじめに入力してください!$K$13,IF(B58="共通使用",1,"")))</f>
        <v/>
      </c>
      <c r="AC58" s="49" t="s">
        <v>69</v>
      </c>
      <c r="AD58" s="231" t="str">
        <f t="shared" si="2"/>
        <v>○</v>
      </c>
      <c r="AE58" s="35" t="str">
        <f t="shared" si="3"/>
        <v>申請しない場合は入力不要です。</v>
      </c>
      <c r="AF58" s="234" t="str">
        <f t="shared" si="4"/>
        <v>○</v>
      </c>
      <c r="AG58" s="234" t="str">
        <f t="shared" si="5"/>
        <v>○</v>
      </c>
      <c r="AH58" s="234" t="str">
        <f t="shared" si="6"/>
        <v>○</v>
      </c>
      <c r="AI58" s="231" t="str">
        <f t="shared" si="7"/>
        <v>○</v>
      </c>
      <c r="AJ58" s="14" t="str">
        <f t="shared" si="8"/>
        <v/>
      </c>
      <c r="AK58" s="52">
        <v>43</v>
      </c>
    </row>
    <row r="59" spans="1:37" ht="24.95" customHeight="1">
      <c r="A59" s="38">
        <v>44</v>
      </c>
      <c r="B59" s="313"/>
      <c r="C59" s="313"/>
      <c r="D59" s="313"/>
      <c r="E59" s="314"/>
      <c r="F59" s="315"/>
      <c r="G59" s="316"/>
      <c r="H59" s="316"/>
      <c r="I59" s="45">
        <f t="shared" si="0"/>
        <v>0</v>
      </c>
      <c r="J59" s="317"/>
      <c r="K59" s="45">
        <f t="shared" si="1"/>
        <v>0</v>
      </c>
      <c r="L59" s="44" t="str">
        <f>IF(AD59="◎",COUNTIF($AD$16:AD59,"◎"),"")</f>
        <v/>
      </c>
      <c r="W59" s="234" t="str">
        <f>IF(B59="既設病床",はじめに入力してください!$K$12,IF(B59="新設病床",はじめに入力してください!$K$13,IF(B59="共通使用",1,"")))</f>
        <v/>
      </c>
      <c r="AC59" s="49" t="s">
        <v>69</v>
      </c>
      <c r="AD59" s="231" t="str">
        <f t="shared" si="2"/>
        <v>○</v>
      </c>
      <c r="AE59" s="35" t="str">
        <f t="shared" si="3"/>
        <v>申請しない場合は入力不要です。</v>
      </c>
      <c r="AF59" s="234" t="str">
        <f t="shared" si="4"/>
        <v>○</v>
      </c>
      <c r="AG59" s="234" t="str">
        <f t="shared" si="5"/>
        <v>○</v>
      </c>
      <c r="AH59" s="234" t="str">
        <f t="shared" si="6"/>
        <v>○</v>
      </c>
      <c r="AI59" s="231" t="str">
        <f t="shared" si="7"/>
        <v>○</v>
      </c>
      <c r="AJ59" s="14" t="str">
        <f t="shared" si="8"/>
        <v/>
      </c>
      <c r="AK59" s="52">
        <v>44</v>
      </c>
    </row>
    <row r="60" spans="1:37" ht="24.95" customHeight="1">
      <c r="A60" s="38">
        <v>45</v>
      </c>
      <c r="B60" s="313"/>
      <c r="C60" s="313"/>
      <c r="D60" s="313"/>
      <c r="E60" s="314"/>
      <c r="F60" s="315"/>
      <c r="G60" s="316"/>
      <c r="H60" s="316"/>
      <c r="I60" s="45">
        <f t="shared" si="0"/>
        <v>0</v>
      </c>
      <c r="J60" s="317"/>
      <c r="K60" s="45">
        <f t="shared" si="1"/>
        <v>0</v>
      </c>
      <c r="L60" s="44" t="str">
        <f>IF(AD60="◎",COUNTIF($AD$16:AD60,"◎"),"")</f>
        <v/>
      </c>
      <c r="W60" s="234" t="str">
        <f>IF(B60="既設病床",はじめに入力してください!$K$12,IF(B60="新設病床",はじめに入力してください!$K$13,IF(B60="共通使用",1,"")))</f>
        <v/>
      </c>
      <c r="AC60" s="49" t="s">
        <v>69</v>
      </c>
      <c r="AD60" s="231" t="str">
        <f t="shared" si="2"/>
        <v>○</v>
      </c>
      <c r="AE60" s="35" t="str">
        <f t="shared" si="3"/>
        <v>申請しない場合は入力不要です。</v>
      </c>
      <c r="AF60" s="234" t="str">
        <f t="shared" si="4"/>
        <v>○</v>
      </c>
      <c r="AG60" s="234" t="str">
        <f t="shared" si="5"/>
        <v>○</v>
      </c>
      <c r="AH60" s="234" t="str">
        <f t="shared" si="6"/>
        <v>○</v>
      </c>
      <c r="AI60" s="231" t="str">
        <f t="shared" si="7"/>
        <v>○</v>
      </c>
      <c r="AJ60" s="14" t="str">
        <f t="shared" si="8"/>
        <v/>
      </c>
      <c r="AK60" s="52">
        <v>45</v>
      </c>
    </row>
    <row r="61" spans="1:37" ht="24.95" customHeight="1">
      <c r="A61" s="38">
        <v>46</v>
      </c>
      <c r="B61" s="313"/>
      <c r="C61" s="313"/>
      <c r="D61" s="313"/>
      <c r="E61" s="314"/>
      <c r="F61" s="315"/>
      <c r="G61" s="316"/>
      <c r="H61" s="316"/>
      <c r="I61" s="45">
        <f t="shared" si="0"/>
        <v>0</v>
      </c>
      <c r="J61" s="317"/>
      <c r="K61" s="45">
        <f t="shared" si="1"/>
        <v>0</v>
      </c>
      <c r="L61" s="44" t="str">
        <f>IF(AD61="◎",COUNTIF($AD$16:AD61,"◎"),"")</f>
        <v/>
      </c>
      <c r="W61" s="234" t="str">
        <f>IF(B61="既設病床",はじめに入力してください!$K$12,IF(B61="新設病床",はじめに入力してください!$K$13,IF(B61="共通使用",1,"")))</f>
        <v/>
      </c>
      <c r="AC61" s="49" t="s">
        <v>69</v>
      </c>
      <c r="AD61" s="231" t="str">
        <f t="shared" si="2"/>
        <v>○</v>
      </c>
      <c r="AE61" s="35" t="str">
        <f t="shared" si="3"/>
        <v>申請しない場合は入力不要です。</v>
      </c>
      <c r="AF61" s="234" t="str">
        <f t="shared" si="4"/>
        <v>○</v>
      </c>
      <c r="AG61" s="234" t="str">
        <f t="shared" si="5"/>
        <v>○</v>
      </c>
      <c r="AH61" s="234" t="str">
        <f t="shared" si="6"/>
        <v>○</v>
      </c>
      <c r="AI61" s="231" t="str">
        <f t="shared" si="7"/>
        <v>○</v>
      </c>
      <c r="AJ61" s="14" t="str">
        <f t="shared" si="8"/>
        <v/>
      </c>
      <c r="AK61" s="52">
        <v>46</v>
      </c>
    </row>
    <row r="62" spans="1:37" ht="24.95" customHeight="1">
      <c r="A62" s="38">
        <v>47</v>
      </c>
      <c r="B62" s="313"/>
      <c r="C62" s="313"/>
      <c r="D62" s="313"/>
      <c r="E62" s="314"/>
      <c r="F62" s="315"/>
      <c r="G62" s="316"/>
      <c r="H62" s="316"/>
      <c r="I62" s="45">
        <f t="shared" si="0"/>
        <v>0</v>
      </c>
      <c r="J62" s="317"/>
      <c r="K62" s="45">
        <f t="shared" si="1"/>
        <v>0</v>
      </c>
      <c r="L62" s="44" t="str">
        <f>IF(AD62="◎",COUNTIF($AD$16:AD62,"◎"),"")</f>
        <v/>
      </c>
      <c r="W62" s="234" t="str">
        <f>IF(B62="既設病床",はじめに入力してください!$K$12,IF(B62="新設病床",はじめに入力してください!$K$13,IF(B62="共通使用",1,"")))</f>
        <v/>
      </c>
      <c r="AC62" s="49" t="s">
        <v>69</v>
      </c>
      <c r="AD62" s="231" t="str">
        <f t="shared" si="2"/>
        <v>○</v>
      </c>
      <c r="AE62" s="35" t="str">
        <f t="shared" si="3"/>
        <v>申請しない場合は入力不要です。</v>
      </c>
      <c r="AF62" s="234" t="str">
        <f t="shared" si="4"/>
        <v>○</v>
      </c>
      <c r="AG62" s="234" t="str">
        <f t="shared" si="5"/>
        <v>○</v>
      </c>
      <c r="AH62" s="234" t="str">
        <f t="shared" si="6"/>
        <v>○</v>
      </c>
      <c r="AI62" s="231" t="str">
        <f t="shared" si="7"/>
        <v>○</v>
      </c>
      <c r="AJ62" s="14" t="str">
        <f t="shared" si="8"/>
        <v/>
      </c>
      <c r="AK62" s="52">
        <v>47</v>
      </c>
    </row>
    <row r="63" spans="1:37" ht="24.95" customHeight="1">
      <c r="A63" s="38">
        <v>48</v>
      </c>
      <c r="B63" s="313"/>
      <c r="C63" s="313"/>
      <c r="D63" s="313"/>
      <c r="E63" s="314"/>
      <c r="F63" s="315"/>
      <c r="G63" s="316"/>
      <c r="H63" s="316"/>
      <c r="I63" s="45">
        <f t="shared" si="0"/>
        <v>0</v>
      </c>
      <c r="J63" s="317"/>
      <c r="K63" s="45">
        <f t="shared" si="1"/>
        <v>0</v>
      </c>
      <c r="L63" s="44" t="str">
        <f>IF(AD63="◎",COUNTIF($AD$16:AD63,"◎"),"")</f>
        <v/>
      </c>
      <c r="W63" s="234" t="str">
        <f>IF(B63="既設病床",はじめに入力してください!$K$12,IF(B63="新設病床",はじめに入力してください!$K$13,IF(B63="共通使用",1,"")))</f>
        <v/>
      </c>
      <c r="AC63" s="49" t="s">
        <v>69</v>
      </c>
      <c r="AD63" s="231" t="str">
        <f t="shared" si="2"/>
        <v>○</v>
      </c>
      <c r="AE63" s="35" t="str">
        <f t="shared" si="3"/>
        <v>申請しない場合は入力不要です。</v>
      </c>
      <c r="AF63" s="234" t="str">
        <f t="shared" si="4"/>
        <v>○</v>
      </c>
      <c r="AG63" s="234" t="str">
        <f t="shared" si="5"/>
        <v>○</v>
      </c>
      <c r="AH63" s="234" t="str">
        <f t="shared" si="6"/>
        <v>○</v>
      </c>
      <c r="AI63" s="231" t="str">
        <f t="shared" si="7"/>
        <v>○</v>
      </c>
      <c r="AJ63" s="14" t="str">
        <f t="shared" si="8"/>
        <v/>
      </c>
      <c r="AK63" s="52">
        <v>48</v>
      </c>
    </row>
    <row r="64" spans="1:37" ht="24.95" customHeight="1">
      <c r="A64" s="38">
        <v>49</v>
      </c>
      <c r="B64" s="313"/>
      <c r="C64" s="313"/>
      <c r="D64" s="313"/>
      <c r="E64" s="314"/>
      <c r="F64" s="315"/>
      <c r="G64" s="316"/>
      <c r="H64" s="316"/>
      <c r="I64" s="45">
        <f t="shared" si="0"/>
        <v>0</v>
      </c>
      <c r="J64" s="317"/>
      <c r="K64" s="45">
        <f t="shared" si="1"/>
        <v>0</v>
      </c>
      <c r="L64" s="44" t="str">
        <f>IF(AD64="◎",COUNTIF($AD$16:AD64,"◎"),"")</f>
        <v/>
      </c>
      <c r="W64" s="234" t="str">
        <f>IF(B64="既設病床",はじめに入力してください!$K$12,IF(B64="新設病床",はじめに入力してください!$K$13,IF(B64="共通使用",1,"")))</f>
        <v/>
      </c>
      <c r="AC64" s="49" t="s">
        <v>69</v>
      </c>
      <c r="AD64" s="231" t="str">
        <f t="shared" si="2"/>
        <v>○</v>
      </c>
      <c r="AE64" s="35" t="str">
        <f t="shared" si="3"/>
        <v>申請しない場合は入力不要です。</v>
      </c>
      <c r="AF64" s="234" t="str">
        <f t="shared" si="4"/>
        <v>○</v>
      </c>
      <c r="AG64" s="234" t="str">
        <f t="shared" si="5"/>
        <v>○</v>
      </c>
      <c r="AH64" s="234" t="str">
        <f t="shared" si="6"/>
        <v>○</v>
      </c>
      <c r="AI64" s="231" t="str">
        <f t="shared" si="7"/>
        <v>○</v>
      </c>
      <c r="AJ64" s="14" t="str">
        <f t="shared" si="8"/>
        <v/>
      </c>
      <c r="AK64" s="52">
        <v>49</v>
      </c>
    </row>
    <row r="65" spans="1:37" ht="24.95" customHeight="1">
      <c r="A65" s="38">
        <v>50</v>
      </c>
      <c r="B65" s="313"/>
      <c r="C65" s="313"/>
      <c r="D65" s="313"/>
      <c r="E65" s="314"/>
      <c r="F65" s="315"/>
      <c r="G65" s="316"/>
      <c r="H65" s="316"/>
      <c r="I65" s="45">
        <f t="shared" si="0"/>
        <v>0</v>
      </c>
      <c r="J65" s="317"/>
      <c r="K65" s="45">
        <f t="shared" si="1"/>
        <v>0</v>
      </c>
      <c r="L65" s="44" t="str">
        <f>IF(AD65="◎",COUNTIF($AD$16:AD65,"◎"),"")</f>
        <v/>
      </c>
      <c r="W65" s="234" t="str">
        <f>IF(B65="既設病床",はじめに入力してください!$K$12,IF(B65="新設病床",はじめに入力してください!$K$13,IF(B65="共通使用",1,"")))</f>
        <v/>
      </c>
      <c r="AC65" s="49" t="s">
        <v>69</v>
      </c>
      <c r="AD65" s="231" t="str">
        <f t="shared" si="2"/>
        <v>○</v>
      </c>
      <c r="AE65" s="35" t="str">
        <f t="shared" si="3"/>
        <v>申請しない場合は入力不要です。</v>
      </c>
      <c r="AF65" s="234" t="str">
        <f t="shared" si="4"/>
        <v>○</v>
      </c>
      <c r="AG65" s="234" t="str">
        <f t="shared" si="5"/>
        <v>○</v>
      </c>
      <c r="AH65" s="234" t="str">
        <f t="shared" si="6"/>
        <v>○</v>
      </c>
      <c r="AI65" s="231" t="str">
        <f t="shared" si="7"/>
        <v>○</v>
      </c>
      <c r="AJ65" s="14" t="str">
        <f t="shared" si="8"/>
        <v/>
      </c>
      <c r="AK65" s="52">
        <v>50</v>
      </c>
    </row>
    <row r="66" spans="1:37" ht="24.95" customHeight="1">
      <c r="A66" s="38">
        <v>51</v>
      </c>
      <c r="B66" s="313"/>
      <c r="C66" s="313"/>
      <c r="D66" s="313"/>
      <c r="E66" s="314"/>
      <c r="F66" s="315"/>
      <c r="G66" s="316"/>
      <c r="H66" s="316"/>
      <c r="I66" s="45">
        <f t="shared" si="0"/>
        <v>0</v>
      </c>
      <c r="J66" s="317"/>
      <c r="K66" s="45">
        <f t="shared" si="1"/>
        <v>0</v>
      </c>
      <c r="L66" s="44" t="str">
        <f>IF(AD66="◎",COUNTIF($AD$16:AD66,"◎"),"")</f>
        <v/>
      </c>
      <c r="W66" s="234" t="str">
        <f>IF(B66="既設病床",はじめに入力してください!$K$12,IF(B66="新設病床",はじめに入力してください!$K$13,IF(B66="共通使用",1,"")))</f>
        <v/>
      </c>
      <c r="AC66" s="49" t="s">
        <v>69</v>
      </c>
      <c r="AD66" s="231" t="str">
        <f t="shared" si="2"/>
        <v>○</v>
      </c>
      <c r="AE66" s="35" t="str">
        <f t="shared" si="3"/>
        <v>申請しない場合は入力不要です。</v>
      </c>
      <c r="AF66" s="234" t="str">
        <f t="shared" si="4"/>
        <v>○</v>
      </c>
      <c r="AG66" s="234" t="str">
        <f t="shared" si="5"/>
        <v>○</v>
      </c>
      <c r="AH66" s="234" t="str">
        <f t="shared" si="6"/>
        <v>○</v>
      </c>
      <c r="AI66" s="231" t="str">
        <f t="shared" si="7"/>
        <v>○</v>
      </c>
      <c r="AJ66" s="14" t="str">
        <f t="shared" si="8"/>
        <v/>
      </c>
      <c r="AK66" s="52">
        <v>51</v>
      </c>
    </row>
    <row r="67" spans="1:37" ht="24.95" customHeight="1">
      <c r="A67" s="38">
        <v>52</v>
      </c>
      <c r="B67" s="313"/>
      <c r="C67" s="313"/>
      <c r="D67" s="313"/>
      <c r="E67" s="314"/>
      <c r="F67" s="315"/>
      <c r="G67" s="316"/>
      <c r="H67" s="316"/>
      <c r="I67" s="45">
        <f t="shared" si="0"/>
        <v>0</v>
      </c>
      <c r="J67" s="317"/>
      <c r="K67" s="45">
        <f t="shared" si="1"/>
        <v>0</v>
      </c>
      <c r="L67" s="44" t="str">
        <f>IF(AD67="◎",COUNTIF($AD$16:AD67,"◎"),"")</f>
        <v/>
      </c>
      <c r="W67" s="234" t="str">
        <f>IF(B67="既設病床",はじめに入力してください!$K$12,IF(B67="新設病床",はじめに入力してください!$K$13,IF(B67="共通使用",1,"")))</f>
        <v/>
      </c>
      <c r="AC67" s="49" t="s">
        <v>69</v>
      </c>
      <c r="AD67" s="231" t="str">
        <f t="shared" si="2"/>
        <v>○</v>
      </c>
      <c r="AE67" s="35" t="str">
        <f t="shared" si="3"/>
        <v>申請しない場合は入力不要です。</v>
      </c>
      <c r="AF67" s="234" t="str">
        <f t="shared" si="4"/>
        <v>○</v>
      </c>
      <c r="AG67" s="234" t="str">
        <f t="shared" si="5"/>
        <v>○</v>
      </c>
      <c r="AH67" s="234" t="str">
        <f t="shared" si="6"/>
        <v>○</v>
      </c>
      <c r="AI67" s="231" t="str">
        <f t="shared" si="7"/>
        <v>○</v>
      </c>
      <c r="AJ67" s="14" t="str">
        <f t="shared" si="8"/>
        <v/>
      </c>
      <c r="AK67" s="52">
        <v>52</v>
      </c>
    </row>
    <row r="68" spans="1:37" ht="24.95" customHeight="1">
      <c r="A68" s="38">
        <v>53</v>
      </c>
      <c r="B68" s="313"/>
      <c r="C68" s="313"/>
      <c r="D68" s="313"/>
      <c r="E68" s="314"/>
      <c r="F68" s="315"/>
      <c r="G68" s="316"/>
      <c r="H68" s="316"/>
      <c r="I68" s="45">
        <f t="shared" si="0"/>
        <v>0</v>
      </c>
      <c r="J68" s="317"/>
      <c r="K68" s="45">
        <f t="shared" si="1"/>
        <v>0</v>
      </c>
      <c r="L68" s="44" t="str">
        <f>IF(AD68="◎",COUNTIF($AD$16:AD68,"◎"),"")</f>
        <v/>
      </c>
      <c r="W68" s="234" t="str">
        <f>IF(B68="既設病床",はじめに入力してください!$K$12,IF(B68="新設病床",はじめに入力してください!$K$13,IF(B68="共通使用",1,"")))</f>
        <v/>
      </c>
      <c r="AC68" s="49" t="s">
        <v>69</v>
      </c>
      <c r="AD68" s="231" t="str">
        <f t="shared" si="2"/>
        <v>○</v>
      </c>
      <c r="AE68" s="35" t="str">
        <f t="shared" si="3"/>
        <v>申請しない場合は入力不要です。</v>
      </c>
      <c r="AF68" s="234" t="str">
        <f t="shared" si="4"/>
        <v>○</v>
      </c>
      <c r="AG68" s="234" t="str">
        <f t="shared" si="5"/>
        <v>○</v>
      </c>
      <c r="AH68" s="234" t="str">
        <f t="shared" si="6"/>
        <v>○</v>
      </c>
      <c r="AI68" s="231" t="str">
        <f t="shared" si="7"/>
        <v>○</v>
      </c>
      <c r="AJ68" s="14" t="str">
        <f t="shared" si="8"/>
        <v/>
      </c>
      <c r="AK68" s="52">
        <v>53</v>
      </c>
    </row>
    <row r="69" spans="1:37" ht="24.95" customHeight="1">
      <c r="A69" s="38">
        <v>54</v>
      </c>
      <c r="B69" s="313"/>
      <c r="C69" s="313"/>
      <c r="D69" s="313"/>
      <c r="E69" s="314"/>
      <c r="F69" s="315"/>
      <c r="G69" s="316"/>
      <c r="H69" s="316"/>
      <c r="I69" s="45">
        <f t="shared" si="0"/>
        <v>0</v>
      </c>
      <c r="J69" s="317"/>
      <c r="K69" s="45">
        <f t="shared" si="1"/>
        <v>0</v>
      </c>
      <c r="L69" s="44" t="str">
        <f>IF(AD69="◎",COUNTIF($AD$16:AD69,"◎"),"")</f>
        <v/>
      </c>
      <c r="W69" s="234" t="str">
        <f>IF(B69="既設病床",はじめに入力してください!$K$12,IF(B69="新設病床",はじめに入力してください!$K$13,IF(B69="共通使用",1,"")))</f>
        <v/>
      </c>
      <c r="AC69" s="49" t="s">
        <v>69</v>
      </c>
      <c r="AD69" s="231" t="str">
        <f t="shared" si="2"/>
        <v>○</v>
      </c>
      <c r="AE69" s="35" t="str">
        <f t="shared" si="3"/>
        <v>申請しない場合は入力不要です。</v>
      </c>
      <c r="AF69" s="234" t="str">
        <f t="shared" si="4"/>
        <v>○</v>
      </c>
      <c r="AG69" s="234" t="str">
        <f t="shared" si="5"/>
        <v>○</v>
      </c>
      <c r="AH69" s="234" t="str">
        <f t="shared" si="6"/>
        <v>○</v>
      </c>
      <c r="AI69" s="231" t="str">
        <f t="shared" si="7"/>
        <v>○</v>
      </c>
      <c r="AJ69" s="14" t="str">
        <f t="shared" si="8"/>
        <v/>
      </c>
      <c r="AK69" s="52">
        <v>54</v>
      </c>
    </row>
    <row r="70" spans="1:37" ht="24.95" customHeight="1">
      <c r="A70" s="38">
        <v>55</v>
      </c>
      <c r="B70" s="313"/>
      <c r="C70" s="313"/>
      <c r="D70" s="313"/>
      <c r="E70" s="314"/>
      <c r="F70" s="315"/>
      <c r="G70" s="316"/>
      <c r="H70" s="316"/>
      <c r="I70" s="45">
        <f t="shared" si="0"/>
        <v>0</v>
      </c>
      <c r="J70" s="317"/>
      <c r="K70" s="45">
        <f t="shared" si="1"/>
        <v>0</v>
      </c>
      <c r="L70" s="44" t="str">
        <f>IF(AD70="◎",COUNTIF($AD$16:AD70,"◎"),"")</f>
        <v/>
      </c>
      <c r="W70" s="234" t="str">
        <f>IF(B70="既設病床",はじめに入力してください!$K$12,IF(B70="新設病床",はじめに入力してください!$K$13,IF(B70="共通使用",1,"")))</f>
        <v/>
      </c>
      <c r="AC70" s="49" t="s">
        <v>69</v>
      </c>
      <c r="AD70" s="231" t="str">
        <f t="shared" si="2"/>
        <v>○</v>
      </c>
      <c r="AE70" s="35" t="str">
        <f t="shared" si="3"/>
        <v>申請しない場合は入力不要です。</v>
      </c>
      <c r="AF70" s="234" t="str">
        <f t="shared" si="4"/>
        <v>○</v>
      </c>
      <c r="AG70" s="234" t="str">
        <f t="shared" si="5"/>
        <v>○</v>
      </c>
      <c r="AH70" s="234" t="str">
        <f t="shared" si="6"/>
        <v>○</v>
      </c>
      <c r="AI70" s="231" t="str">
        <f t="shared" si="7"/>
        <v>○</v>
      </c>
      <c r="AJ70" s="14" t="str">
        <f t="shared" si="8"/>
        <v/>
      </c>
      <c r="AK70" s="52">
        <v>55</v>
      </c>
    </row>
    <row r="71" spans="1:37" ht="24.95" customHeight="1">
      <c r="A71" s="38">
        <v>56</v>
      </c>
      <c r="B71" s="313"/>
      <c r="C71" s="313"/>
      <c r="D71" s="313"/>
      <c r="E71" s="314"/>
      <c r="F71" s="315"/>
      <c r="G71" s="316"/>
      <c r="H71" s="316"/>
      <c r="I71" s="45">
        <f t="shared" si="0"/>
        <v>0</v>
      </c>
      <c r="J71" s="317"/>
      <c r="K71" s="45">
        <f t="shared" si="1"/>
        <v>0</v>
      </c>
      <c r="L71" s="44" t="str">
        <f>IF(AD71="◎",COUNTIF($AD$16:AD71,"◎"),"")</f>
        <v/>
      </c>
      <c r="W71" s="234" t="str">
        <f>IF(B71="既設病床",はじめに入力してください!$K$12,IF(B71="新設病床",はじめに入力してください!$K$13,IF(B71="共通使用",1,"")))</f>
        <v/>
      </c>
      <c r="AC71" s="49" t="s">
        <v>69</v>
      </c>
      <c r="AD71" s="231" t="str">
        <f t="shared" si="2"/>
        <v>○</v>
      </c>
      <c r="AE71" s="35" t="str">
        <f t="shared" si="3"/>
        <v>申請しない場合は入力不要です。</v>
      </c>
      <c r="AF71" s="234" t="str">
        <f t="shared" si="4"/>
        <v>○</v>
      </c>
      <c r="AG71" s="234" t="str">
        <f t="shared" si="5"/>
        <v>○</v>
      </c>
      <c r="AH71" s="234" t="str">
        <f t="shared" si="6"/>
        <v>○</v>
      </c>
      <c r="AI71" s="231" t="str">
        <f t="shared" si="7"/>
        <v>○</v>
      </c>
      <c r="AJ71" s="14" t="str">
        <f t="shared" si="8"/>
        <v/>
      </c>
      <c r="AK71" s="52">
        <v>56</v>
      </c>
    </row>
    <row r="72" spans="1:37" ht="24.95" customHeight="1">
      <c r="A72" s="38">
        <v>57</v>
      </c>
      <c r="B72" s="313"/>
      <c r="C72" s="313"/>
      <c r="D72" s="313"/>
      <c r="E72" s="314"/>
      <c r="F72" s="315"/>
      <c r="G72" s="316"/>
      <c r="H72" s="316"/>
      <c r="I72" s="45">
        <f t="shared" si="0"/>
        <v>0</v>
      </c>
      <c r="J72" s="317"/>
      <c r="K72" s="45">
        <f t="shared" si="1"/>
        <v>0</v>
      </c>
      <c r="L72" s="44" t="str">
        <f>IF(AD72="◎",COUNTIF($AD$16:AD72,"◎"),"")</f>
        <v/>
      </c>
      <c r="W72" s="234" t="str">
        <f>IF(B72="既設病床",はじめに入力してください!$K$12,IF(B72="新設病床",はじめに入力してください!$K$13,IF(B72="共通使用",1,"")))</f>
        <v/>
      </c>
      <c r="AC72" s="49" t="s">
        <v>69</v>
      </c>
      <c r="AD72" s="231" t="str">
        <f t="shared" si="2"/>
        <v>○</v>
      </c>
      <c r="AE72" s="35" t="str">
        <f t="shared" si="3"/>
        <v>申請しない場合は入力不要です。</v>
      </c>
      <c r="AF72" s="234" t="str">
        <f t="shared" si="4"/>
        <v>○</v>
      </c>
      <c r="AG72" s="234" t="str">
        <f t="shared" si="5"/>
        <v>○</v>
      </c>
      <c r="AH72" s="234" t="str">
        <f t="shared" si="6"/>
        <v>○</v>
      </c>
      <c r="AI72" s="231" t="str">
        <f t="shared" si="7"/>
        <v>○</v>
      </c>
      <c r="AJ72" s="14" t="str">
        <f t="shared" si="8"/>
        <v/>
      </c>
      <c r="AK72" s="52">
        <v>57</v>
      </c>
    </row>
    <row r="73" spans="1:37" ht="24.95" customHeight="1">
      <c r="A73" s="38">
        <v>58</v>
      </c>
      <c r="B73" s="313"/>
      <c r="C73" s="313"/>
      <c r="D73" s="313"/>
      <c r="E73" s="314"/>
      <c r="F73" s="315"/>
      <c r="G73" s="316"/>
      <c r="H73" s="316"/>
      <c r="I73" s="45">
        <f t="shared" si="0"/>
        <v>0</v>
      </c>
      <c r="J73" s="317"/>
      <c r="K73" s="45">
        <f t="shared" si="1"/>
        <v>0</v>
      </c>
      <c r="L73" s="44" t="str">
        <f>IF(AD73="◎",COUNTIF($AD$16:AD73,"◎"),"")</f>
        <v/>
      </c>
      <c r="W73" s="234" t="str">
        <f>IF(B73="既設病床",はじめに入力してください!$K$12,IF(B73="新設病床",はじめに入力してください!$K$13,IF(B73="共通使用",1,"")))</f>
        <v/>
      </c>
      <c r="AC73" s="49" t="s">
        <v>69</v>
      </c>
      <c r="AD73" s="231" t="str">
        <f t="shared" si="2"/>
        <v>○</v>
      </c>
      <c r="AE73" s="35" t="str">
        <f t="shared" si="3"/>
        <v>申請しない場合は入力不要です。</v>
      </c>
      <c r="AF73" s="234" t="str">
        <f t="shared" si="4"/>
        <v>○</v>
      </c>
      <c r="AG73" s="234" t="str">
        <f t="shared" si="5"/>
        <v>○</v>
      </c>
      <c r="AH73" s="234" t="str">
        <f t="shared" si="6"/>
        <v>○</v>
      </c>
      <c r="AI73" s="231" t="str">
        <f t="shared" si="7"/>
        <v>○</v>
      </c>
      <c r="AJ73" s="14" t="str">
        <f t="shared" si="8"/>
        <v/>
      </c>
      <c r="AK73" s="52">
        <v>58</v>
      </c>
    </row>
    <row r="74" spans="1:37" ht="24.95" customHeight="1">
      <c r="A74" s="38">
        <v>59</v>
      </c>
      <c r="B74" s="313"/>
      <c r="C74" s="313"/>
      <c r="D74" s="313"/>
      <c r="E74" s="314"/>
      <c r="F74" s="315"/>
      <c r="G74" s="316"/>
      <c r="H74" s="316"/>
      <c r="I74" s="45">
        <f t="shared" si="0"/>
        <v>0</v>
      </c>
      <c r="J74" s="317"/>
      <c r="K74" s="45">
        <f t="shared" si="1"/>
        <v>0</v>
      </c>
      <c r="L74" s="44" t="str">
        <f>IF(AD74="◎",COUNTIF($AD$16:AD74,"◎"),"")</f>
        <v/>
      </c>
      <c r="W74" s="234" t="str">
        <f>IF(B74="既設病床",はじめに入力してください!$K$12,IF(B74="新設病床",はじめに入力してください!$K$13,IF(B74="共通使用",1,"")))</f>
        <v/>
      </c>
      <c r="AC74" s="49" t="s">
        <v>69</v>
      </c>
      <c r="AD74" s="231" t="str">
        <f t="shared" si="2"/>
        <v>○</v>
      </c>
      <c r="AE74" s="35" t="str">
        <f t="shared" si="3"/>
        <v>申請しない場合は入力不要です。</v>
      </c>
      <c r="AF74" s="234" t="str">
        <f t="shared" si="4"/>
        <v>○</v>
      </c>
      <c r="AG74" s="234" t="str">
        <f t="shared" si="5"/>
        <v>○</v>
      </c>
      <c r="AH74" s="234" t="str">
        <f t="shared" si="6"/>
        <v>○</v>
      </c>
      <c r="AI74" s="231" t="str">
        <f t="shared" si="7"/>
        <v>○</v>
      </c>
      <c r="AJ74" s="14" t="str">
        <f t="shared" si="8"/>
        <v/>
      </c>
      <c r="AK74" s="52">
        <v>59</v>
      </c>
    </row>
    <row r="75" spans="1:37" ht="24.95" customHeight="1">
      <c r="A75" s="38">
        <v>60</v>
      </c>
      <c r="B75" s="313"/>
      <c r="C75" s="313"/>
      <c r="D75" s="313"/>
      <c r="E75" s="314"/>
      <c r="F75" s="315"/>
      <c r="G75" s="316"/>
      <c r="H75" s="316"/>
      <c r="I75" s="45">
        <f t="shared" si="0"/>
        <v>0</v>
      </c>
      <c r="J75" s="317"/>
      <c r="K75" s="45">
        <f t="shared" si="1"/>
        <v>0</v>
      </c>
      <c r="L75" s="44" t="str">
        <f>IF(AD75="◎",COUNTIF($AD$16:AD75,"◎"),"")</f>
        <v/>
      </c>
      <c r="W75" s="234" t="str">
        <f>IF(B75="既設病床",はじめに入力してください!$K$12,IF(B75="新設病床",はじめに入力してください!$K$13,IF(B75="共通使用",1,"")))</f>
        <v/>
      </c>
      <c r="AC75" s="49" t="s">
        <v>69</v>
      </c>
      <c r="AD75" s="231" t="str">
        <f t="shared" si="2"/>
        <v>○</v>
      </c>
      <c r="AE75" s="35" t="str">
        <f t="shared" si="3"/>
        <v>申請しない場合は入力不要です。</v>
      </c>
      <c r="AF75" s="234" t="str">
        <f t="shared" si="4"/>
        <v>○</v>
      </c>
      <c r="AG75" s="234" t="str">
        <f t="shared" si="5"/>
        <v>○</v>
      </c>
      <c r="AH75" s="234" t="str">
        <f t="shared" si="6"/>
        <v>○</v>
      </c>
      <c r="AI75" s="231" t="str">
        <f t="shared" si="7"/>
        <v>○</v>
      </c>
      <c r="AJ75" s="14" t="str">
        <f t="shared" si="8"/>
        <v/>
      </c>
      <c r="AK75" s="52">
        <v>60</v>
      </c>
    </row>
    <row r="76" spans="1:37" ht="24.95" customHeight="1">
      <c r="A76" s="38">
        <v>61</v>
      </c>
      <c r="B76" s="313"/>
      <c r="C76" s="313"/>
      <c r="D76" s="313"/>
      <c r="E76" s="314"/>
      <c r="F76" s="315"/>
      <c r="G76" s="316"/>
      <c r="H76" s="316"/>
      <c r="I76" s="45">
        <f t="shared" si="0"/>
        <v>0</v>
      </c>
      <c r="J76" s="317"/>
      <c r="K76" s="45">
        <f t="shared" si="1"/>
        <v>0</v>
      </c>
      <c r="L76" s="44" t="str">
        <f>IF(AD76="◎",COUNTIF($AD$16:AD76,"◎"),"")</f>
        <v/>
      </c>
      <c r="W76" s="234" t="str">
        <f>IF(B76="既設病床",はじめに入力してください!$K$12,IF(B76="新設病床",はじめに入力してください!$K$13,IF(B76="共通使用",1,"")))</f>
        <v/>
      </c>
      <c r="AC76" s="49" t="s">
        <v>69</v>
      </c>
      <c r="AD76" s="231" t="str">
        <f t="shared" si="2"/>
        <v>○</v>
      </c>
      <c r="AE76" s="35" t="str">
        <f t="shared" si="3"/>
        <v>申請しない場合は入力不要です。</v>
      </c>
      <c r="AF76" s="234" t="str">
        <f t="shared" si="4"/>
        <v>○</v>
      </c>
      <c r="AG76" s="234" t="str">
        <f t="shared" si="5"/>
        <v>○</v>
      </c>
      <c r="AH76" s="234" t="str">
        <f t="shared" si="6"/>
        <v>○</v>
      </c>
      <c r="AI76" s="231" t="str">
        <f t="shared" si="7"/>
        <v>○</v>
      </c>
      <c r="AJ76" s="14" t="str">
        <f t="shared" si="8"/>
        <v/>
      </c>
      <c r="AK76" s="52">
        <v>61</v>
      </c>
    </row>
    <row r="77" spans="1:37" ht="24.95" customHeight="1">
      <c r="A77" s="38">
        <v>62</v>
      </c>
      <c r="B77" s="313"/>
      <c r="C77" s="313"/>
      <c r="D77" s="313"/>
      <c r="E77" s="314"/>
      <c r="F77" s="315"/>
      <c r="G77" s="316"/>
      <c r="H77" s="316"/>
      <c r="I77" s="45">
        <f t="shared" si="0"/>
        <v>0</v>
      </c>
      <c r="J77" s="317"/>
      <c r="K77" s="45">
        <f t="shared" si="1"/>
        <v>0</v>
      </c>
      <c r="L77" s="44" t="str">
        <f>IF(AD77="◎",COUNTIF($AD$16:AD77,"◎"),"")</f>
        <v/>
      </c>
      <c r="W77" s="234" t="str">
        <f>IF(B77="既設病床",はじめに入力してください!$K$12,IF(B77="新設病床",はじめに入力してください!$K$13,IF(B77="共通使用",1,"")))</f>
        <v/>
      </c>
      <c r="AC77" s="49" t="s">
        <v>69</v>
      </c>
      <c r="AD77" s="231" t="str">
        <f t="shared" si="2"/>
        <v>○</v>
      </c>
      <c r="AE77" s="35" t="str">
        <f t="shared" si="3"/>
        <v>申請しない場合は入力不要です。</v>
      </c>
      <c r="AF77" s="234" t="str">
        <f t="shared" si="4"/>
        <v>○</v>
      </c>
      <c r="AG77" s="234" t="str">
        <f t="shared" si="5"/>
        <v>○</v>
      </c>
      <c r="AH77" s="234" t="str">
        <f t="shared" si="6"/>
        <v>○</v>
      </c>
      <c r="AI77" s="231" t="str">
        <f t="shared" si="7"/>
        <v>○</v>
      </c>
      <c r="AJ77" s="14" t="str">
        <f t="shared" si="8"/>
        <v/>
      </c>
      <c r="AK77" s="52">
        <v>62</v>
      </c>
    </row>
    <row r="78" spans="1:37" ht="24.95" customHeight="1">
      <c r="A78" s="38">
        <v>63</v>
      </c>
      <c r="B78" s="313"/>
      <c r="C78" s="313"/>
      <c r="D78" s="313"/>
      <c r="E78" s="314"/>
      <c r="F78" s="315"/>
      <c r="G78" s="316"/>
      <c r="H78" s="316"/>
      <c r="I78" s="45">
        <f t="shared" si="0"/>
        <v>0</v>
      </c>
      <c r="J78" s="317"/>
      <c r="K78" s="45">
        <f t="shared" si="1"/>
        <v>0</v>
      </c>
      <c r="L78" s="44" t="str">
        <f>IF(AD78="◎",COUNTIF($AD$16:AD78,"◎"),"")</f>
        <v/>
      </c>
      <c r="W78" s="234" t="str">
        <f>IF(B78="既設病床",はじめに入力してください!$K$12,IF(B78="新設病床",はじめに入力してください!$K$13,IF(B78="共通使用",1,"")))</f>
        <v/>
      </c>
      <c r="AC78" s="49" t="s">
        <v>69</v>
      </c>
      <c r="AD78" s="231" t="str">
        <f t="shared" si="2"/>
        <v>○</v>
      </c>
      <c r="AE78" s="35" t="str">
        <f t="shared" si="3"/>
        <v>申請しない場合は入力不要です。</v>
      </c>
      <c r="AF78" s="234" t="str">
        <f t="shared" si="4"/>
        <v>○</v>
      </c>
      <c r="AG78" s="234" t="str">
        <f t="shared" si="5"/>
        <v>○</v>
      </c>
      <c r="AH78" s="234" t="str">
        <f t="shared" si="6"/>
        <v>○</v>
      </c>
      <c r="AI78" s="231" t="str">
        <f t="shared" si="7"/>
        <v>○</v>
      </c>
      <c r="AJ78" s="14" t="str">
        <f t="shared" si="8"/>
        <v/>
      </c>
      <c r="AK78" s="52">
        <v>63</v>
      </c>
    </row>
    <row r="79" spans="1:37" ht="24.95" customHeight="1">
      <c r="A79" s="38">
        <v>64</v>
      </c>
      <c r="B79" s="313"/>
      <c r="C79" s="313"/>
      <c r="D79" s="313"/>
      <c r="E79" s="314"/>
      <c r="F79" s="315"/>
      <c r="G79" s="316"/>
      <c r="H79" s="316"/>
      <c r="I79" s="45">
        <f t="shared" si="0"/>
        <v>0</v>
      </c>
      <c r="J79" s="317"/>
      <c r="K79" s="45">
        <f t="shared" si="1"/>
        <v>0</v>
      </c>
      <c r="L79" s="44" t="str">
        <f>IF(AD79="◎",COUNTIF($AD$16:AD79,"◎"),"")</f>
        <v/>
      </c>
      <c r="W79" s="234" t="str">
        <f>IF(B79="既設病床",はじめに入力してください!$K$12,IF(B79="新設病床",はじめに入力してください!$K$13,IF(B79="共通使用",1,"")))</f>
        <v/>
      </c>
      <c r="AC79" s="49" t="s">
        <v>69</v>
      </c>
      <c r="AD79" s="231" t="str">
        <f t="shared" si="2"/>
        <v>○</v>
      </c>
      <c r="AE79" s="35" t="str">
        <f t="shared" si="3"/>
        <v>申請しない場合は入力不要です。</v>
      </c>
      <c r="AF79" s="234" t="str">
        <f t="shared" si="4"/>
        <v>○</v>
      </c>
      <c r="AG79" s="234" t="str">
        <f t="shared" si="5"/>
        <v>○</v>
      </c>
      <c r="AH79" s="234" t="str">
        <f t="shared" si="6"/>
        <v>○</v>
      </c>
      <c r="AI79" s="231" t="str">
        <f t="shared" si="7"/>
        <v>○</v>
      </c>
      <c r="AJ79" s="14" t="str">
        <f t="shared" si="8"/>
        <v/>
      </c>
      <c r="AK79" s="52">
        <v>64</v>
      </c>
    </row>
    <row r="80" spans="1:37" ht="24.95" customHeight="1">
      <c r="A80" s="38">
        <v>65</v>
      </c>
      <c r="B80" s="313"/>
      <c r="C80" s="313"/>
      <c r="D80" s="313"/>
      <c r="E80" s="314"/>
      <c r="F80" s="315"/>
      <c r="G80" s="316"/>
      <c r="H80" s="316"/>
      <c r="I80" s="45">
        <f t="shared" si="0"/>
        <v>0</v>
      </c>
      <c r="J80" s="317"/>
      <c r="K80" s="45">
        <f t="shared" si="1"/>
        <v>0</v>
      </c>
      <c r="L80" s="44" t="str">
        <f>IF(AD80="◎",COUNTIF($AD$16:AD80,"◎"),"")</f>
        <v/>
      </c>
      <c r="W80" s="234" t="str">
        <f>IF(B80="既設病床",はじめに入力してください!$K$12,IF(B80="新設病床",はじめに入力してください!$K$13,IF(B80="共通使用",1,"")))</f>
        <v/>
      </c>
      <c r="AC80" s="49" t="s">
        <v>69</v>
      </c>
      <c r="AD80" s="231" t="str">
        <f t="shared" si="2"/>
        <v>○</v>
      </c>
      <c r="AE80" s="35" t="str">
        <f t="shared" si="3"/>
        <v>申請しない場合は入力不要です。</v>
      </c>
      <c r="AF80" s="234" t="str">
        <f t="shared" si="4"/>
        <v>○</v>
      </c>
      <c r="AG80" s="234" t="str">
        <f t="shared" si="5"/>
        <v>○</v>
      </c>
      <c r="AH80" s="234" t="str">
        <f t="shared" si="6"/>
        <v>○</v>
      </c>
      <c r="AI80" s="231" t="str">
        <f t="shared" si="7"/>
        <v>○</v>
      </c>
      <c r="AJ80" s="14" t="str">
        <f t="shared" si="8"/>
        <v/>
      </c>
      <c r="AK80" s="52">
        <v>65</v>
      </c>
    </row>
    <row r="81" spans="1:37" ht="24.95" customHeight="1">
      <c r="A81" s="38">
        <v>66</v>
      </c>
      <c r="B81" s="313"/>
      <c r="C81" s="313"/>
      <c r="D81" s="313"/>
      <c r="E81" s="314"/>
      <c r="F81" s="315"/>
      <c r="G81" s="316"/>
      <c r="H81" s="316"/>
      <c r="I81" s="45">
        <f t="shared" ref="I81:I90" si="9">IF(G81="",H81*F81,ROUNDDOWN(F81*G81*1.1,0))</f>
        <v>0</v>
      </c>
      <c r="J81" s="317"/>
      <c r="K81" s="45">
        <f t="shared" ref="K81:K90" si="10">IF(J81="補助対象",I81,IF(J81="補助対象外",0,0))</f>
        <v>0</v>
      </c>
      <c r="L81" s="44" t="str">
        <f>IF(AD81="◎",COUNTIF($AD$16:AD81,"◎"),"")</f>
        <v/>
      </c>
      <c r="W81" s="234" t="str">
        <f>IF(B81="既設病床",はじめに入力してください!$K$12,IF(B81="新設病床",はじめに入力してください!$K$13,IF(B81="共通使用",1,"")))</f>
        <v/>
      </c>
      <c r="AC81" s="49" t="s">
        <v>69</v>
      </c>
      <c r="AD81" s="231" t="str">
        <f t="shared" ref="AD81:AD90" si="11" xml:space="preserve">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IF(AND(AF81="◎",AG81="◎",AH81="◎",AI81="◎"),"◎",
))))))))))))))))))))))))))))))))))))))))))))))))))))))</f>
        <v>○</v>
      </c>
      <c r="AE81" s="35" t="str">
        <f t="shared" ref="AE81:AE90" si="12" xml:space="preserve">
IF(AND(AF81="○",AG81="○",AH81="○",AI81="○"),"申請しない場合は入力不要です。",
IF(AND(AF81="○",AG81="○",AH81="○",AI81="◎"),"【要修正】【整備先・内容】未入力、【規格・数量】未入力、【単価】未入力"&amp;CHAR(10),
IF(AND(AF81="○",AG81="○",AH81="×",AI81="○"),"【要修正】【整備先・内容】未入力、【規格・数量】未入力、【単価】入力不十分、【補助対象区分】未入力"&amp;CHAR(10),
IF(AND(AF81="○",AG81="○",AH81="×",AI81="◎"),"【要修正】【整備先・内容】未入力、【規格・数量】未入力、【単価】入力不十分"&amp;CHAR(10),
IF(AND(AF81="○",AG81="○",AH81="◎",AI81="○"),"【要修正】【整備先・内容】未入力、【規格・数量】未入力、【補助対象区分】未入力"&amp;CHAR(10),
IF(AND(AF81="○",AG81="○",AH81="◎",AI81="◎"),"【要修正】【整備先・内容】未入力、【規格・数量】未入力"&amp;CHAR(10),
IF(AND(AF81="○",AG81="×",AH81="○",AI81="○"),"【要修正】【整備先・内容】未入力、【規格・数量】入力不十分、【単価】未入力、【補助対象区分】未入力"&amp;CHAR(10),
IF(AND(AF81="○",AG81="×",AH81="○",AI81="◎"),"【要修正】【整備先・内容】未入力、【規格・数量】入力不十分、【単価】未入力"&amp;CHAR(10),
IF(AND(AF81="○",AG81="×",AH81="×",AI81="○"),"【要修正】【整備先・内容】未入力、【規格・数量】入力不十分、【単価】入力不十分、【補助対象区分】未入力"&amp;CHAR(10),
IF(AND(AF81="○",AG81="×",AH81="×",AI81="◎"),"【要修正】【整備先・内容】未入力、【規格・数量】入力不十分、【単価】入力不十分"&amp;CHAR(10),
IF(AND(AF81="○",AG81="×",AH81="◎",AI81="○"),"【要修正】【整備先・内容】未入力、【規格・数量】入力不十分、【補助対象区分】未入力"&amp;CHAR(10),
IF(AND(AF81="○",AG81="×",AH81="◎",AI81="◎"),"【要修正】【整備先・内容】未入力、【規格・数量】入力不十分"&amp;CHAR(10),
IF(AND(AF81="○",AG81="◎",AH81="○",AI81="○"),"【要修正】【整備先・内容】未入力、【単価】未入力、【補助対象区分】未入力"&amp;CHAR(10),
IF(AND(AF81="○",AG81="◎",AH81="○",AI81="◎"),"【要修正】【整備先・内容】未入力、【単価】未入力"&amp;CHAR(10),
IF(AND(AF81="○",AG81="◎",AH81="×",AI81="○"),"【要修正】【整備先・内容】未入力、【単価】入力不十分、【補助対象区分】未入力"&amp;CHAR(10),
IF(AND(AF81="○",AG81="◎",AH81="×",AI81="◎"),"【要修正】【整備先・内容】未入力、【単価】入力不十分"&amp;CHAR(10),
IF(AND(AF81="○",AG81="◎",AH81="◎",AI81="○"),"【要修正】【整備先・内容】未入力、【補助対象区分】未入力"&amp;CHAR(10),
IF(AND(AF81="○",AG81="◎",AH81="◎",AI81="◎"),"【要修正】【整備先・内容】未入力"&amp;CHAR(10),
IF(AND(AF81="×",AG81="○",AH81="○",AI81="○"),"【要修正】【整備先・内容】入力不十分、【規格・数量】未入力、【単価】未入力、【補助対象区分】未入力"&amp;CHAR(10),
IF(AND(AF81="×",AG81="○",AH81="○",AI81="◎"),"【要修正】【整備先・内容】入力不十分、【規格・数量】未入力、【単価】未入力"&amp;CHAR(10),
IF(AND(AF81="×",AG81="○",AH81="×",AI81="○"),"【要修正】【整備先・内容】入力不十分、【規格・数量】未入力、【単価】入力不十分、【補助対象区分】未入力"&amp;CHAR(10),
IF(AND(AF81="×",AG81="○",AH81="×",AI81="◎"),"【要修正】【整備先・内容】入力不十分、【規格・数量】未入力、【単価】入力不十分"&amp;CHAR(10),
IF(AND(AF81="×",AG81="○",AH81="◎",AI81="○"),"【要修正】【整備先・内容】入力不十分、【規格・数量】未入力、【補助対象区分】未入力"&amp;CHAR(10),
IF(AND(AF81="×",AG81="○",AH81="◎",AI81="◎"),"【要修正】【整備先・内容】入力不十分、【規格・数量】未入力"&amp;CHAR(10),
IF(AND(AF81="×",AG81="×",AH81="○",AI81="○"),"【要修正】【整備先・内容】入力不十分、【規格・数量】入力不十分、【単価】未入力、【補助対象区分】未入力"&amp;CHAR(10),
IF(AND(AF81="×",AG81="×",AH81="○",AI81="◎"),"【要修正】【整備先・内容】入力不十分、【規格・数量】入力不十分、【単価】未入力"&amp;CHAR(10),
IF(AND(AF81="×",AG81="×",AH81="×",AI81="○"),"【要修正】【整備先・内容】入力不十分、【規格・数量】入力不十分、【単価】入力不十分、【補助対象区分】未入力"&amp;CHAR(10),
IF(AND(AF81="×",AG81="×",AH81="×",AI81="◎"),"【要修正】【整備先・内容】入力不十分、【規格・数量】入力不十分、【単価】入力不十分"&amp;CHAR(10),
IF(AND(AF81="×",AG81="×",AH81="◎",AI81="○"),"【要修正】【整備先・内容】入力不十分、【規格・数量】入力不十分、【補助対象区分】未入力"&amp;CHAR(10),
IF(AND(AF81="×",AG81="×",AH81="◎",AI81="◎"),"【要修正】【整備先・内容】入力不十分、【規格・数量】入力不十分"&amp;CHAR(10),
IF(AND(AF81="×",AG81="◎",AH81="○",AI81="○"),"【要修正】【整備先・内容】入力不十分、【単価】未入力、【補助対象区分】未入力"&amp;CHAR(10),
IF(AND(AF81="×",AG81="◎",AH81="○",AI81="◎"),"【要修正】【整備先・内容】入力不十分、【単価】未入力"&amp;CHAR(10),
IF(AND(AF81="×",AG81="◎",AH81="×",AI81="○"),"【要修正】【整備先・内容】入力不十分、【単価】入力不十分、【補助対象区分】未入力"&amp;CHAR(10),
IF(AND(AF81="×",AG81="◎",AH81="×",AI81="◎"),"【要修正】【整備先・内容】入力不十分、【単価】入力不十分"&amp;CHAR(10),
IF(AND(AF81="×",AG81="◎",AH81="◎",AI81="○"),"【要修正】【整備先・内容】入力不十分、【補助対象区分】未入力"&amp;CHAR(10),
IF(AND(AF81="×",AG81="◎",AH81="◎",AI81="◎"),"【要修正】【整備先・内容】入力不十分"&amp;CHAR(10),
IF(AND(AF81="◎",AG81="○",AH81="○",AI81="○"),"【要修正】【規格・数量】未入力、【単価】未入力、【補助対象区分】未入力"&amp;CHAR(10),
IF(AND(AF81="◎",AG81="○",AH81="○",AI81="◎"),"【要修正】【規格・数量】未入力、【単価】未入力"&amp;CHAR(10),
IF(AND(AF81="◎",AG81="○",AH81="×",AI81="○"),"【要修正】【規格・数量】未入力、【単価】入力不十分、【補助対象区分】未入力"&amp;CHAR(10),
IF(AND(AF81="◎",AG81="○",AH81="×",AI81="◎"),"【要修正】【規格・数量】未入力、【単価】入力不十分"&amp;CHAR(10),
IF(AND(AF81="◎",AG81="○",AH81="◎",AI81="○"),"【要修正】【規格・数量】未入力、【補助対象区分】未入力"&amp;CHAR(10),
IF(AND(AF81="◎",AG81="○",AH81="◎",AI81="◎"),"【要修正】【規格・数量】未入力"&amp;CHAR(10),
IF(AND(AF81="◎",AG81="×",AH81="○",AI81="○"),"【要修正】【規格・数量】入力不十分、【単価】未入力、【補助対象区分】未入力"&amp;CHAR(10),
IF(AND(AF81="◎",AG81="×",AH81="○",AI81="◎"),"【要修正】【規格・数量】入力不十分、【単価】未入力"&amp;CHAR(10),
IF(AND(AF81="◎",AG81="×",AH81="×",AI81="○"),"【要修正】【規格・数量】入力不十分、【単価】入力不十分、【補助対象区分】未入力"&amp;CHAR(10),
IF(AND(AF81="◎",AG81="×",AH81="×",AI81="◎"),"【要修正】【規格・数量】入力不十分、【単価】入力不十分"&amp;CHAR(10),
IF(AND(AF81="◎",AG81="×",AH81="◎",AI81="○"),"【要修正】【規格・数量】入力不十分、【補助対象区分】未入力"&amp;CHAR(10),
IF(AND(AF81="◎",AG81="×",AH81="◎",AI81="◎"),"【要修正】【規格・数量】入力不十分"&amp;CHAR(10),
IF(AND(AF81="◎",AG81="◎",AH81="○",AI81="○"),"【要修正】【単価】未入力、【補助対象区分】未入力"&amp;CHAR(10),
IF(AND(AF81="◎",AG81="◎",AH81="○",AI81="◎"),"【要修正】【単価】未入力"&amp;CHAR(10),
IF(AND(AF81="◎",AG81="◎",AH81="×",AI81="○"),"【要修正】【単価】入力不十分、【補助対象区分】未入力"&amp;CHAR(10),
IF(AND(AF81="◎",AG81="◎",AH81="×",AI81="◎"),"【要修正】【単価】入力不十分"&amp;CHAR(10),
IF(AND(AF81="◎",AG81="◎",AH81="◎",AI81="○"),"【要修正】【補助対象区分】未入力"&amp;CHAR(10),
IF(AND(AF81="◎",AG81="◎",AH81="◎",AI81="◎"),"適切に入力がされました。",
))))))))))))))))))))))))))))))))))))))))))))))))))))))</f>
        <v>申請しない場合は入力不要です。</v>
      </c>
      <c r="AF81" s="234" t="str">
        <f t="shared" ref="AF81:AF90" si="13">IF(COUNTA(B81:D81)=0,"○",IF(AND(COUNTA(B81:D81)&gt;=1,COUNTA(B81:D81)&lt;3),"×",IF(COUNTA(B81:D81)=3,"◎")))</f>
        <v>○</v>
      </c>
      <c r="AG81" s="234" t="str">
        <f t="shared" ref="AG81:AG90" si="14">IF(COUNTA(E81,F81,J81)=0,"○",IF(AND(COUNTA(E81,F81,J81)&gt;=1,COUNTA(E81,F81,J81)&lt;3),"×",IF(COUNTA(E81,F81,J81)=3,"◎")))</f>
        <v>○</v>
      </c>
      <c r="AH81" s="234" t="str">
        <f t="shared" ref="AH81:AH90" si="15">IF(COUNTA(G81:H81)=0,"○",IF(COUNTA(G81:H81)=1,"◎",IF(COUNTA(G81:H81)=2,"×")))</f>
        <v>○</v>
      </c>
      <c r="AI81" s="231" t="str">
        <f t="shared" ref="AI81:AI90" si="16">IF(COUNTA(J81)=0,"○",IF(COUNTA(J81)=1,"◎"))</f>
        <v>○</v>
      </c>
      <c r="AJ81" s="14" t="str">
        <f t="shared" ref="AJ81:AJ90" si="17" xml:space="preserve">
IF(AND(AF81="○",AG81="○",AH81="○",AI81="○"),"",
IF(AND(AF81="○",AG81="○",AH81="○",AI81="◎"),"【"&amp;AK81&amp;"行目】【整備先・内容】未入力、【規格・数量】未入力、【単価】未入力"&amp;CHAR(10),
IF(AND(AF81="○",AG81="○",AH81="×",AI81="○"),"【"&amp;AK81&amp;"行目】【整備先・内容】未入力、【規格・数量】未入力、【単価】入力不十分、【補助対象区分】未入力"&amp;CHAR(10),
IF(AND(AF81="○",AG81="○",AH81="×",AI81="◎"),"【"&amp;AK81&amp;"行目】【整備先・内容】未入力、【規格・数量】未入力、【単価】入力不十分"&amp;CHAR(10),
IF(AND(AF81="○",AG81="○",AH81="◎",AI81="○"),"【"&amp;AK81&amp;"行目】【整備先・内容】未入力、【規格・数量】未入力、【補助対象区分】未入力"&amp;CHAR(10),
IF(AND(AF81="○",AG81="○",AH81="◎",AI81="◎"),"【"&amp;AK81&amp;"行目】【整備先・内容】未入力、【規格・数量】未入力"&amp;CHAR(10),
IF(AND(AF81="○",AG81="×",AH81="○",AI81="○"),"【"&amp;AK81&amp;"行目】【整備先・内容】未入力、【規格・数量】入力不十分、【単価】未入力、【補助対象区分】未入力"&amp;CHAR(10),
IF(AND(AF81="○",AG81="×",AH81="○",AI81="◎"),"【"&amp;AK81&amp;"行目】【整備先・内容】未入力、【規格・数量】入力不十分、【単価】未入力"&amp;CHAR(10),
IF(AND(AF81="○",AG81="×",AH81="×",AI81="○"),"【"&amp;AK81&amp;"行目】【整備先・内容】未入力、【規格・数量】入力不十分、【単価】入力不十分、【補助対象区分】未入力"&amp;CHAR(10),
IF(AND(AF81="○",AG81="×",AH81="×",AI81="◎"),"【"&amp;AK81&amp;"行目】【整備先・内容】未入力、【規格・数量】入力不十分、【単価】入力不十分"&amp;CHAR(10),
IF(AND(AF81="○",AG81="×",AH81="◎",AI81="○"),"【"&amp;AK81&amp;"行目】【整備先・内容】未入力、【規格・数量】入力不十分、【補助対象区分】未入力"&amp;CHAR(10),
IF(AND(AF81="○",AG81="×",AH81="◎",AI81="◎"),"【"&amp;AK81&amp;"行目】【整備先・内容】未入力、【規格・数量】入力不十分"&amp;CHAR(10),
IF(AND(AF81="○",AG81="◎",AH81="○",AI81="○"),"【"&amp;AK81&amp;"行目】【整備先・内容】未入力、【単価】未入力、【補助対象区分】未入力"&amp;CHAR(10),
IF(AND(AF81="○",AG81="◎",AH81="○",AI81="◎"),"【"&amp;AK81&amp;"行目】【整備先・内容】未入力、【単価】未入力"&amp;CHAR(10),
IF(AND(AF81="○",AG81="◎",AH81="×",AI81="○"),"【"&amp;AK81&amp;"行目】【整備先・内容】未入力、【単価】入力不十分、【補助対象区分】未入力"&amp;CHAR(10),
IF(AND(AF81="○",AG81="◎",AH81="×",AI81="◎"),"【"&amp;AK81&amp;"行目】【整備先・内容】未入力、【単価】入力不十分"&amp;CHAR(10),
IF(AND(AF81="○",AG81="◎",AH81="◎",AI81="○"),"【"&amp;AK81&amp;"行目】【整備先・内容】未入力、【補助対象区分】未入力"&amp;CHAR(10),
IF(AND(AF81="○",AG81="◎",AH81="◎",AI81="◎"),"【"&amp;AK81&amp;"行目】【整備先・内容】未入力"&amp;CHAR(10),
IF(AND(AF81="×",AG81="○",AH81="○",AI81="○"),"【"&amp;AK81&amp;"行目】【整備先・内容】入力不十分、【規格・数量】未入力、【単価】未入力、【補助対象区分】未入力"&amp;CHAR(10),
IF(AND(AF81="×",AG81="○",AH81="○",AI81="◎"),"【"&amp;AK81&amp;"行目】【整備先・内容】入力不十分、【規格・数量】未入力、【単価】未入力"&amp;CHAR(10),
IF(AND(AF81="×",AG81="○",AH81="×",AI81="○"),"【"&amp;AK81&amp;"行目】【整備先・内容】入力不十分、【規格・数量】未入力、【単価】入力不十分、【補助対象区分】未入力"&amp;CHAR(10),
IF(AND(AF81="×",AG81="○",AH81="×",AI81="◎"),"【"&amp;AK81&amp;"行目】【整備先・内容】入力不十分、【規格・数量】未入力、【単価】入力不十分"&amp;CHAR(10),
IF(AND(AF81="×",AG81="○",AH81="◎",AI81="○"),"【"&amp;AK81&amp;"行目】【整備先・内容】入力不十分、【規格・数量】未入力、【補助対象区分】未入力"&amp;CHAR(10),
IF(AND(AF81="×",AG81="○",AH81="◎",AI81="◎"),"【"&amp;AK81&amp;"行目】【整備先・内容】入力不十分、【規格・数量】未入力"&amp;CHAR(10),
IF(AND(AF81="×",AG81="×",AH81="○",AI81="○"),"【"&amp;AK81&amp;"行目】【整備先・内容】入力不十分、【規格・数量】入力不十分、【単価】未入力、【補助対象区分】未入力"&amp;CHAR(10),
IF(AND(AF81="×",AG81="×",AH81="○",AI81="◎"),"【"&amp;AK81&amp;"行目】【整備先・内容】入力不十分、【規格・数量】入力不十分、【単価】未入力"&amp;CHAR(10),
IF(AND(AF81="×",AG81="×",AH81="×",AI81="○"),"【"&amp;AK81&amp;"行目】【整備先・内容】入力不十分、【規格・数量】入力不十分、【単価】入力不十分、【補助対象区分】未入力"&amp;CHAR(10),
IF(AND(AF81="×",AG81="×",AH81="×",AI81="◎"),"【"&amp;AK81&amp;"行目】【整備先・内容】入力不十分、【規格・数量】入力不十分、【単価】入力不十分"&amp;CHAR(10),
IF(AND(AF81="×",AG81="×",AH81="◎",AI81="○"),"【"&amp;AK81&amp;"行目】【整備先・内容】入力不十分、【規格・数量】入力不十分、【補助対象区分】未入力"&amp;CHAR(10),
IF(AND(AF81="×",AG81="×",AH81="◎",AI81="◎"),"【"&amp;AK81&amp;"行目】【整備先・内容】入力不十分、【規格・数量】入力不十分"&amp;CHAR(10),
IF(AND(AF81="×",AG81="◎",AH81="○",AI81="○"),"【"&amp;AK81&amp;"行目】【整備先・内容】入力不十分、【単価】未入力、【補助対象区分】未入力"&amp;CHAR(10),
IF(AND(AF81="×",AG81="◎",AH81="○",AI81="◎"),"【"&amp;AK81&amp;"行目】【整備先・内容】入力不十分、【単価】未入力"&amp;CHAR(10),
IF(AND(AF81="×",AG81="◎",AH81="×",AI81="○"),"【"&amp;AK81&amp;"行目】【整備先・内容】入力不十分、【単価】入力不十分、【補助対象区分】未入力"&amp;CHAR(10),
IF(AND(AF81="×",AG81="◎",AH81="×",AI81="◎"),"【"&amp;AK81&amp;"行目】【整備先・内容】入力不十分、【単価】入力不十分"&amp;CHAR(10),
IF(AND(AF81="×",AG81="◎",AH81="◎",AI81="○"),"【"&amp;AK81&amp;"行目】【整備先・内容】入力不十分、【補助対象区分】未入力"&amp;CHAR(10),
IF(AND(AF81="×",AG81="◎",AH81="◎",AI81="◎"),"【"&amp;AK81&amp;"行目】【整備先・内容】入力不十分"&amp;CHAR(10),
IF(AND(AF81="◎",AG81="○",AH81="○",AI81="○"),"【"&amp;AK81&amp;"行目】【規格・数量】未入力、【単価】未入力、【補助対象区分】未入力"&amp;CHAR(10),
IF(AND(AF81="◎",AG81="○",AH81="○",AI81="◎"),"【"&amp;AK81&amp;"行目】【規格・数量】未入力、【単価】未入力"&amp;CHAR(10),
IF(AND(AF81="◎",AG81="○",AH81="×",AI81="○"),"【"&amp;AK81&amp;"行目】【規格・数量】未入力、【単価】入力不十分、【補助対象区分】未入力"&amp;CHAR(10),
IF(AND(AF81="◎",AG81="○",AH81="×",AI81="◎"),"【"&amp;AK81&amp;"行目】【規格・数量】未入力、【単価】入力不十分"&amp;CHAR(10),
IF(AND(AF81="◎",AG81="○",AH81="◎",AI81="○"),"【"&amp;AK81&amp;"行目】【規格・数量】未入力、【補助対象区分】未入力"&amp;CHAR(10),
IF(AND(AF81="◎",AG81="○",AH81="◎",AI81="◎"),"【"&amp;AK81&amp;"行目】【規格・数量】未入力"&amp;CHAR(10),
IF(AND(AF81="◎",AG81="×",AH81="○",AI81="○"),"【"&amp;AK81&amp;"行目】【規格・数量】入力不十分、【単価】未入力、【補助対象区分】未入力"&amp;CHAR(10),
IF(AND(AF81="◎",AG81="×",AH81="○",AI81="◎"),"【"&amp;AK81&amp;"行目】【規格・数量】入力不十分、【単価】未入力"&amp;CHAR(10),
IF(AND(AF81="◎",AG81="×",AH81="×",AI81="○"),"【"&amp;AK81&amp;"行目】【規格・数量】入力不十分、【単価】入力不十分、【補助対象区分】未入力"&amp;CHAR(10),
IF(AND(AF81="◎",AG81="×",AH81="×",AI81="◎"),"【"&amp;AK81&amp;"行目】【規格・数量】入力不十分、【単価】入力不十分"&amp;CHAR(10),
IF(AND(AF81="◎",AG81="×",AH81="◎",AI81="○"),"【"&amp;AK81&amp;"行目】【規格・数量】入力不十分、【補助対象区分】未入力"&amp;CHAR(10),
IF(AND(AF81="◎",AG81="×",AH81="◎",AI81="◎"),"【"&amp;AK81&amp;"行目】【規格・数量】入力不十分"&amp;CHAR(10),
IF(AND(AF81="◎",AG81="◎",AH81="○",AI81="○"),"【"&amp;AK81&amp;"行目】【単価】未入力、【補助対象区分】未入力"&amp;CHAR(10),
IF(AND(AF81="◎",AG81="◎",AH81="○",AI81="◎"),"【"&amp;AK81&amp;"行目】【単価】未入力"&amp;CHAR(10),
IF(AND(AF81="◎",AG81="◎",AH81="×",AI81="○"),"【"&amp;AK81&amp;"行目】【単価】入力不十分、【補助対象区分】未入力"&amp;CHAR(10),
IF(AND(AF81="◎",AG81="◎",AH81="×",AI81="◎"),"【"&amp;AK81&amp;"行目】【単価】入力不十分"&amp;CHAR(10),
IF(AND(AF81="◎",AG81="◎",AH81="◎",AI81="○"),"【"&amp;AK81&amp;"行目】【補助対象区分】未入力"&amp;CHAR(10),
IF(AND(AF81="◎",AG81="◎",AH81="◎",AI81="◎"),"",
))))))))))))))))))))))))))))))))))))))))))))))))))))))</f>
        <v/>
      </c>
      <c r="AK81" s="52">
        <v>66</v>
      </c>
    </row>
    <row r="82" spans="1:37" ht="24.95" customHeight="1">
      <c r="A82" s="38">
        <v>67</v>
      </c>
      <c r="B82" s="313"/>
      <c r="C82" s="313"/>
      <c r="D82" s="313"/>
      <c r="E82" s="314"/>
      <c r="F82" s="315"/>
      <c r="G82" s="316"/>
      <c r="H82" s="316"/>
      <c r="I82" s="45">
        <f t="shared" si="9"/>
        <v>0</v>
      </c>
      <c r="J82" s="317"/>
      <c r="K82" s="45">
        <f t="shared" si="10"/>
        <v>0</v>
      </c>
      <c r="L82" s="44" t="str">
        <f>IF(AD82="◎",COUNTIF($AD$16:AD82,"◎"),"")</f>
        <v/>
      </c>
      <c r="W82" s="234" t="str">
        <f>IF(B82="既設病床",はじめに入力してください!$K$12,IF(B82="新設病床",はじめに入力してください!$K$13,IF(B82="共通使用",1,"")))</f>
        <v/>
      </c>
      <c r="AC82" s="49" t="s">
        <v>69</v>
      </c>
      <c r="AD82" s="231" t="str">
        <f t="shared" si="11"/>
        <v>○</v>
      </c>
      <c r="AE82" s="35" t="str">
        <f t="shared" si="12"/>
        <v>申請しない場合は入力不要です。</v>
      </c>
      <c r="AF82" s="234" t="str">
        <f t="shared" si="13"/>
        <v>○</v>
      </c>
      <c r="AG82" s="234" t="str">
        <f t="shared" si="14"/>
        <v>○</v>
      </c>
      <c r="AH82" s="234" t="str">
        <f t="shared" si="15"/>
        <v>○</v>
      </c>
      <c r="AI82" s="231" t="str">
        <f t="shared" si="16"/>
        <v>○</v>
      </c>
      <c r="AJ82" s="14" t="str">
        <f t="shared" si="17"/>
        <v/>
      </c>
      <c r="AK82" s="52">
        <v>67</v>
      </c>
    </row>
    <row r="83" spans="1:37" ht="24.95" customHeight="1">
      <c r="A83" s="38">
        <v>68</v>
      </c>
      <c r="B83" s="313"/>
      <c r="C83" s="313"/>
      <c r="D83" s="313"/>
      <c r="E83" s="314"/>
      <c r="F83" s="315"/>
      <c r="G83" s="316"/>
      <c r="H83" s="316"/>
      <c r="I83" s="45">
        <f t="shared" si="9"/>
        <v>0</v>
      </c>
      <c r="J83" s="317"/>
      <c r="K83" s="45">
        <f t="shared" si="10"/>
        <v>0</v>
      </c>
      <c r="L83" s="44" t="str">
        <f>IF(AD83="◎",COUNTIF($AD$16:AD83,"◎"),"")</f>
        <v/>
      </c>
      <c r="W83" s="234" t="str">
        <f>IF(B83="既設病床",はじめに入力してください!$K$12,IF(B83="新設病床",はじめに入力してください!$K$13,IF(B83="共通使用",1,"")))</f>
        <v/>
      </c>
      <c r="AC83" s="49" t="s">
        <v>69</v>
      </c>
      <c r="AD83" s="231" t="str">
        <f t="shared" si="11"/>
        <v>○</v>
      </c>
      <c r="AE83" s="35" t="str">
        <f t="shared" si="12"/>
        <v>申請しない場合は入力不要です。</v>
      </c>
      <c r="AF83" s="234" t="str">
        <f t="shared" si="13"/>
        <v>○</v>
      </c>
      <c r="AG83" s="234" t="str">
        <f t="shared" si="14"/>
        <v>○</v>
      </c>
      <c r="AH83" s="234" t="str">
        <f t="shared" si="15"/>
        <v>○</v>
      </c>
      <c r="AI83" s="231" t="str">
        <f t="shared" si="16"/>
        <v>○</v>
      </c>
      <c r="AJ83" s="14" t="str">
        <f t="shared" si="17"/>
        <v/>
      </c>
      <c r="AK83" s="52">
        <v>68</v>
      </c>
    </row>
    <row r="84" spans="1:37" ht="24.95" customHeight="1">
      <c r="A84" s="38">
        <v>69</v>
      </c>
      <c r="B84" s="313"/>
      <c r="C84" s="313"/>
      <c r="D84" s="313"/>
      <c r="E84" s="314"/>
      <c r="F84" s="315"/>
      <c r="G84" s="316"/>
      <c r="H84" s="316"/>
      <c r="I84" s="45">
        <f t="shared" si="9"/>
        <v>0</v>
      </c>
      <c r="J84" s="317"/>
      <c r="K84" s="45">
        <f t="shared" si="10"/>
        <v>0</v>
      </c>
      <c r="L84" s="44" t="str">
        <f>IF(AD84="◎",COUNTIF($AD$16:AD84,"◎"),"")</f>
        <v/>
      </c>
      <c r="W84" s="234" t="str">
        <f>IF(B84="既設病床",はじめに入力してください!$K$12,IF(B84="新設病床",はじめに入力してください!$K$13,IF(B84="共通使用",1,"")))</f>
        <v/>
      </c>
      <c r="AC84" s="49" t="s">
        <v>69</v>
      </c>
      <c r="AD84" s="231" t="str">
        <f t="shared" si="11"/>
        <v>○</v>
      </c>
      <c r="AE84" s="35" t="str">
        <f t="shared" si="12"/>
        <v>申請しない場合は入力不要です。</v>
      </c>
      <c r="AF84" s="234" t="str">
        <f t="shared" si="13"/>
        <v>○</v>
      </c>
      <c r="AG84" s="234" t="str">
        <f t="shared" si="14"/>
        <v>○</v>
      </c>
      <c r="AH84" s="234" t="str">
        <f t="shared" si="15"/>
        <v>○</v>
      </c>
      <c r="AI84" s="231" t="str">
        <f t="shared" si="16"/>
        <v>○</v>
      </c>
      <c r="AJ84" s="14" t="str">
        <f t="shared" si="17"/>
        <v/>
      </c>
      <c r="AK84" s="52">
        <v>69</v>
      </c>
    </row>
    <row r="85" spans="1:37" ht="24.95" customHeight="1">
      <c r="A85" s="38">
        <v>70</v>
      </c>
      <c r="B85" s="313"/>
      <c r="C85" s="313"/>
      <c r="D85" s="313"/>
      <c r="E85" s="314"/>
      <c r="F85" s="315"/>
      <c r="G85" s="316"/>
      <c r="H85" s="316"/>
      <c r="I85" s="45">
        <f t="shared" si="9"/>
        <v>0</v>
      </c>
      <c r="J85" s="317"/>
      <c r="K85" s="45">
        <f t="shared" si="10"/>
        <v>0</v>
      </c>
      <c r="L85" s="44" t="str">
        <f>IF(AD85="◎",COUNTIF($AD$16:AD85,"◎"),"")</f>
        <v/>
      </c>
      <c r="W85" s="234" t="str">
        <f>IF(B85="既設病床",はじめに入力してください!$K$12,IF(B85="新設病床",はじめに入力してください!$K$13,IF(B85="共通使用",1,"")))</f>
        <v/>
      </c>
      <c r="AC85" s="49" t="s">
        <v>69</v>
      </c>
      <c r="AD85" s="231" t="str">
        <f t="shared" si="11"/>
        <v>○</v>
      </c>
      <c r="AE85" s="35" t="str">
        <f t="shared" si="12"/>
        <v>申請しない場合は入力不要です。</v>
      </c>
      <c r="AF85" s="234" t="str">
        <f t="shared" si="13"/>
        <v>○</v>
      </c>
      <c r="AG85" s="234" t="str">
        <f t="shared" si="14"/>
        <v>○</v>
      </c>
      <c r="AH85" s="234" t="str">
        <f t="shared" si="15"/>
        <v>○</v>
      </c>
      <c r="AI85" s="231" t="str">
        <f t="shared" si="16"/>
        <v>○</v>
      </c>
      <c r="AJ85" s="14" t="str">
        <f t="shared" si="17"/>
        <v/>
      </c>
      <c r="AK85" s="52">
        <v>70</v>
      </c>
    </row>
    <row r="86" spans="1:37" ht="24.95" customHeight="1">
      <c r="A86" s="38">
        <v>71</v>
      </c>
      <c r="B86" s="313"/>
      <c r="C86" s="313"/>
      <c r="D86" s="313"/>
      <c r="E86" s="314"/>
      <c r="F86" s="315"/>
      <c r="G86" s="316"/>
      <c r="H86" s="316"/>
      <c r="I86" s="45">
        <f t="shared" si="9"/>
        <v>0</v>
      </c>
      <c r="J86" s="317"/>
      <c r="K86" s="45">
        <f t="shared" si="10"/>
        <v>0</v>
      </c>
      <c r="L86" s="44" t="str">
        <f>IF(AD86="◎",COUNTIF($AD$16:AD86,"◎"),"")</f>
        <v/>
      </c>
      <c r="W86" s="234" t="str">
        <f>IF(B86="既設病床",はじめに入力してください!$K$12,IF(B86="新設病床",はじめに入力してください!$K$13,IF(B86="共通使用",1,"")))</f>
        <v/>
      </c>
      <c r="AC86" s="49" t="s">
        <v>69</v>
      </c>
      <c r="AD86" s="231" t="str">
        <f t="shared" si="11"/>
        <v>○</v>
      </c>
      <c r="AE86" s="35" t="str">
        <f t="shared" si="12"/>
        <v>申請しない場合は入力不要です。</v>
      </c>
      <c r="AF86" s="234" t="str">
        <f t="shared" si="13"/>
        <v>○</v>
      </c>
      <c r="AG86" s="234" t="str">
        <f t="shared" si="14"/>
        <v>○</v>
      </c>
      <c r="AH86" s="234" t="str">
        <f t="shared" si="15"/>
        <v>○</v>
      </c>
      <c r="AI86" s="231" t="str">
        <f t="shared" si="16"/>
        <v>○</v>
      </c>
      <c r="AJ86" s="14" t="str">
        <f t="shared" si="17"/>
        <v/>
      </c>
      <c r="AK86" s="52">
        <v>71</v>
      </c>
    </row>
    <row r="87" spans="1:37" ht="24.95" customHeight="1">
      <c r="A87" s="38">
        <v>72</v>
      </c>
      <c r="B87" s="313"/>
      <c r="C87" s="313"/>
      <c r="D87" s="313"/>
      <c r="E87" s="314"/>
      <c r="F87" s="315"/>
      <c r="G87" s="316"/>
      <c r="H87" s="316"/>
      <c r="I87" s="45">
        <f t="shared" si="9"/>
        <v>0</v>
      </c>
      <c r="J87" s="317"/>
      <c r="K87" s="45">
        <f t="shared" si="10"/>
        <v>0</v>
      </c>
      <c r="L87" s="44" t="str">
        <f>IF(AD87="◎",COUNTIF($AD$16:AD87,"◎"),"")</f>
        <v/>
      </c>
      <c r="W87" s="234" t="str">
        <f>IF(B87="既設病床",はじめに入力してください!$K$12,IF(B87="新設病床",はじめに入力してください!$K$13,IF(B87="共通使用",1,"")))</f>
        <v/>
      </c>
      <c r="AC87" s="49" t="s">
        <v>69</v>
      </c>
      <c r="AD87" s="231" t="str">
        <f t="shared" si="11"/>
        <v>○</v>
      </c>
      <c r="AE87" s="35" t="str">
        <f t="shared" si="12"/>
        <v>申請しない場合は入力不要です。</v>
      </c>
      <c r="AF87" s="234" t="str">
        <f t="shared" si="13"/>
        <v>○</v>
      </c>
      <c r="AG87" s="234" t="str">
        <f t="shared" si="14"/>
        <v>○</v>
      </c>
      <c r="AH87" s="234" t="str">
        <f t="shared" si="15"/>
        <v>○</v>
      </c>
      <c r="AI87" s="231" t="str">
        <f t="shared" si="16"/>
        <v>○</v>
      </c>
      <c r="AJ87" s="14" t="str">
        <f t="shared" si="17"/>
        <v/>
      </c>
      <c r="AK87" s="52">
        <v>72</v>
      </c>
    </row>
    <row r="88" spans="1:37" ht="24.95" customHeight="1">
      <c r="A88" s="38">
        <v>73</v>
      </c>
      <c r="B88" s="313"/>
      <c r="C88" s="313"/>
      <c r="D88" s="313"/>
      <c r="E88" s="314"/>
      <c r="F88" s="315"/>
      <c r="G88" s="316"/>
      <c r="H88" s="316"/>
      <c r="I88" s="45">
        <f t="shared" si="9"/>
        <v>0</v>
      </c>
      <c r="J88" s="317"/>
      <c r="K88" s="45">
        <f t="shared" si="10"/>
        <v>0</v>
      </c>
      <c r="L88" s="44" t="str">
        <f>IF(AD88="◎",COUNTIF($AD$16:AD88,"◎"),"")</f>
        <v/>
      </c>
      <c r="W88" s="234" t="str">
        <f>IF(B88="既設病床",はじめに入力してください!$K$12,IF(B88="新設病床",はじめに入力してください!$K$13,IF(B88="共通使用",1,"")))</f>
        <v/>
      </c>
      <c r="AC88" s="49" t="s">
        <v>69</v>
      </c>
      <c r="AD88" s="231" t="str">
        <f t="shared" si="11"/>
        <v>○</v>
      </c>
      <c r="AE88" s="35" t="str">
        <f t="shared" si="12"/>
        <v>申請しない場合は入力不要です。</v>
      </c>
      <c r="AF88" s="234" t="str">
        <f t="shared" si="13"/>
        <v>○</v>
      </c>
      <c r="AG88" s="234" t="str">
        <f t="shared" si="14"/>
        <v>○</v>
      </c>
      <c r="AH88" s="234" t="str">
        <f t="shared" si="15"/>
        <v>○</v>
      </c>
      <c r="AI88" s="231" t="str">
        <f t="shared" si="16"/>
        <v>○</v>
      </c>
      <c r="AJ88" s="14" t="str">
        <f t="shared" si="17"/>
        <v/>
      </c>
      <c r="AK88" s="52">
        <v>73</v>
      </c>
    </row>
    <row r="89" spans="1:37" ht="24.95" customHeight="1">
      <c r="A89" s="38">
        <v>74</v>
      </c>
      <c r="B89" s="313"/>
      <c r="C89" s="313"/>
      <c r="D89" s="313"/>
      <c r="E89" s="314"/>
      <c r="F89" s="315"/>
      <c r="G89" s="316"/>
      <c r="H89" s="316"/>
      <c r="I89" s="45">
        <f t="shared" si="9"/>
        <v>0</v>
      </c>
      <c r="J89" s="317"/>
      <c r="K89" s="45">
        <f t="shared" si="10"/>
        <v>0</v>
      </c>
      <c r="L89" s="44" t="str">
        <f>IF(AD89="◎",COUNTIF($AD$16:AD89,"◎"),"")</f>
        <v/>
      </c>
      <c r="W89" s="234" t="str">
        <f>IF(B89="既設病床",はじめに入力してください!$K$12,IF(B89="新設病床",はじめに入力してください!$K$13,IF(B89="共通使用",1,"")))</f>
        <v/>
      </c>
      <c r="AC89" s="49" t="s">
        <v>69</v>
      </c>
      <c r="AD89" s="231" t="str">
        <f t="shared" si="11"/>
        <v>○</v>
      </c>
      <c r="AE89" s="35" t="str">
        <f t="shared" si="12"/>
        <v>申請しない場合は入力不要です。</v>
      </c>
      <c r="AF89" s="234" t="str">
        <f t="shared" si="13"/>
        <v>○</v>
      </c>
      <c r="AG89" s="234" t="str">
        <f t="shared" si="14"/>
        <v>○</v>
      </c>
      <c r="AH89" s="234" t="str">
        <f t="shared" si="15"/>
        <v>○</v>
      </c>
      <c r="AI89" s="231" t="str">
        <f t="shared" si="16"/>
        <v>○</v>
      </c>
      <c r="AJ89" s="14" t="str">
        <f t="shared" si="17"/>
        <v/>
      </c>
      <c r="AK89" s="52">
        <v>74</v>
      </c>
    </row>
    <row r="90" spans="1:37" ht="24.95" customHeight="1">
      <c r="A90" s="38">
        <v>75</v>
      </c>
      <c r="B90" s="313"/>
      <c r="C90" s="313"/>
      <c r="D90" s="313"/>
      <c r="E90" s="314"/>
      <c r="F90" s="315"/>
      <c r="G90" s="316"/>
      <c r="H90" s="316"/>
      <c r="I90" s="45">
        <f t="shared" si="9"/>
        <v>0</v>
      </c>
      <c r="J90" s="317"/>
      <c r="K90" s="45">
        <f t="shared" si="10"/>
        <v>0</v>
      </c>
      <c r="L90" s="44" t="str">
        <f>IF(AD90="◎",COUNTIF($AD$16:AD90,"◎"),"")</f>
        <v/>
      </c>
      <c r="W90" s="234" t="str">
        <f>IF(B90="既設病床",はじめに入力してください!$K$12,IF(B90="新設病床",はじめに入力してください!$K$13,IF(B90="共通使用",1,"")))</f>
        <v/>
      </c>
      <c r="AC90" s="49" t="s">
        <v>69</v>
      </c>
      <c r="AD90" s="231" t="str">
        <f t="shared" si="11"/>
        <v>○</v>
      </c>
      <c r="AE90" s="35" t="str">
        <f t="shared" si="12"/>
        <v>申請しない場合は入力不要です。</v>
      </c>
      <c r="AF90" s="234" t="str">
        <f t="shared" si="13"/>
        <v>○</v>
      </c>
      <c r="AG90" s="234" t="str">
        <f t="shared" si="14"/>
        <v>○</v>
      </c>
      <c r="AH90" s="234" t="str">
        <f t="shared" si="15"/>
        <v>○</v>
      </c>
      <c r="AI90" s="231" t="str">
        <f t="shared" si="16"/>
        <v>○</v>
      </c>
      <c r="AJ90" s="14" t="str">
        <f t="shared" si="17"/>
        <v/>
      </c>
      <c r="AK90" s="52">
        <v>75</v>
      </c>
    </row>
  </sheetData>
  <sheetProtection algorithmName="SHA-512" hashValue="t0gHXOFbJGY2iE2lD8gLE1woCYOBnR3aiiUSJ0j8QkTgvKLwJRWMMYXhKjgmMHDN7QN80rdiZAT1JXRdUDhY5Q==" saltValue="c//e8YJBFpOmcTTU1mSE8w==" spinCount="100000" sheet="1" insertRows="0"/>
  <mergeCells count="29">
    <mergeCell ref="AD7:AD13"/>
    <mergeCell ref="AE7:AG13"/>
    <mergeCell ref="B8:L8"/>
    <mergeCell ref="B9:C9"/>
    <mergeCell ref="H9:I9"/>
    <mergeCell ref="K9:L9"/>
    <mergeCell ref="B10:C10"/>
    <mergeCell ref="H10:I11"/>
    <mergeCell ref="K10:L11"/>
    <mergeCell ref="B11:C11"/>
    <mergeCell ref="B13:L13"/>
    <mergeCell ref="J10:J11"/>
    <mergeCell ref="F2:G2"/>
    <mergeCell ref="H2:L2"/>
    <mergeCell ref="B3:L6"/>
    <mergeCell ref="AD5:AD6"/>
    <mergeCell ref="AE5:AG6"/>
    <mergeCell ref="B14:D14"/>
    <mergeCell ref="E14:F14"/>
    <mergeCell ref="G14:J14"/>
    <mergeCell ref="K14:K15"/>
    <mergeCell ref="L14:L15"/>
    <mergeCell ref="AY18:BC18"/>
    <mergeCell ref="BD18:BH18"/>
    <mergeCell ref="BS18:BW20"/>
    <mergeCell ref="AY19:BC23"/>
    <mergeCell ref="BD19:BH23"/>
    <mergeCell ref="BQ19:BQ20"/>
    <mergeCell ref="BR19:BR20"/>
  </mergeCells>
  <phoneticPr fontId="1"/>
  <conditionalFormatting sqref="AY19">
    <cfRule type="containsText" dxfId="29" priority="12" operator="containsText" text="（補助対象員数）">
      <formula>NOT(ISERROR(SEARCH("（補助対象員数）",AY19)))</formula>
    </cfRule>
  </conditionalFormatting>
  <conditionalFormatting sqref="BD19:BG23">
    <cfRule type="containsText" dxfId="28" priority="9" operator="containsText" text="要修正">
      <formula>NOT(ISERROR(SEARCH("要修正",BD19)))</formula>
    </cfRule>
  </conditionalFormatting>
  <conditionalFormatting sqref="AY19:BC23">
    <cfRule type="containsText" dxfId="27" priority="8" operator="containsText" text="【未入力有】">
      <formula>NOT(ISERROR(SEARCH("【未入力有】",AY19)))</formula>
    </cfRule>
  </conditionalFormatting>
  <conditionalFormatting sqref="BP19:BQ20">
    <cfRule type="containsText" dxfId="26" priority="7" operator="containsText" text="×">
      <formula>NOT(ISERROR(SEARCH("×",BP19)))</formula>
    </cfRule>
  </conditionalFormatting>
  <conditionalFormatting sqref="BR19:BR20">
    <cfRule type="containsText" dxfId="25" priority="6" operator="containsText" text="要修正">
      <formula>NOT(ISERROR(SEARCH("要修正",BR19)))</formula>
    </cfRule>
  </conditionalFormatting>
  <conditionalFormatting sqref="AD7:AD13">
    <cfRule type="containsText" dxfId="24" priority="5" operator="containsText" text="×">
      <formula>NOT(ISERROR(SEARCH("×",AD7)))</formula>
    </cfRule>
  </conditionalFormatting>
  <conditionalFormatting sqref="AE7:AE13">
    <cfRule type="containsText" dxfId="23" priority="4" operator="containsText" text="要修正">
      <formula>NOT(ISERROR(SEARCH("要修正",AE7)))</formula>
    </cfRule>
  </conditionalFormatting>
  <conditionalFormatting sqref="AF16:AF90">
    <cfRule type="containsText" dxfId="22" priority="3" operator="containsText" text="【不備の点】">
      <formula>NOT(ISERROR(SEARCH("【不備の点】",AF16)))</formula>
    </cfRule>
  </conditionalFormatting>
  <conditionalFormatting sqref="AE16:AE90">
    <cfRule type="containsText" dxfId="21" priority="2" operator="containsText" text="【不備の点】">
      <formula>NOT(ISERROR(SEARCH("【不備の点】",AE16)))</formula>
    </cfRule>
  </conditionalFormatting>
  <conditionalFormatting sqref="AD16:AD90">
    <cfRule type="containsText" dxfId="20" priority="1" operator="containsText" text="×">
      <formula>NOT(ISERROR(SEARCH("×",AD16)))</formula>
    </cfRule>
  </conditionalFormatting>
  <dataValidations xWindow="413" yWindow="336" count="8">
    <dataValidation type="list" allowBlank="1" showInputMessage="1" showErrorMessage="1" promptTitle="装置、付属備品の別を選択" prompt="当該行に記載する品目が_x000a_・「装置」_x000a_・「付帯備品」（加温加湿器等）_x000a_の別をプルダウンから選択してください。" sqref="D16:D90">
      <formula1>"装置,付属備品"</formula1>
    </dataValidation>
    <dataValidation allowBlank="1" showInputMessage="1" showErrorMessage="1" promptTitle="規格及び数量の入力" prompt="補助対象経費を計上する際、いずれも入力してください。" sqref="E16:F90"/>
    <dataValidation allowBlank="1" showInputMessage="1" showErrorMessage="1" promptTitle="単価の入力" prompt="税抜額または税込額のいずれかを入力してください。_x000a_入力しない方は「0」は入力せず、空欄としてください。" sqref="G16:H90"/>
    <dataValidation allowBlank="1" showInputMessage="1" showErrorMessage="1" promptTitle="添付書類番号" prompt="種類、規格、数量、単価が全て適切に入力され、右の「判定」が「◎」と表示されると自動で番号が表示されます。" sqref="L16:L90"/>
    <dataValidation allowBlank="1" showInputMessage="1" showErrorMessage="1" promptTitle="金額の表示" prompt="数式が入力されているため、自動計算されます。" sqref="K16:K90 I16:I90"/>
    <dataValidation type="list" allowBlank="1" showInputMessage="1" showErrorMessage="1" promptTitle="補助対象の該当非該当" prompt="生体情報モニタの設備整備に係る経費が対象となります。_x000a_医療用消耗品等のランニングコストといった生体情報モニタ自体の整備と直接に関係しないものは補助対象外なので「対象外」を選択してください。_x000a_審査において確認、対象外と認めたものについては対象外として補正をお願いする場合があります。" sqref="J16:J90">
      <formula1>"補助対象,補助対象外"</formula1>
    </dataValidation>
    <dataValidation allowBlank="1" showInputMessage="1" showErrorMessage="1" promptTitle="補助対象金額" prompt="見積書金額×（見積書金額-割引額）/見積書金額_x000a_で算出されます。" sqref="K10:L11"/>
    <dataValidation allowBlank="1" showInputMessage="1" showErrorMessage="1" promptTitle="割引額がある場合は入力" prompt="割引がない場合は「0円」のままとしてください。" sqref="J10:J11"/>
  </dataValidations>
  <printOptions horizontalCentered="1"/>
  <pageMargins left="0.59055118110236227" right="0.39370078740157483" top="0.39370078740157483" bottom="0.39370078740157483" header="0.31496062992125984" footer="0.31496062992125984"/>
  <pageSetup paperSize="9" scale="53" fitToWidth="0" orientation="portrait" r:id="rId1"/>
  <drawing r:id="rId2"/>
  <legacyDrawing r:id="rId3"/>
  <extLst>
    <ext xmlns:x14="http://schemas.microsoft.com/office/spreadsheetml/2009/9/main" uri="{CCE6A557-97BC-4b89-ADB6-D9C93CAAB3DF}">
      <x14:dataValidations xmlns:xm="http://schemas.microsoft.com/office/excel/2006/main" xWindow="413" yWindow="336" count="2">
        <x14:dataValidation type="list" allowBlank="1" showInputMessage="1" showErrorMessage="1" promptTitle="配備する病床の「新設」「既設」の別を選択" prompt="ベッドに必ずしも紐付けるものではありませんが、１病床１台で紐付けした場合、配備する病床が_x000a_・令和３年度までにコロナ対応病床として指定済のものか_x000a_・令和４年度に指定を受けた・指定予定か_x000a_いずれかを選択してください。">
          <x14:formula1>
            <xm:f>はじめに入力してください!$AO$41:$AO$43</xm:f>
          </x14:formula1>
          <xm:sqref>B16:B90</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不足する病床に番号付けをした場合の番号を選択してください。_x000a_（例）_x000a_　既存の設備２台_x000a_　既設病床２床、新設病床３床の場合_x000a_→既存の設備２台は、既設病床１～２に配備_x000a_　３台申請する場合は「新設病床１」～「新設病床３」を選択して品目等必要情報を入力">
          <x14:formula1>
            <xm:f>OFFSET( はじめに入力してください!$AO$41, 0, MATCH(B16,はじめに入力してください!$AP$40:$AR$40,0), COUNTA(OFFSET(はじめに入力してください!$AO$41,0,MATCH(B16,はじめに入力してください!$AP$40:$AR$40,0),W16,1)),1)</xm:f>
          </x14:formula1>
          <xm:sqref>C16:C90</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BW50"/>
  <sheetViews>
    <sheetView showGridLines="0" view="pageBreakPreview" zoomScale="50" zoomScaleNormal="100" zoomScaleSheetLayoutView="50" workbookViewId="0">
      <pane xSplit="1" ySplit="15" topLeftCell="B16" activePane="bottomRight" state="frozen"/>
      <selection activeCell="N3" sqref="N3:Q3"/>
      <selection pane="topRight" activeCell="N3" sqref="N3:Q3"/>
      <selection pane="bottomLeft" activeCell="N3" sqref="N3:Q3"/>
      <selection pane="bottomRight" activeCell="AY18" sqref="AY18:BW23"/>
    </sheetView>
  </sheetViews>
  <sheetFormatPr defaultColWidth="9" defaultRowHeight="20.100000000000001" customHeight="1"/>
  <cols>
    <col min="1" max="1" width="5.625" style="38" customWidth="1"/>
    <col min="2" max="4" width="11.625" style="38" customWidth="1"/>
    <col min="5" max="5" width="26.5" style="39" customWidth="1"/>
    <col min="6" max="7" width="11.625" style="40" customWidth="1"/>
    <col min="8" max="9" width="12.625" style="40" customWidth="1"/>
    <col min="10" max="10" width="12.625" style="25" customWidth="1"/>
    <col min="11" max="12" width="12.625" style="40" customWidth="1"/>
    <col min="13" max="13" width="2.625" style="40" customWidth="1"/>
    <col min="14" max="15" width="30.625" style="41" customWidth="1"/>
    <col min="16" max="16" width="40.625" style="41" customWidth="1"/>
    <col min="17" max="18" width="30.625" style="41" hidden="1" customWidth="1"/>
    <col min="19" max="22" width="12.625" style="41" hidden="1" customWidth="1"/>
    <col min="23" max="23" width="0" style="200" hidden="1" customWidth="1"/>
    <col min="24" max="24" width="10.375" style="41" hidden="1" customWidth="1"/>
    <col min="25" max="25" width="0" style="41" hidden="1" customWidth="1"/>
    <col min="26" max="28" width="9" style="41"/>
    <col min="29" max="29" width="3.625" style="49" customWidth="1"/>
    <col min="30" max="30" width="9.75" style="41" bestFit="1" customWidth="1"/>
    <col min="31" max="31" width="85.625" style="201" customWidth="1"/>
    <col min="32" max="35" width="10.625" style="41" customWidth="1"/>
    <col min="36" max="36" width="60.625" style="41" customWidth="1"/>
    <col min="37" max="52" width="9" style="41"/>
    <col min="53" max="53" width="20.625" style="41" customWidth="1"/>
    <col min="54" max="55" width="9" style="41"/>
    <col min="56" max="56" width="35.625" style="41" customWidth="1"/>
    <col min="57" max="16384" width="9" style="41"/>
  </cols>
  <sheetData>
    <row r="1" spans="1:37" ht="9.9499999999999993" customHeight="1"/>
    <row r="2" spans="1:37" ht="30" customHeight="1">
      <c r="B2" s="199" t="s">
        <v>233</v>
      </c>
      <c r="C2" s="36"/>
      <c r="D2" s="36"/>
      <c r="F2" s="772" t="s">
        <v>208</v>
      </c>
      <c r="G2" s="773"/>
      <c r="H2" s="772" t="str">
        <f>表紙!L9&amp;IF(はじめに入力してください!L20="","","※"&amp;はじめに入力してください!AE20)</f>
        <v/>
      </c>
      <c r="I2" s="774"/>
      <c r="J2" s="774"/>
      <c r="K2" s="774"/>
      <c r="L2" s="773"/>
    </row>
    <row r="3" spans="1:37" ht="20.100000000000001" customHeight="1">
      <c r="B3" s="775" t="s">
        <v>581</v>
      </c>
      <c r="C3" s="755"/>
      <c r="D3" s="755"/>
      <c r="E3" s="755"/>
      <c r="F3" s="755"/>
      <c r="G3" s="755"/>
      <c r="H3" s="755"/>
      <c r="I3" s="755"/>
      <c r="J3" s="755"/>
      <c r="K3" s="755"/>
      <c r="L3" s="755"/>
      <c r="S3" s="55"/>
      <c r="T3" s="55"/>
      <c r="U3" s="55"/>
      <c r="V3" s="55"/>
    </row>
    <row r="4" spans="1:37" ht="20.100000000000001" customHeight="1">
      <c r="B4" s="755"/>
      <c r="C4" s="755"/>
      <c r="D4" s="755"/>
      <c r="E4" s="755"/>
      <c r="F4" s="755"/>
      <c r="G4" s="755"/>
      <c r="H4" s="755"/>
      <c r="I4" s="755"/>
      <c r="J4" s="755"/>
      <c r="K4" s="755"/>
      <c r="L4" s="755"/>
      <c r="S4" s="55"/>
      <c r="T4" s="55"/>
      <c r="U4" s="55"/>
      <c r="V4" s="55"/>
    </row>
    <row r="5" spans="1:37" ht="20.100000000000001" customHeight="1">
      <c r="B5" s="755"/>
      <c r="C5" s="755"/>
      <c r="D5" s="755"/>
      <c r="E5" s="755"/>
      <c r="F5" s="755"/>
      <c r="G5" s="755"/>
      <c r="H5" s="755"/>
      <c r="I5" s="755"/>
      <c r="J5" s="755"/>
      <c r="K5" s="755"/>
      <c r="L5" s="755"/>
      <c r="S5" s="55"/>
      <c r="T5" s="55"/>
      <c r="U5" s="55"/>
      <c r="V5" s="55"/>
      <c r="AD5" s="776" t="s">
        <v>122</v>
      </c>
      <c r="AE5" s="735" t="s">
        <v>121</v>
      </c>
      <c r="AF5" s="736"/>
      <c r="AG5" s="737"/>
    </row>
    <row r="6" spans="1:37" ht="20.100000000000001" customHeight="1">
      <c r="B6" s="755"/>
      <c r="C6" s="755"/>
      <c r="D6" s="755"/>
      <c r="E6" s="755"/>
      <c r="F6" s="755"/>
      <c r="G6" s="755"/>
      <c r="H6" s="755"/>
      <c r="I6" s="755"/>
      <c r="J6" s="755"/>
      <c r="K6" s="755"/>
      <c r="L6" s="755"/>
      <c r="S6" s="55"/>
      <c r="T6" s="55"/>
      <c r="U6" s="55"/>
      <c r="V6" s="55"/>
      <c r="AD6" s="777"/>
      <c r="AE6" s="738"/>
      <c r="AF6" s="739"/>
      <c r="AG6" s="740"/>
    </row>
    <row r="7" spans="1:37" ht="9.9499999999999993" customHeight="1">
      <c r="B7" s="56"/>
      <c r="C7" s="56"/>
      <c r="D7" s="56"/>
      <c r="E7" s="57"/>
      <c r="F7" s="58"/>
      <c r="G7" s="41"/>
      <c r="H7" s="41"/>
      <c r="I7" s="41"/>
      <c r="J7" s="200"/>
      <c r="K7" s="41"/>
      <c r="L7" s="41"/>
      <c r="S7" s="55"/>
      <c r="T7" s="55"/>
      <c r="U7" s="55"/>
      <c r="V7" s="55"/>
      <c r="AD7" s="768" t="str">
        <f xml:space="preserve">
IF(AND(COUNTA(D9)=0,COUNTIF(AD16:AD50,"○")=35),"○",
IF(AND(COUNTA(D9)=0,COUNTIF(AD16:AD50,"×")&gt;=1),"×",
IF(AND(COUNTA(D9)=0,COUNTIF(AD16:AD50,"×")=0,COUNTIF(AD16:AD50,"◎")&gt;=1),"×",
IF(AND(COUNTA(D9)=1,COUNTIF(AD16:AD50,"○")=35),"×",
IF(AND(COUNTA(D9)=1,COUNTIF(AD16:AD50,"×")&gt;=1),"×",
IF(AND(COUNTA(D9)=1,COUNTIF(AD16:AD50,"×")=0,COUNTIF(AD16:AD50,"◎")&gt;=1),"◎"))))))</f>
        <v>○</v>
      </c>
      <c r="AE7" s="741" t="str">
        <f xml:space="preserve">
IF(COUNTA(D9)=0,"【１．配備計画】既存配備の分娩監視装置台数が未入力です。"&amp;CHAR(10)&amp;CHAR(10),
IF(COUNTA(D9)=1,"【１．配備計画】適切に入力がされました。 "&amp;CHAR(10)&amp;CHAR(10)))
&amp;
IF(AD7="◎","【装置情報】適切に入力がされました。",
IF(AD7="○","",
IF(AD7="×","【２．装置情報】【要修正】以下の点につき御確認ください。"&amp;CHAR(10)&amp;AJ16&amp;AJ17&amp;AJ18&amp;AJ19&amp;AJ20&amp;AJ21&amp;AJ22&amp;AJ23&amp;AJ24&amp;AJ25&amp;AJ26&amp;AJ27&amp;AJ28&amp;AJ29&amp;AJ30&amp;AJ31&amp;AJ32&amp;AJ33&amp;AJ34&amp;AJ35&amp;AJ36&amp;AJ37&amp;AJ38&amp;AJ39&amp;AJ40&amp;AJ41&amp;AJ42&amp;AJ43&amp;AJ44&amp;AJ45&amp;AJ46&amp;AJ47&amp;AJ48&amp;AJ49&amp;AJ50
)))</f>
        <v xml:space="preserve">【１．配備計画】既存配備の分娩監視装置台数が未入力です。
</v>
      </c>
      <c r="AF7" s="736"/>
      <c r="AG7" s="737"/>
    </row>
    <row r="8" spans="1:37" ht="20.100000000000001" customHeight="1">
      <c r="B8" s="754" t="s">
        <v>221</v>
      </c>
      <c r="C8" s="755"/>
      <c r="D8" s="755"/>
      <c r="E8" s="755"/>
      <c r="F8" s="755"/>
      <c r="G8" s="755"/>
      <c r="H8" s="755"/>
      <c r="I8" s="755"/>
      <c r="J8" s="755"/>
      <c r="K8" s="755"/>
      <c r="L8" s="755"/>
      <c r="S8" s="55"/>
      <c r="T8" s="55"/>
      <c r="U8" s="55"/>
      <c r="V8" s="55"/>
      <c r="AD8" s="778"/>
      <c r="AE8" s="742"/>
      <c r="AF8" s="743"/>
      <c r="AG8" s="744"/>
    </row>
    <row r="9" spans="1:37" ht="20.100000000000001" customHeight="1">
      <c r="B9" s="748" t="s">
        <v>220</v>
      </c>
      <c r="C9" s="749"/>
      <c r="D9" s="318"/>
      <c r="E9" s="232" t="s">
        <v>209</v>
      </c>
      <c r="F9" s="202">
        <f>はじめに入力してください!K12</f>
        <v>0</v>
      </c>
      <c r="H9" s="709" t="s">
        <v>613</v>
      </c>
      <c r="I9" s="710"/>
      <c r="J9" s="50" t="s">
        <v>614</v>
      </c>
      <c r="K9" s="781" t="s">
        <v>212</v>
      </c>
      <c r="L9" s="782"/>
      <c r="S9" s="55"/>
      <c r="T9" s="55"/>
      <c r="U9" s="55"/>
      <c r="V9" s="55"/>
      <c r="AD9" s="779"/>
      <c r="AE9" s="745"/>
      <c r="AF9" s="743"/>
      <c r="AG9" s="744"/>
      <c r="AJ9" s="203"/>
    </row>
    <row r="10" spans="1:37" ht="20.100000000000001" customHeight="1" thickBot="1">
      <c r="B10" s="750" t="s">
        <v>219</v>
      </c>
      <c r="C10" s="751"/>
      <c r="D10" s="204">
        <f>COUNTIF(D16:D50,"装置")</f>
        <v>0</v>
      </c>
      <c r="E10" s="235" t="s">
        <v>210</v>
      </c>
      <c r="F10" s="207">
        <f>はじめに入力してください!K13</f>
        <v>0</v>
      </c>
      <c r="H10" s="756">
        <f>SUM(I16:I50)</f>
        <v>0</v>
      </c>
      <c r="I10" s="757"/>
      <c r="J10" s="716">
        <v>0</v>
      </c>
      <c r="K10" s="711">
        <f>IFERROR(ROUNDUP(SUM(K16:K50)*(H10-J10)/H10,0),0)</f>
        <v>0</v>
      </c>
      <c r="L10" s="712"/>
      <c r="S10" s="55"/>
      <c r="T10" s="55"/>
      <c r="U10" s="55"/>
      <c r="V10" s="55"/>
      <c r="AD10" s="779"/>
      <c r="AE10" s="745"/>
      <c r="AF10" s="743"/>
      <c r="AG10" s="744"/>
    </row>
    <row r="11" spans="1:37" ht="20.100000000000001" customHeight="1" thickTop="1">
      <c r="B11" s="752" t="s">
        <v>218</v>
      </c>
      <c r="C11" s="753"/>
      <c r="D11" s="205">
        <f>SUM(D9:D10)</f>
        <v>0</v>
      </c>
      <c r="E11" s="236" t="s">
        <v>211</v>
      </c>
      <c r="F11" s="208">
        <f>はじめに入力してください!M13</f>
        <v>0</v>
      </c>
      <c r="H11" s="757"/>
      <c r="I11" s="757"/>
      <c r="J11" s="717"/>
      <c r="K11" s="712"/>
      <c r="L11" s="712"/>
      <c r="S11" s="55"/>
      <c r="T11" s="55"/>
      <c r="U11" s="55"/>
      <c r="V11" s="55"/>
      <c r="AD11" s="779"/>
      <c r="AE11" s="745"/>
      <c r="AF11" s="743"/>
      <c r="AG11" s="744"/>
    </row>
    <row r="12" spans="1:37" ht="9.9499999999999993" customHeight="1">
      <c r="B12" s="56"/>
      <c r="C12" s="56"/>
      <c r="D12" s="56"/>
      <c r="E12" s="57"/>
      <c r="F12" s="58"/>
      <c r="G12" s="41"/>
      <c r="H12" s="41"/>
      <c r="I12" s="41"/>
      <c r="J12" s="200"/>
      <c r="K12" s="41"/>
      <c r="L12" s="41"/>
      <c r="S12" s="55"/>
      <c r="T12" s="55"/>
      <c r="U12" s="55"/>
      <c r="V12" s="55"/>
      <c r="AD12" s="779"/>
      <c r="AE12" s="746"/>
      <c r="AF12" s="743"/>
      <c r="AG12" s="744"/>
    </row>
    <row r="13" spans="1:37" ht="80.099999999999994" customHeight="1">
      <c r="B13" s="758" t="str">
        <f>人工呼吸器明細!B13</f>
        <v>２．装置情報（右端に表示の番号を、見積書あるいは納品書の内訳中、該当の部分に記入し記載の箇所を明示してください。）
　見積書等に記載の内訳は補助対象、対象外にかかわらず全て入力し、右上（実支出予定額）と見積金額とが一致するようにしてください。
　補助対象はコロナ病床施設の整備に限られるため医療用消耗品等は補助対象外です。
　記載いただいた補助対象外経費は「補助対象区分」欄で「対象外」を選択してください。（補助対象金額の算定から自動計算で除外されます。）</v>
      </c>
      <c r="C13" s="759"/>
      <c r="D13" s="759"/>
      <c r="E13" s="759"/>
      <c r="F13" s="759"/>
      <c r="G13" s="759"/>
      <c r="H13" s="759"/>
      <c r="I13" s="759"/>
      <c r="J13" s="759"/>
      <c r="K13" s="759"/>
      <c r="L13" s="759"/>
      <c r="S13" s="55"/>
      <c r="T13" s="55"/>
      <c r="U13" s="55"/>
      <c r="V13" s="55"/>
      <c r="AD13" s="780"/>
      <c r="AE13" s="747"/>
      <c r="AF13" s="739"/>
      <c r="AG13" s="740"/>
    </row>
    <row r="14" spans="1:37" ht="24.95" customHeight="1">
      <c r="B14" s="720" t="s">
        <v>206</v>
      </c>
      <c r="C14" s="721"/>
      <c r="D14" s="722"/>
      <c r="E14" s="720" t="s">
        <v>204</v>
      </c>
      <c r="F14" s="722"/>
      <c r="G14" s="723" t="s">
        <v>207</v>
      </c>
      <c r="H14" s="721"/>
      <c r="I14" s="721"/>
      <c r="J14" s="722"/>
      <c r="K14" s="724" t="s">
        <v>202</v>
      </c>
      <c r="L14" s="724" t="s">
        <v>213</v>
      </c>
      <c r="S14" s="55"/>
      <c r="T14" s="55"/>
      <c r="U14" s="55"/>
      <c r="V14" s="55"/>
    </row>
    <row r="15" spans="1:37" ht="24.95" customHeight="1">
      <c r="B15" s="42" t="s">
        <v>191</v>
      </c>
      <c r="C15" s="42" t="s">
        <v>199</v>
      </c>
      <c r="D15" s="42" t="s">
        <v>200</v>
      </c>
      <c r="E15" s="42" t="s">
        <v>55</v>
      </c>
      <c r="F15" s="42" t="s">
        <v>22</v>
      </c>
      <c r="G15" s="42" t="s">
        <v>71</v>
      </c>
      <c r="H15" s="42" t="s">
        <v>72</v>
      </c>
      <c r="I15" s="42" t="s">
        <v>73</v>
      </c>
      <c r="J15" s="42" t="s">
        <v>201</v>
      </c>
      <c r="K15" s="725"/>
      <c r="L15" s="725"/>
      <c r="AD15" s="62" t="s">
        <v>64</v>
      </c>
      <c r="AE15" s="206" t="s">
        <v>74</v>
      </c>
      <c r="AF15" s="63" t="s">
        <v>203</v>
      </c>
      <c r="AG15" s="234" t="s">
        <v>205</v>
      </c>
      <c r="AH15" s="234" t="s">
        <v>91</v>
      </c>
      <c r="AI15" s="231" t="s">
        <v>635</v>
      </c>
      <c r="AJ15" s="52" t="s">
        <v>121</v>
      </c>
      <c r="AK15" s="52" t="str">
        <f>AJ16&amp;AJ17&amp;AJ18&amp;AJ19&amp;AJ20&amp;AJ21&amp;AJ22&amp;AJ23&amp;AJ24&amp;AJ25&amp;AJ26&amp;AJ27&amp;AJ28&amp;AJ29&amp;AJ30&amp;AJ31&amp;AJ32&amp;AJ33&amp;AJ34&amp;AJ35&amp;AJ36&amp;AJ37&amp;AJ38&amp;AJ39&amp;AJ40&amp;AJ41&amp;AJ42&amp;AJ43&amp;AJ44&amp;AJ45&amp;AJ46&amp;AJ47&amp;AJ48&amp;AJ49&amp;AJ50</f>
        <v/>
      </c>
    </row>
    <row r="16" spans="1:37" ht="24.95" customHeight="1">
      <c r="A16" s="38">
        <v>1</v>
      </c>
      <c r="B16" s="313"/>
      <c r="C16" s="313"/>
      <c r="D16" s="313"/>
      <c r="E16" s="314"/>
      <c r="F16" s="315"/>
      <c r="G16" s="316"/>
      <c r="H16" s="316"/>
      <c r="I16" s="45">
        <f>IF(G16="",H16*F16,ROUNDDOWN(F16*G16*1.1,0))</f>
        <v>0</v>
      </c>
      <c r="J16" s="317"/>
      <c r="K16" s="45">
        <f>IF(J16="補助対象",I16,IF(J16="補助対象外",0,0))</f>
        <v>0</v>
      </c>
      <c r="L16" s="44" t="str">
        <f>IF(AD16="◎",COUNTIF($AD$16:AD16,"◎"),"")</f>
        <v/>
      </c>
      <c r="W16" s="234" t="str">
        <f>IF(B16="既設病床",はじめに入力してください!$K$12,IF(B16="新設病床",はじめに入力してください!$K$13,IF(B16="共通使用",1,"")))</f>
        <v/>
      </c>
      <c r="AC16" s="49" t="s">
        <v>69</v>
      </c>
      <c r="AD16" s="231" t="str">
        <f xml:space="preserve">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f>
        <v>○</v>
      </c>
      <c r="AE16" s="35" t="str">
        <f xml:space="preserve">
IF(AND(AF16="○",AG16="○",AH16="○",AI16="○"),"申請しない場合は入力不要です。",
IF(AND(AF16="○",AG16="○",AH16="○",AI16="◎"),"【要修正】【整備先・内容】未入力、【規格・数量】未入力、【単価】未入力"&amp;CHAR(10),
IF(AND(AF16="○",AG16="○",AH16="×",AI16="○"),"【要修正】【整備先・内容】未入力、【規格・数量】未入力、【単価】入力不十分、【補助対象区分】未入力"&amp;CHAR(10),
IF(AND(AF16="○",AG16="○",AH16="×",AI16="◎"),"【要修正】【整備先・内容】未入力、【規格・数量】未入力、【単価】入力不十分"&amp;CHAR(10),
IF(AND(AF16="○",AG16="○",AH16="◎",AI16="○"),"【要修正】【整備先・内容】未入力、【規格・数量】未入力、【補助対象区分】未入力"&amp;CHAR(10),
IF(AND(AF16="○",AG16="○",AH16="◎",AI16="◎"),"【要修正】【整備先・内容】未入力、【規格・数量】未入力"&amp;CHAR(10),
IF(AND(AF16="○",AG16="×",AH16="○",AI16="○"),"【要修正】【整備先・内容】未入力、【規格・数量】入力不十分、【単価】未入力、【補助対象区分】未入力"&amp;CHAR(10),
IF(AND(AF16="○",AG16="×",AH16="○",AI16="◎"),"【要修正】【整備先・内容】未入力、【規格・数量】入力不十分、【単価】未入力"&amp;CHAR(10),
IF(AND(AF16="○",AG16="×",AH16="×",AI16="○"),"【要修正】【整備先・内容】未入力、【規格・数量】入力不十分、【単価】入力不十分、【補助対象区分】未入力"&amp;CHAR(10),
IF(AND(AF16="○",AG16="×",AH16="×",AI16="◎"),"【要修正】【整備先・内容】未入力、【規格・数量】入力不十分、【単価】入力不十分"&amp;CHAR(10),
IF(AND(AF16="○",AG16="×",AH16="◎",AI16="○"),"【要修正】【整備先・内容】未入力、【規格・数量】入力不十分、【補助対象区分】未入力"&amp;CHAR(10),
IF(AND(AF16="○",AG16="×",AH16="◎",AI16="◎"),"【要修正】【整備先・内容】未入力、【規格・数量】入力不十分"&amp;CHAR(10),
IF(AND(AF16="○",AG16="◎",AH16="○",AI16="○"),"【要修正】【整備先・内容】未入力、【単価】未入力、【補助対象区分】未入力"&amp;CHAR(10),
IF(AND(AF16="○",AG16="◎",AH16="○",AI16="◎"),"【要修正】【整備先・内容】未入力、【単価】未入力"&amp;CHAR(10),
IF(AND(AF16="○",AG16="◎",AH16="×",AI16="○"),"【要修正】【整備先・内容】未入力、【単価】入力不十分、【補助対象区分】未入力"&amp;CHAR(10),
IF(AND(AF16="○",AG16="◎",AH16="×",AI16="◎"),"【要修正】【整備先・内容】未入力、【単価】入力不十分"&amp;CHAR(10),
IF(AND(AF16="○",AG16="◎",AH16="◎",AI16="○"),"【要修正】【整備先・内容】未入力、【補助対象区分】未入力"&amp;CHAR(10),
IF(AND(AF16="○",AG16="◎",AH16="◎",AI16="◎"),"【要修正】【整備先・内容】未入力"&amp;CHAR(10),
IF(AND(AF16="×",AG16="○",AH16="○",AI16="○"),"【要修正】【整備先・内容】入力不十分、【規格・数量】未入力、【単価】未入力、【補助対象区分】未入力"&amp;CHAR(10),
IF(AND(AF16="×",AG16="○",AH16="○",AI16="◎"),"【要修正】【整備先・内容】入力不十分、【規格・数量】未入力、【単価】未入力"&amp;CHAR(10),
IF(AND(AF16="×",AG16="○",AH16="×",AI16="○"),"【要修正】【整備先・内容】入力不十分、【規格・数量】未入力、【単価】入力不十分、【補助対象区分】未入力"&amp;CHAR(10),
IF(AND(AF16="×",AG16="○",AH16="×",AI16="◎"),"【要修正】【整備先・内容】入力不十分、【規格・数量】未入力、【単価】入力不十分"&amp;CHAR(10),
IF(AND(AF16="×",AG16="○",AH16="◎",AI16="○"),"【要修正】【整備先・内容】入力不十分、【規格・数量】未入力、【補助対象区分】未入力"&amp;CHAR(10),
IF(AND(AF16="×",AG16="○",AH16="◎",AI16="◎"),"【要修正】【整備先・内容】入力不十分、【規格・数量】未入力"&amp;CHAR(10),
IF(AND(AF16="×",AG16="×",AH16="○",AI16="○"),"【要修正】【整備先・内容】入力不十分、【規格・数量】入力不十分、【単価】未入力、【補助対象区分】未入力"&amp;CHAR(10),
IF(AND(AF16="×",AG16="×",AH16="○",AI16="◎"),"【要修正】【整備先・内容】入力不十分、【規格・数量】入力不十分、【単価】未入力"&amp;CHAR(10),
IF(AND(AF16="×",AG16="×",AH16="×",AI16="○"),"【要修正】【整備先・内容】入力不十分、【規格・数量】入力不十分、【単価】入力不十分、【補助対象区分】未入力"&amp;CHAR(10),
IF(AND(AF16="×",AG16="×",AH16="×",AI16="◎"),"【要修正】【整備先・内容】入力不十分、【規格・数量】入力不十分、【単価】入力不十分"&amp;CHAR(10),
IF(AND(AF16="×",AG16="×",AH16="◎",AI16="○"),"【要修正】【整備先・内容】入力不十分、【規格・数量】入力不十分、【補助対象区分】未入力"&amp;CHAR(10),
IF(AND(AF16="×",AG16="×",AH16="◎",AI16="◎"),"【要修正】【整備先・内容】入力不十分、【規格・数量】入力不十分"&amp;CHAR(10),
IF(AND(AF16="×",AG16="◎",AH16="○",AI16="○"),"【要修正】【整備先・内容】入力不十分、【単価】未入力、【補助対象区分】未入力"&amp;CHAR(10),
IF(AND(AF16="×",AG16="◎",AH16="○",AI16="◎"),"【要修正】【整備先・内容】入力不十分、【単価】未入力"&amp;CHAR(10),
IF(AND(AF16="×",AG16="◎",AH16="×",AI16="○"),"【要修正】【整備先・内容】入力不十分、【単価】入力不十分、【補助対象区分】未入力"&amp;CHAR(10),
IF(AND(AF16="×",AG16="◎",AH16="×",AI16="◎"),"【要修正】【整備先・内容】入力不十分、【単価】入力不十分"&amp;CHAR(10),
IF(AND(AF16="×",AG16="◎",AH16="◎",AI16="○"),"【要修正】【整備先・内容】入力不十分、【補助対象区分】未入力"&amp;CHAR(10),
IF(AND(AF16="×",AG16="◎",AH16="◎",AI16="◎"),"【要修正】【整備先・内容】入力不十分"&amp;CHAR(10),
IF(AND(AF16="◎",AG16="○",AH16="○",AI16="○"),"【要修正】【規格・数量】未入力、【単価】未入力、【補助対象区分】未入力"&amp;CHAR(10),
IF(AND(AF16="◎",AG16="○",AH16="○",AI16="◎"),"【要修正】【規格・数量】未入力、【単価】未入力"&amp;CHAR(10),
IF(AND(AF16="◎",AG16="○",AH16="×",AI16="○"),"【要修正】【規格・数量】未入力、【単価】入力不十分、【補助対象区分】未入力"&amp;CHAR(10),
IF(AND(AF16="◎",AG16="○",AH16="×",AI16="◎"),"【要修正】【規格・数量】未入力、【単価】入力不十分"&amp;CHAR(10),
IF(AND(AF16="◎",AG16="○",AH16="◎",AI16="○"),"【要修正】【規格・数量】未入力、【補助対象区分】未入力"&amp;CHAR(10),
IF(AND(AF16="◎",AG16="○",AH16="◎",AI16="◎"),"【要修正】【規格・数量】未入力"&amp;CHAR(10),
IF(AND(AF16="◎",AG16="×",AH16="○",AI16="○"),"【要修正】【規格・数量】入力不十分、【単価】未入力、【補助対象区分】未入力"&amp;CHAR(10),
IF(AND(AF16="◎",AG16="×",AH16="○",AI16="◎"),"【要修正】【規格・数量】入力不十分、【単価】未入力"&amp;CHAR(10),
IF(AND(AF16="◎",AG16="×",AH16="×",AI16="○"),"【要修正】【規格・数量】入力不十分、【単価】入力不十分、【補助対象区分】未入力"&amp;CHAR(10),
IF(AND(AF16="◎",AG16="×",AH16="×",AI16="◎"),"【要修正】【規格・数量】入力不十分、【単価】入力不十分"&amp;CHAR(10),
IF(AND(AF16="◎",AG16="×",AH16="◎",AI16="○"),"【要修正】【規格・数量】入力不十分、【補助対象区分】未入力"&amp;CHAR(10),
IF(AND(AF16="◎",AG16="×",AH16="◎",AI16="◎"),"【要修正】【規格・数量】入力不十分"&amp;CHAR(10),
IF(AND(AF16="◎",AG16="◎",AH16="○",AI16="○"),"【要修正】【単価】未入力、【補助対象区分】未入力"&amp;CHAR(10),
IF(AND(AF16="◎",AG16="◎",AH16="○",AI16="◎"),"【要修正】【単価】未入力"&amp;CHAR(10),
IF(AND(AF16="◎",AG16="◎",AH16="×",AI16="○"),"【要修正】【単価】入力不十分、【補助対象区分】未入力"&amp;CHAR(10),
IF(AND(AF16="◎",AG16="◎",AH16="×",AI16="◎"),"【要修正】【単価】入力不十分"&amp;CHAR(10),
IF(AND(AF16="◎",AG16="◎",AH16="◎",AI16="○"),"【要修正】【補助対象区分】未入力"&amp;CHAR(10),
IF(AND(AF16="◎",AG16="◎",AH16="◎",AI16="◎"),"適切に入力がされました。",
))))))))))))))))))))))))))))))))))))))))))))))))))))))</f>
        <v>申請しない場合は入力不要です。</v>
      </c>
      <c r="AF16" s="234" t="str">
        <f>IF(COUNTA(B16:D16)=0,"○",IF(AND(COUNTA(B16:D16)&gt;=1,COUNTA(B16:D16)&lt;3),"×",IF(COUNTA(B16:D16)=3,"◎")))</f>
        <v>○</v>
      </c>
      <c r="AG16" s="234" t="str">
        <f>IF(COUNTA(E16,F16,J16)=0,"○",IF(AND(COUNTA(E16,F16,J16)&gt;=1,COUNTA(E16,F16,J16)&lt;3),"×",IF(COUNTA(E16,F16,J16)=3,"◎")))</f>
        <v>○</v>
      </c>
      <c r="AH16" s="234" t="str">
        <f>IF(COUNTA(G16:H16)=0,"○",IF(COUNTA(G16:H16)=1,"◎",IF(COUNTA(G16:H16)=2,"×")))</f>
        <v>○</v>
      </c>
      <c r="AI16" s="231" t="str">
        <f>IF(COUNTA(J16)=0,"○",IF(COUNTA(J16)=1,"◎"))</f>
        <v>○</v>
      </c>
      <c r="AJ16" s="14" t="str">
        <f xml:space="preserve">
IF(AND(AF16="○",AG16="○",AH16="○",AI16="○"),"",
IF(AND(AF16="○",AG16="○",AH16="○",AI16="◎"),"【"&amp;AK16&amp;"行目】【整備先・内容】未入力、【規格・数量】未入力、【単価】未入力"&amp;CHAR(10),
IF(AND(AF16="○",AG16="○",AH16="×",AI16="○"),"【"&amp;AK16&amp;"行目】【整備先・内容】未入力、【規格・数量】未入力、【単価】入力不十分、【補助対象区分】未入力"&amp;CHAR(10),
IF(AND(AF16="○",AG16="○",AH16="×",AI16="◎"),"【"&amp;AK16&amp;"行目】【整備先・内容】未入力、【規格・数量】未入力、【単価】入力不十分"&amp;CHAR(10),
IF(AND(AF16="○",AG16="○",AH16="◎",AI16="○"),"【"&amp;AK16&amp;"行目】【整備先・内容】未入力、【規格・数量】未入力、【補助対象区分】未入力"&amp;CHAR(10),
IF(AND(AF16="○",AG16="○",AH16="◎",AI16="◎"),"【"&amp;AK16&amp;"行目】【整備先・内容】未入力、【規格・数量】未入力"&amp;CHAR(10),
IF(AND(AF16="○",AG16="×",AH16="○",AI16="○"),"【"&amp;AK16&amp;"行目】【整備先・内容】未入力、【規格・数量】入力不十分、【単価】未入力、【補助対象区分】未入力"&amp;CHAR(10),
IF(AND(AF16="○",AG16="×",AH16="○",AI16="◎"),"【"&amp;AK16&amp;"行目】【整備先・内容】未入力、【規格・数量】入力不十分、【単価】未入力"&amp;CHAR(10),
IF(AND(AF16="○",AG16="×",AH16="×",AI16="○"),"【"&amp;AK16&amp;"行目】【整備先・内容】未入力、【規格・数量】入力不十分、【単価】入力不十分、【補助対象区分】未入力"&amp;CHAR(10),
IF(AND(AF16="○",AG16="×",AH16="×",AI16="◎"),"【"&amp;AK16&amp;"行目】【整備先・内容】未入力、【規格・数量】入力不十分、【単価】入力不十分"&amp;CHAR(10),
IF(AND(AF16="○",AG16="×",AH16="◎",AI16="○"),"【"&amp;AK16&amp;"行目】【整備先・内容】未入力、【規格・数量】入力不十分、【補助対象区分】未入力"&amp;CHAR(10),
IF(AND(AF16="○",AG16="×",AH16="◎",AI16="◎"),"【"&amp;AK16&amp;"行目】【整備先・内容】未入力、【規格・数量】入力不十分"&amp;CHAR(10),
IF(AND(AF16="○",AG16="◎",AH16="○",AI16="○"),"【"&amp;AK16&amp;"行目】【整備先・内容】未入力、【単価】未入力、【補助対象区分】未入力"&amp;CHAR(10),
IF(AND(AF16="○",AG16="◎",AH16="○",AI16="◎"),"【"&amp;AK16&amp;"行目】【整備先・内容】未入力、【単価】未入力"&amp;CHAR(10),
IF(AND(AF16="○",AG16="◎",AH16="×",AI16="○"),"【"&amp;AK16&amp;"行目】【整備先・内容】未入力、【単価】入力不十分、【補助対象区分】未入力"&amp;CHAR(10),
IF(AND(AF16="○",AG16="◎",AH16="×",AI16="◎"),"【"&amp;AK16&amp;"行目】【整備先・内容】未入力、【単価】入力不十分"&amp;CHAR(10),
IF(AND(AF16="○",AG16="◎",AH16="◎",AI16="○"),"【"&amp;AK16&amp;"行目】【整備先・内容】未入力、【補助対象区分】未入力"&amp;CHAR(10),
IF(AND(AF16="○",AG16="◎",AH16="◎",AI16="◎"),"【"&amp;AK16&amp;"行目】【整備先・内容】未入力"&amp;CHAR(10),
IF(AND(AF16="×",AG16="○",AH16="○",AI16="○"),"【"&amp;AK16&amp;"行目】【整備先・内容】入力不十分、【規格・数量】未入力、【単価】未入力、【補助対象区分】未入力"&amp;CHAR(10),
IF(AND(AF16="×",AG16="○",AH16="○",AI16="◎"),"【"&amp;AK16&amp;"行目】【整備先・内容】入力不十分、【規格・数量】未入力、【単価】未入力"&amp;CHAR(10),
IF(AND(AF16="×",AG16="○",AH16="×",AI16="○"),"【"&amp;AK16&amp;"行目】【整備先・内容】入力不十分、【規格・数量】未入力、【単価】入力不十分、【補助対象区分】未入力"&amp;CHAR(10),
IF(AND(AF16="×",AG16="○",AH16="×",AI16="◎"),"【"&amp;AK16&amp;"行目】【整備先・内容】入力不十分、【規格・数量】未入力、【単価】入力不十分"&amp;CHAR(10),
IF(AND(AF16="×",AG16="○",AH16="◎",AI16="○"),"【"&amp;AK16&amp;"行目】【整備先・内容】入力不十分、【規格・数量】未入力、【補助対象区分】未入力"&amp;CHAR(10),
IF(AND(AF16="×",AG16="○",AH16="◎",AI16="◎"),"【"&amp;AK16&amp;"行目】【整備先・内容】入力不十分、【規格・数量】未入力"&amp;CHAR(10),
IF(AND(AF16="×",AG16="×",AH16="○",AI16="○"),"【"&amp;AK16&amp;"行目】【整備先・内容】入力不十分、【規格・数量】入力不十分、【単価】未入力、【補助対象区分】未入力"&amp;CHAR(10),
IF(AND(AF16="×",AG16="×",AH16="○",AI16="◎"),"【"&amp;AK16&amp;"行目】【整備先・内容】入力不十分、【規格・数量】入力不十分、【単価】未入力"&amp;CHAR(10),
IF(AND(AF16="×",AG16="×",AH16="×",AI16="○"),"【"&amp;AK16&amp;"行目】【整備先・内容】入力不十分、【規格・数量】入力不十分、【単価】入力不十分、【補助対象区分】未入力"&amp;CHAR(10),
IF(AND(AF16="×",AG16="×",AH16="×",AI16="◎"),"【"&amp;AK16&amp;"行目】【整備先・内容】入力不十分、【規格・数量】入力不十分、【単価】入力不十分"&amp;CHAR(10),
IF(AND(AF16="×",AG16="×",AH16="◎",AI16="○"),"【"&amp;AK16&amp;"行目】【整備先・内容】入力不十分、【規格・数量】入力不十分、【補助対象区分】未入力"&amp;CHAR(10),
IF(AND(AF16="×",AG16="×",AH16="◎",AI16="◎"),"【"&amp;AK16&amp;"行目】【整備先・内容】入力不十分、【規格・数量】入力不十分"&amp;CHAR(10),
IF(AND(AF16="×",AG16="◎",AH16="○",AI16="○"),"【"&amp;AK16&amp;"行目】【整備先・内容】入力不十分、【単価】未入力、【補助対象区分】未入力"&amp;CHAR(10),
IF(AND(AF16="×",AG16="◎",AH16="○",AI16="◎"),"【"&amp;AK16&amp;"行目】【整備先・内容】入力不十分、【単価】未入力"&amp;CHAR(10),
IF(AND(AF16="×",AG16="◎",AH16="×",AI16="○"),"【"&amp;AK16&amp;"行目】【整備先・内容】入力不十分、【単価】入力不十分、【補助対象区分】未入力"&amp;CHAR(10),
IF(AND(AF16="×",AG16="◎",AH16="×",AI16="◎"),"【"&amp;AK16&amp;"行目】【整備先・内容】入力不十分、【単価】入力不十分"&amp;CHAR(10),
IF(AND(AF16="×",AG16="◎",AH16="◎",AI16="○"),"【"&amp;AK16&amp;"行目】【整備先・内容】入力不十分、【補助対象区分】未入力"&amp;CHAR(10),
IF(AND(AF16="×",AG16="◎",AH16="◎",AI16="◎"),"【"&amp;AK16&amp;"行目】【整備先・内容】入力不十分"&amp;CHAR(10),
IF(AND(AF16="◎",AG16="○",AH16="○",AI16="○"),"【"&amp;AK16&amp;"行目】【規格・数量】未入力、【単価】未入力、【補助対象区分】未入力"&amp;CHAR(10),
IF(AND(AF16="◎",AG16="○",AH16="○",AI16="◎"),"【"&amp;AK16&amp;"行目】【規格・数量】未入力、【単価】未入力"&amp;CHAR(10),
IF(AND(AF16="◎",AG16="○",AH16="×",AI16="○"),"【"&amp;AK16&amp;"行目】【規格・数量】未入力、【単価】入力不十分、【補助対象区分】未入力"&amp;CHAR(10),
IF(AND(AF16="◎",AG16="○",AH16="×",AI16="◎"),"【"&amp;AK16&amp;"行目】【規格・数量】未入力、【単価】入力不十分"&amp;CHAR(10),
IF(AND(AF16="◎",AG16="○",AH16="◎",AI16="○"),"【"&amp;AK16&amp;"行目】【規格・数量】未入力、【補助対象区分】未入力"&amp;CHAR(10),
IF(AND(AF16="◎",AG16="○",AH16="◎",AI16="◎"),"【"&amp;AK16&amp;"行目】【規格・数量】未入力"&amp;CHAR(10),
IF(AND(AF16="◎",AG16="×",AH16="○",AI16="○"),"【"&amp;AK16&amp;"行目】【規格・数量】入力不十分、【単価】未入力、【補助対象区分】未入力"&amp;CHAR(10),
IF(AND(AF16="◎",AG16="×",AH16="○",AI16="◎"),"【"&amp;AK16&amp;"行目】【規格・数量】入力不十分、【単価】未入力"&amp;CHAR(10),
IF(AND(AF16="◎",AG16="×",AH16="×",AI16="○"),"【"&amp;AK16&amp;"行目】【規格・数量】入力不十分、【単価】入力不十分、【補助対象区分】未入力"&amp;CHAR(10),
IF(AND(AF16="◎",AG16="×",AH16="×",AI16="◎"),"【"&amp;AK16&amp;"行目】【規格・数量】入力不十分、【単価】入力不十分"&amp;CHAR(10),
IF(AND(AF16="◎",AG16="×",AH16="◎",AI16="○"),"【"&amp;AK16&amp;"行目】【規格・数量】入力不十分、【補助対象区分】未入力"&amp;CHAR(10),
IF(AND(AF16="◎",AG16="×",AH16="◎",AI16="◎"),"【"&amp;AK16&amp;"行目】【規格・数量】入力不十分"&amp;CHAR(10),
IF(AND(AF16="◎",AG16="◎",AH16="○",AI16="○"),"【"&amp;AK16&amp;"行目】【単価】未入力、【補助対象区分】未入力"&amp;CHAR(10),
IF(AND(AF16="◎",AG16="◎",AH16="○",AI16="◎"),"【"&amp;AK16&amp;"行目】【単価】未入力"&amp;CHAR(10),
IF(AND(AF16="◎",AG16="◎",AH16="×",AI16="○"),"【"&amp;AK16&amp;"行目】【単価】入力不十分、【補助対象区分】未入力"&amp;CHAR(10),
IF(AND(AF16="◎",AG16="◎",AH16="×",AI16="◎"),"【"&amp;AK16&amp;"行目】【単価】入力不十分"&amp;CHAR(10),
IF(AND(AF16="◎",AG16="◎",AH16="◎",AI16="○"),"【"&amp;AK16&amp;"行目】【補助対象区分】未入力"&amp;CHAR(10),
IF(AND(AF16="◎",AG16="◎",AH16="◎",AI16="◎"),"",
))))))))))))))))))))))))))))))))))))))))))))))))))))))</f>
        <v/>
      </c>
      <c r="AK16" s="52">
        <v>1</v>
      </c>
    </row>
    <row r="17" spans="1:75" ht="24.95" customHeight="1">
      <c r="A17" s="38">
        <v>2</v>
      </c>
      <c r="B17" s="313"/>
      <c r="C17" s="313"/>
      <c r="D17" s="313"/>
      <c r="E17" s="314"/>
      <c r="F17" s="315"/>
      <c r="G17" s="316"/>
      <c r="H17" s="316"/>
      <c r="I17" s="45">
        <f t="shared" ref="I17:I50" si="0">IF(G17="",H17*F17,ROUNDDOWN(F17*G17*1.1,0))</f>
        <v>0</v>
      </c>
      <c r="J17" s="317"/>
      <c r="K17" s="45">
        <f t="shared" ref="K17:K50" si="1">IF(J17="補助対象",I17,IF(J17="補助対象外",0,0))</f>
        <v>0</v>
      </c>
      <c r="L17" s="44" t="str">
        <f>IF(AD17="◎",COUNTIF($AD$16:AD17,"◎"),"")</f>
        <v/>
      </c>
      <c r="W17" s="234" t="str">
        <f>IF(B17="既設病床",はじめに入力してください!$K$12,IF(B17="新設病床",はじめに入力してください!$K$13,IF(B17="共通使用",1,"")))</f>
        <v/>
      </c>
      <c r="X17" s="41" t="e">
        <f ca="1">OFFSET(#REF!,
0,
MATCH(B17,#REF!,0),
COUNTA(OFFSET(#REF!,0,MATCH(B17,#REF!,0), 150,1)),1)</f>
        <v>#REF!</v>
      </c>
      <c r="AC17" s="49" t="s">
        <v>69</v>
      </c>
      <c r="AD17" s="231" t="str">
        <f t="shared" ref="AD17:AD50" si="2" xml:space="preserve">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f>
        <v>○</v>
      </c>
      <c r="AE17" s="35" t="str">
        <f t="shared" ref="AE17:AE50" si="3" xml:space="preserve">
IF(AND(AF17="○",AG17="○",AH17="○",AI17="○"),"申請しない場合は入力不要です。",
IF(AND(AF17="○",AG17="○",AH17="○",AI17="◎"),"【要修正】【整備先・内容】未入力、【規格・数量】未入力、【単価】未入力"&amp;CHAR(10),
IF(AND(AF17="○",AG17="○",AH17="×",AI17="○"),"【要修正】【整備先・内容】未入力、【規格・数量】未入力、【単価】入力不十分、【補助対象区分】未入力"&amp;CHAR(10),
IF(AND(AF17="○",AG17="○",AH17="×",AI17="◎"),"【要修正】【整備先・内容】未入力、【規格・数量】未入力、【単価】入力不十分"&amp;CHAR(10),
IF(AND(AF17="○",AG17="○",AH17="◎",AI17="○"),"【要修正】【整備先・内容】未入力、【規格・数量】未入力、【補助対象区分】未入力"&amp;CHAR(10),
IF(AND(AF17="○",AG17="○",AH17="◎",AI17="◎"),"【要修正】【整備先・内容】未入力、【規格・数量】未入力"&amp;CHAR(10),
IF(AND(AF17="○",AG17="×",AH17="○",AI17="○"),"【要修正】【整備先・内容】未入力、【規格・数量】入力不十分、【単価】未入力、【補助対象区分】未入力"&amp;CHAR(10),
IF(AND(AF17="○",AG17="×",AH17="○",AI17="◎"),"【要修正】【整備先・内容】未入力、【規格・数量】入力不十分、【単価】未入力"&amp;CHAR(10),
IF(AND(AF17="○",AG17="×",AH17="×",AI17="○"),"【要修正】【整備先・内容】未入力、【規格・数量】入力不十分、【単価】入力不十分、【補助対象区分】未入力"&amp;CHAR(10),
IF(AND(AF17="○",AG17="×",AH17="×",AI17="◎"),"【要修正】【整備先・内容】未入力、【規格・数量】入力不十分、【単価】入力不十分"&amp;CHAR(10),
IF(AND(AF17="○",AG17="×",AH17="◎",AI17="○"),"【要修正】【整備先・内容】未入力、【規格・数量】入力不十分、【補助対象区分】未入力"&amp;CHAR(10),
IF(AND(AF17="○",AG17="×",AH17="◎",AI17="◎"),"【要修正】【整備先・内容】未入力、【規格・数量】入力不十分"&amp;CHAR(10),
IF(AND(AF17="○",AG17="◎",AH17="○",AI17="○"),"【要修正】【整備先・内容】未入力、【単価】未入力、【補助対象区分】未入力"&amp;CHAR(10),
IF(AND(AF17="○",AG17="◎",AH17="○",AI17="◎"),"【要修正】【整備先・内容】未入力、【単価】未入力"&amp;CHAR(10),
IF(AND(AF17="○",AG17="◎",AH17="×",AI17="○"),"【要修正】【整備先・内容】未入力、【単価】入力不十分、【補助対象区分】未入力"&amp;CHAR(10),
IF(AND(AF17="○",AG17="◎",AH17="×",AI17="◎"),"【要修正】【整備先・内容】未入力、【単価】入力不十分"&amp;CHAR(10),
IF(AND(AF17="○",AG17="◎",AH17="◎",AI17="○"),"【要修正】【整備先・内容】未入力、【補助対象区分】未入力"&amp;CHAR(10),
IF(AND(AF17="○",AG17="◎",AH17="◎",AI17="◎"),"【要修正】【整備先・内容】未入力"&amp;CHAR(10),
IF(AND(AF17="×",AG17="○",AH17="○",AI17="○"),"【要修正】【整備先・内容】入力不十分、【規格・数量】未入力、【単価】未入力、【補助対象区分】未入力"&amp;CHAR(10),
IF(AND(AF17="×",AG17="○",AH17="○",AI17="◎"),"【要修正】【整備先・内容】入力不十分、【規格・数量】未入力、【単価】未入力"&amp;CHAR(10),
IF(AND(AF17="×",AG17="○",AH17="×",AI17="○"),"【要修正】【整備先・内容】入力不十分、【規格・数量】未入力、【単価】入力不十分、【補助対象区分】未入力"&amp;CHAR(10),
IF(AND(AF17="×",AG17="○",AH17="×",AI17="◎"),"【要修正】【整備先・内容】入力不十分、【規格・数量】未入力、【単価】入力不十分"&amp;CHAR(10),
IF(AND(AF17="×",AG17="○",AH17="◎",AI17="○"),"【要修正】【整備先・内容】入力不十分、【規格・数量】未入力、【補助対象区分】未入力"&amp;CHAR(10),
IF(AND(AF17="×",AG17="○",AH17="◎",AI17="◎"),"【要修正】【整備先・内容】入力不十分、【規格・数量】未入力"&amp;CHAR(10),
IF(AND(AF17="×",AG17="×",AH17="○",AI17="○"),"【要修正】【整備先・内容】入力不十分、【規格・数量】入力不十分、【単価】未入力、【補助対象区分】未入力"&amp;CHAR(10),
IF(AND(AF17="×",AG17="×",AH17="○",AI17="◎"),"【要修正】【整備先・内容】入力不十分、【規格・数量】入力不十分、【単価】未入力"&amp;CHAR(10),
IF(AND(AF17="×",AG17="×",AH17="×",AI17="○"),"【要修正】【整備先・内容】入力不十分、【規格・数量】入力不十分、【単価】入力不十分、【補助対象区分】未入力"&amp;CHAR(10),
IF(AND(AF17="×",AG17="×",AH17="×",AI17="◎"),"【要修正】【整備先・内容】入力不十分、【規格・数量】入力不十分、【単価】入力不十分"&amp;CHAR(10),
IF(AND(AF17="×",AG17="×",AH17="◎",AI17="○"),"【要修正】【整備先・内容】入力不十分、【規格・数量】入力不十分、【補助対象区分】未入力"&amp;CHAR(10),
IF(AND(AF17="×",AG17="×",AH17="◎",AI17="◎"),"【要修正】【整備先・内容】入力不十分、【規格・数量】入力不十分"&amp;CHAR(10),
IF(AND(AF17="×",AG17="◎",AH17="○",AI17="○"),"【要修正】【整備先・内容】入力不十分、【単価】未入力、【補助対象区分】未入力"&amp;CHAR(10),
IF(AND(AF17="×",AG17="◎",AH17="○",AI17="◎"),"【要修正】【整備先・内容】入力不十分、【単価】未入力"&amp;CHAR(10),
IF(AND(AF17="×",AG17="◎",AH17="×",AI17="○"),"【要修正】【整備先・内容】入力不十分、【単価】入力不十分、【補助対象区分】未入力"&amp;CHAR(10),
IF(AND(AF17="×",AG17="◎",AH17="×",AI17="◎"),"【要修正】【整備先・内容】入力不十分、【単価】入力不十分"&amp;CHAR(10),
IF(AND(AF17="×",AG17="◎",AH17="◎",AI17="○"),"【要修正】【整備先・内容】入力不十分、【補助対象区分】未入力"&amp;CHAR(10),
IF(AND(AF17="×",AG17="◎",AH17="◎",AI17="◎"),"【要修正】【整備先・内容】入力不十分"&amp;CHAR(10),
IF(AND(AF17="◎",AG17="○",AH17="○",AI17="○"),"【要修正】【規格・数量】未入力、【単価】未入力、【補助対象区分】未入力"&amp;CHAR(10),
IF(AND(AF17="◎",AG17="○",AH17="○",AI17="◎"),"【要修正】【規格・数量】未入力、【単価】未入力"&amp;CHAR(10),
IF(AND(AF17="◎",AG17="○",AH17="×",AI17="○"),"【要修正】【規格・数量】未入力、【単価】入力不十分、【補助対象区分】未入力"&amp;CHAR(10),
IF(AND(AF17="◎",AG17="○",AH17="×",AI17="◎"),"【要修正】【規格・数量】未入力、【単価】入力不十分"&amp;CHAR(10),
IF(AND(AF17="◎",AG17="○",AH17="◎",AI17="○"),"【要修正】【規格・数量】未入力、【補助対象区分】未入力"&amp;CHAR(10),
IF(AND(AF17="◎",AG17="○",AH17="◎",AI17="◎"),"【要修正】【規格・数量】未入力"&amp;CHAR(10),
IF(AND(AF17="◎",AG17="×",AH17="○",AI17="○"),"【要修正】【規格・数量】入力不十分、【単価】未入力、【補助対象区分】未入力"&amp;CHAR(10),
IF(AND(AF17="◎",AG17="×",AH17="○",AI17="◎"),"【要修正】【規格・数量】入力不十分、【単価】未入力"&amp;CHAR(10),
IF(AND(AF17="◎",AG17="×",AH17="×",AI17="○"),"【要修正】【規格・数量】入力不十分、【単価】入力不十分、【補助対象区分】未入力"&amp;CHAR(10),
IF(AND(AF17="◎",AG17="×",AH17="×",AI17="◎"),"【要修正】【規格・数量】入力不十分、【単価】入力不十分"&amp;CHAR(10),
IF(AND(AF17="◎",AG17="×",AH17="◎",AI17="○"),"【要修正】【規格・数量】入力不十分、【補助対象区分】未入力"&amp;CHAR(10),
IF(AND(AF17="◎",AG17="×",AH17="◎",AI17="◎"),"【要修正】【規格・数量】入力不十分"&amp;CHAR(10),
IF(AND(AF17="◎",AG17="◎",AH17="○",AI17="○"),"【要修正】【単価】未入力、【補助対象区分】未入力"&amp;CHAR(10),
IF(AND(AF17="◎",AG17="◎",AH17="○",AI17="◎"),"【要修正】【単価】未入力"&amp;CHAR(10),
IF(AND(AF17="◎",AG17="◎",AH17="×",AI17="○"),"【要修正】【単価】入力不十分、【補助対象区分】未入力"&amp;CHAR(10),
IF(AND(AF17="◎",AG17="◎",AH17="×",AI17="◎"),"【要修正】【単価】入力不十分"&amp;CHAR(10),
IF(AND(AF17="◎",AG17="◎",AH17="◎",AI17="○"),"【要修正】【補助対象区分】未入力"&amp;CHAR(10),
IF(AND(AF17="◎",AG17="◎",AH17="◎",AI17="◎"),"適切に入力がされました。",
))))))))))))))))))))))))))))))))))))))))))))))))))))))</f>
        <v>申請しない場合は入力不要です。</v>
      </c>
      <c r="AF17" s="234" t="str">
        <f t="shared" ref="AF17:AF50" si="4">IF(COUNTA(B17:D17)=0,"○",IF(AND(COUNTA(B17:D17)&gt;=1,COUNTA(B17:D17)&lt;3),"×",IF(COUNTA(B17:D17)=3,"◎")))</f>
        <v>○</v>
      </c>
      <c r="AG17" s="234" t="str">
        <f t="shared" ref="AG17:AG50" si="5">IF(COUNTA(E17,F17,J17)=0,"○",IF(AND(COUNTA(E17,F17,J17)&gt;=1,COUNTA(E17,F17,J17)&lt;3),"×",IF(COUNTA(E17,F17,J17)=3,"◎")))</f>
        <v>○</v>
      </c>
      <c r="AH17" s="234" t="str">
        <f t="shared" ref="AH17:AH50" si="6">IF(COUNTA(G17:H17)=0,"○",IF(COUNTA(G17:H17)=1,"◎",IF(COUNTA(G17:H17)=2,"×")))</f>
        <v>○</v>
      </c>
      <c r="AI17" s="231" t="str">
        <f t="shared" ref="AI17:AI50" si="7">IF(COUNTA(J17)=0,"○",IF(COUNTA(J17)=1,"◎"))</f>
        <v>○</v>
      </c>
      <c r="AJ17" s="14" t="str">
        <f t="shared" ref="AJ17:AJ50" si="8" xml:space="preserve">
IF(AND(AF17="○",AG17="○",AH17="○",AI17="○"),"",
IF(AND(AF17="○",AG17="○",AH17="○",AI17="◎"),"【"&amp;AK17&amp;"行目】【整備先・内容】未入力、【規格・数量】未入力、【単価】未入力"&amp;CHAR(10),
IF(AND(AF17="○",AG17="○",AH17="×",AI17="○"),"【"&amp;AK17&amp;"行目】【整備先・内容】未入力、【規格・数量】未入力、【単価】入力不十分、【補助対象区分】未入力"&amp;CHAR(10),
IF(AND(AF17="○",AG17="○",AH17="×",AI17="◎"),"【"&amp;AK17&amp;"行目】【整備先・内容】未入力、【規格・数量】未入力、【単価】入力不十分"&amp;CHAR(10),
IF(AND(AF17="○",AG17="○",AH17="◎",AI17="○"),"【"&amp;AK17&amp;"行目】【整備先・内容】未入力、【規格・数量】未入力、【補助対象区分】未入力"&amp;CHAR(10),
IF(AND(AF17="○",AG17="○",AH17="◎",AI17="◎"),"【"&amp;AK17&amp;"行目】【整備先・内容】未入力、【規格・数量】未入力"&amp;CHAR(10),
IF(AND(AF17="○",AG17="×",AH17="○",AI17="○"),"【"&amp;AK17&amp;"行目】【整備先・内容】未入力、【規格・数量】入力不十分、【単価】未入力、【補助対象区分】未入力"&amp;CHAR(10),
IF(AND(AF17="○",AG17="×",AH17="○",AI17="◎"),"【"&amp;AK17&amp;"行目】【整備先・内容】未入力、【規格・数量】入力不十分、【単価】未入力"&amp;CHAR(10),
IF(AND(AF17="○",AG17="×",AH17="×",AI17="○"),"【"&amp;AK17&amp;"行目】【整備先・内容】未入力、【規格・数量】入力不十分、【単価】入力不十分、【補助対象区分】未入力"&amp;CHAR(10),
IF(AND(AF17="○",AG17="×",AH17="×",AI17="◎"),"【"&amp;AK17&amp;"行目】【整備先・内容】未入力、【規格・数量】入力不十分、【単価】入力不十分"&amp;CHAR(10),
IF(AND(AF17="○",AG17="×",AH17="◎",AI17="○"),"【"&amp;AK17&amp;"行目】【整備先・内容】未入力、【規格・数量】入力不十分、【補助対象区分】未入力"&amp;CHAR(10),
IF(AND(AF17="○",AG17="×",AH17="◎",AI17="◎"),"【"&amp;AK17&amp;"行目】【整備先・内容】未入力、【規格・数量】入力不十分"&amp;CHAR(10),
IF(AND(AF17="○",AG17="◎",AH17="○",AI17="○"),"【"&amp;AK17&amp;"行目】【整備先・内容】未入力、【単価】未入力、【補助対象区分】未入力"&amp;CHAR(10),
IF(AND(AF17="○",AG17="◎",AH17="○",AI17="◎"),"【"&amp;AK17&amp;"行目】【整備先・内容】未入力、【単価】未入力"&amp;CHAR(10),
IF(AND(AF17="○",AG17="◎",AH17="×",AI17="○"),"【"&amp;AK17&amp;"行目】【整備先・内容】未入力、【単価】入力不十分、【補助対象区分】未入力"&amp;CHAR(10),
IF(AND(AF17="○",AG17="◎",AH17="×",AI17="◎"),"【"&amp;AK17&amp;"行目】【整備先・内容】未入力、【単価】入力不十分"&amp;CHAR(10),
IF(AND(AF17="○",AG17="◎",AH17="◎",AI17="○"),"【"&amp;AK17&amp;"行目】【整備先・内容】未入力、【補助対象区分】未入力"&amp;CHAR(10),
IF(AND(AF17="○",AG17="◎",AH17="◎",AI17="◎"),"【"&amp;AK17&amp;"行目】【整備先・内容】未入力"&amp;CHAR(10),
IF(AND(AF17="×",AG17="○",AH17="○",AI17="○"),"【"&amp;AK17&amp;"行目】【整備先・内容】入力不十分、【規格・数量】未入力、【単価】未入力、【補助対象区分】未入力"&amp;CHAR(10),
IF(AND(AF17="×",AG17="○",AH17="○",AI17="◎"),"【"&amp;AK17&amp;"行目】【整備先・内容】入力不十分、【規格・数量】未入力、【単価】未入力"&amp;CHAR(10),
IF(AND(AF17="×",AG17="○",AH17="×",AI17="○"),"【"&amp;AK17&amp;"行目】【整備先・内容】入力不十分、【規格・数量】未入力、【単価】入力不十分、【補助対象区分】未入力"&amp;CHAR(10),
IF(AND(AF17="×",AG17="○",AH17="×",AI17="◎"),"【"&amp;AK17&amp;"行目】【整備先・内容】入力不十分、【規格・数量】未入力、【単価】入力不十分"&amp;CHAR(10),
IF(AND(AF17="×",AG17="○",AH17="◎",AI17="○"),"【"&amp;AK17&amp;"行目】【整備先・内容】入力不十分、【規格・数量】未入力、【補助対象区分】未入力"&amp;CHAR(10),
IF(AND(AF17="×",AG17="○",AH17="◎",AI17="◎"),"【"&amp;AK17&amp;"行目】【整備先・内容】入力不十分、【規格・数量】未入力"&amp;CHAR(10),
IF(AND(AF17="×",AG17="×",AH17="○",AI17="○"),"【"&amp;AK17&amp;"行目】【整備先・内容】入力不十分、【規格・数量】入力不十分、【単価】未入力、【補助対象区分】未入力"&amp;CHAR(10),
IF(AND(AF17="×",AG17="×",AH17="○",AI17="◎"),"【"&amp;AK17&amp;"行目】【整備先・内容】入力不十分、【規格・数量】入力不十分、【単価】未入力"&amp;CHAR(10),
IF(AND(AF17="×",AG17="×",AH17="×",AI17="○"),"【"&amp;AK17&amp;"行目】【整備先・内容】入力不十分、【規格・数量】入力不十分、【単価】入力不十分、【補助対象区分】未入力"&amp;CHAR(10),
IF(AND(AF17="×",AG17="×",AH17="×",AI17="◎"),"【"&amp;AK17&amp;"行目】【整備先・内容】入力不十分、【規格・数量】入力不十分、【単価】入力不十分"&amp;CHAR(10),
IF(AND(AF17="×",AG17="×",AH17="◎",AI17="○"),"【"&amp;AK17&amp;"行目】【整備先・内容】入力不十分、【規格・数量】入力不十分、【補助対象区分】未入力"&amp;CHAR(10),
IF(AND(AF17="×",AG17="×",AH17="◎",AI17="◎"),"【"&amp;AK17&amp;"行目】【整備先・内容】入力不十分、【規格・数量】入力不十分"&amp;CHAR(10),
IF(AND(AF17="×",AG17="◎",AH17="○",AI17="○"),"【"&amp;AK17&amp;"行目】【整備先・内容】入力不十分、【単価】未入力、【補助対象区分】未入力"&amp;CHAR(10),
IF(AND(AF17="×",AG17="◎",AH17="○",AI17="◎"),"【"&amp;AK17&amp;"行目】【整備先・内容】入力不十分、【単価】未入力"&amp;CHAR(10),
IF(AND(AF17="×",AG17="◎",AH17="×",AI17="○"),"【"&amp;AK17&amp;"行目】【整備先・内容】入力不十分、【単価】入力不十分、【補助対象区分】未入力"&amp;CHAR(10),
IF(AND(AF17="×",AG17="◎",AH17="×",AI17="◎"),"【"&amp;AK17&amp;"行目】【整備先・内容】入力不十分、【単価】入力不十分"&amp;CHAR(10),
IF(AND(AF17="×",AG17="◎",AH17="◎",AI17="○"),"【"&amp;AK17&amp;"行目】【整備先・内容】入力不十分、【補助対象区分】未入力"&amp;CHAR(10),
IF(AND(AF17="×",AG17="◎",AH17="◎",AI17="◎"),"【"&amp;AK17&amp;"行目】【整備先・内容】入力不十分"&amp;CHAR(10),
IF(AND(AF17="◎",AG17="○",AH17="○",AI17="○"),"【"&amp;AK17&amp;"行目】【規格・数量】未入力、【単価】未入力、【補助対象区分】未入力"&amp;CHAR(10),
IF(AND(AF17="◎",AG17="○",AH17="○",AI17="◎"),"【"&amp;AK17&amp;"行目】【規格・数量】未入力、【単価】未入力"&amp;CHAR(10),
IF(AND(AF17="◎",AG17="○",AH17="×",AI17="○"),"【"&amp;AK17&amp;"行目】【規格・数量】未入力、【単価】入力不十分、【補助対象区分】未入力"&amp;CHAR(10),
IF(AND(AF17="◎",AG17="○",AH17="×",AI17="◎"),"【"&amp;AK17&amp;"行目】【規格・数量】未入力、【単価】入力不十分"&amp;CHAR(10),
IF(AND(AF17="◎",AG17="○",AH17="◎",AI17="○"),"【"&amp;AK17&amp;"行目】【規格・数量】未入力、【補助対象区分】未入力"&amp;CHAR(10),
IF(AND(AF17="◎",AG17="○",AH17="◎",AI17="◎"),"【"&amp;AK17&amp;"行目】【規格・数量】未入力"&amp;CHAR(10),
IF(AND(AF17="◎",AG17="×",AH17="○",AI17="○"),"【"&amp;AK17&amp;"行目】【規格・数量】入力不十分、【単価】未入力、【補助対象区分】未入力"&amp;CHAR(10),
IF(AND(AF17="◎",AG17="×",AH17="○",AI17="◎"),"【"&amp;AK17&amp;"行目】【規格・数量】入力不十分、【単価】未入力"&amp;CHAR(10),
IF(AND(AF17="◎",AG17="×",AH17="×",AI17="○"),"【"&amp;AK17&amp;"行目】【規格・数量】入力不十分、【単価】入力不十分、【補助対象区分】未入力"&amp;CHAR(10),
IF(AND(AF17="◎",AG17="×",AH17="×",AI17="◎"),"【"&amp;AK17&amp;"行目】【規格・数量】入力不十分、【単価】入力不十分"&amp;CHAR(10),
IF(AND(AF17="◎",AG17="×",AH17="◎",AI17="○"),"【"&amp;AK17&amp;"行目】【規格・数量】入力不十分、【補助対象区分】未入力"&amp;CHAR(10),
IF(AND(AF17="◎",AG17="×",AH17="◎",AI17="◎"),"【"&amp;AK17&amp;"行目】【規格・数量】入力不十分"&amp;CHAR(10),
IF(AND(AF17="◎",AG17="◎",AH17="○",AI17="○"),"【"&amp;AK17&amp;"行目】【単価】未入力、【補助対象区分】未入力"&amp;CHAR(10),
IF(AND(AF17="◎",AG17="◎",AH17="○",AI17="◎"),"【"&amp;AK17&amp;"行目】【単価】未入力"&amp;CHAR(10),
IF(AND(AF17="◎",AG17="◎",AH17="×",AI17="○"),"【"&amp;AK17&amp;"行目】【単価】入力不十分、【補助対象区分】未入力"&amp;CHAR(10),
IF(AND(AF17="◎",AG17="◎",AH17="×",AI17="◎"),"【"&amp;AK17&amp;"行目】【単価】入力不十分"&amp;CHAR(10),
IF(AND(AF17="◎",AG17="◎",AH17="◎",AI17="○"),"【"&amp;AK17&amp;"行目】【補助対象区分】未入力"&amp;CHAR(10),
IF(AND(AF17="◎",AG17="◎",AH17="◎",AI17="◎"),"",
))))))))))))))))))))))))))))))))))))))))))))))))))))))</f>
        <v/>
      </c>
      <c r="AK17" s="52">
        <v>2</v>
      </c>
    </row>
    <row r="18" spans="1:75" ht="24.95" customHeight="1">
      <c r="A18" s="38">
        <v>3</v>
      </c>
      <c r="B18" s="313"/>
      <c r="C18" s="313"/>
      <c r="D18" s="313"/>
      <c r="E18" s="314"/>
      <c r="F18" s="315"/>
      <c r="G18" s="316"/>
      <c r="H18" s="316"/>
      <c r="I18" s="45">
        <f t="shared" si="0"/>
        <v>0</v>
      </c>
      <c r="J18" s="317"/>
      <c r="K18" s="45">
        <f t="shared" si="1"/>
        <v>0</v>
      </c>
      <c r="L18" s="44" t="str">
        <f>IF(AD18="◎",COUNTIF($AD$16:AD18,"◎"),"")</f>
        <v/>
      </c>
      <c r="W18" s="234" t="str">
        <f>IF(B18="既設病床",はじめに入力してください!$K$12,IF(B18="新設病床",はじめに入力してください!$K$13,IF(B18="共通使用",1,"")))</f>
        <v/>
      </c>
      <c r="AC18" s="49" t="s">
        <v>69</v>
      </c>
      <c r="AD18" s="231" t="str">
        <f t="shared" si="2"/>
        <v>○</v>
      </c>
      <c r="AE18" s="35" t="str">
        <f t="shared" si="3"/>
        <v>申請しない場合は入力不要です。</v>
      </c>
      <c r="AF18" s="234" t="str">
        <f t="shared" si="4"/>
        <v>○</v>
      </c>
      <c r="AG18" s="234" t="str">
        <f t="shared" si="5"/>
        <v>○</v>
      </c>
      <c r="AH18" s="234" t="str">
        <f t="shared" si="6"/>
        <v>○</v>
      </c>
      <c r="AI18" s="231" t="str">
        <f t="shared" si="7"/>
        <v>○</v>
      </c>
      <c r="AJ18" s="14" t="str">
        <f t="shared" si="8"/>
        <v/>
      </c>
      <c r="AK18" s="52">
        <v>3</v>
      </c>
      <c r="AY18" s="823"/>
      <c r="AZ18" s="823"/>
      <c r="BA18" s="823"/>
      <c r="BB18" s="823"/>
      <c r="BC18" s="823"/>
      <c r="BD18" s="823"/>
      <c r="BE18" s="823"/>
      <c r="BF18" s="823"/>
      <c r="BG18" s="823"/>
      <c r="BH18" s="823"/>
      <c r="BI18" s="402"/>
      <c r="BJ18" s="402"/>
      <c r="BK18" s="402"/>
      <c r="BL18" s="402"/>
      <c r="BM18" s="402"/>
      <c r="BN18" s="402"/>
      <c r="BO18" s="223"/>
      <c r="BP18" s="223"/>
      <c r="BQ18" s="223"/>
      <c r="BR18" s="223"/>
      <c r="BS18" s="764"/>
      <c r="BT18" s="764"/>
      <c r="BU18" s="764"/>
      <c r="BV18" s="764"/>
      <c r="BW18" s="764"/>
    </row>
    <row r="19" spans="1:75" ht="24.95" customHeight="1">
      <c r="A19" s="38">
        <v>4</v>
      </c>
      <c r="B19" s="313"/>
      <c r="C19" s="313"/>
      <c r="D19" s="313"/>
      <c r="E19" s="314"/>
      <c r="F19" s="315"/>
      <c r="G19" s="316"/>
      <c r="H19" s="316"/>
      <c r="I19" s="45">
        <f t="shared" si="0"/>
        <v>0</v>
      </c>
      <c r="J19" s="317"/>
      <c r="K19" s="45">
        <f t="shared" si="1"/>
        <v>0</v>
      </c>
      <c r="L19" s="44" t="str">
        <f>IF(AD19="◎",COUNTIF($AD$16:AD19,"◎"),"")</f>
        <v/>
      </c>
      <c r="W19" s="234" t="str">
        <f>IF(B19="既設病床",はじめに入力してください!$K$12,IF(B19="新設病床",はじめに入力してください!$K$13,IF(B19="共通使用",1,"")))</f>
        <v/>
      </c>
      <c r="Y19" s="203" t="s">
        <v>234</v>
      </c>
      <c r="AC19" s="49" t="s">
        <v>69</v>
      </c>
      <c r="AD19" s="231" t="str">
        <f t="shared" si="2"/>
        <v>○</v>
      </c>
      <c r="AE19" s="35" t="str">
        <f t="shared" si="3"/>
        <v>申請しない場合は入力不要です。</v>
      </c>
      <c r="AF19" s="234" t="str">
        <f t="shared" si="4"/>
        <v>○</v>
      </c>
      <c r="AG19" s="234" t="str">
        <f t="shared" si="5"/>
        <v>○</v>
      </c>
      <c r="AH19" s="234" t="str">
        <f t="shared" si="6"/>
        <v>○</v>
      </c>
      <c r="AI19" s="231" t="str">
        <f t="shared" si="7"/>
        <v>○</v>
      </c>
      <c r="AJ19" s="14" t="str">
        <f t="shared" si="8"/>
        <v/>
      </c>
      <c r="AK19" s="52">
        <v>4</v>
      </c>
      <c r="AY19" s="824"/>
      <c r="AZ19" s="825"/>
      <c r="BA19" s="825"/>
      <c r="BB19" s="825"/>
      <c r="BC19" s="823"/>
      <c r="BD19" s="825"/>
      <c r="BE19" s="823"/>
      <c r="BF19" s="823"/>
      <c r="BG19" s="823"/>
      <c r="BH19" s="823"/>
      <c r="BI19" s="402"/>
      <c r="BJ19" s="402"/>
      <c r="BK19" s="402"/>
      <c r="BL19" s="402"/>
      <c r="BM19" s="402"/>
      <c r="BN19" s="402"/>
      <c r="BO19" s="402"/>
      <c r="BP19" s="223"/>
      <c r="BQ19" s="823"/>
      <c r="BR19" s="764"/>
      <c r="BS19" s="764"/>
      <c r="BT19" s="764"/>
      <c r="BU19" s="764"/>
      <c r="BV19" s="764"/>
      <c r="BW19" s="764"/>
    </row>
    <row r="20" spans="1:75" ht="24.95" customHeight="1">
      <c r="A20" s="38">
        <v>5</v>
      </c>
      <c r="B20" s="313"/>
      <c r="C20" s="313"/>
      <c r="D20" s="313"/>
      <c r="E20" s="314"/>
      <c r="F20" s="315"/>
      <c r="G20" s="316"/>
      <c r="H20" s="316"/>
      <c r="I20" s="45">
        <f t="shared" si="0"/>
        <v>0</v>
      </c>
      <c r="J20" s="317"/>
      <c r="K20" s="45">
        <f t="shared" si="1"/>
        <v>0</v>
      </c>
      <c r="L20" s="44" t="str">
        <f>IF(AD20="◎",COUNTIF($AD$16:AD20,"◎"),"")</f>
        <v/>
      </c>
      <c r="W20" s="234" t="str">
        <f>IF(B20="既設病床",はじめに入力してください!$K$12,IF(B20="新設病床",はじめに入力してください!$K$13,IF(B20="共通使用",1,"")))</f>
        <v/>
      </c>
      <c r="AC20" s="49" t="s">
        <v>69</v>
      </c>
      <c r="AD20" s="231" t="str">
        <f t="shared" si="2"/>
        <v>○</v>
      </c>
      <c r="AE20" s="35" t="str">
        <f t="shared" si="3"/>
        <v>申請しない場合は入力不要です。</v>
      </c>
      <c r="AF20" s="234" t="str">
        <f t="shared" si="4"/>
        <v>○</v>
      </c>
      <c r="AG20" s="234" t="str">
        <f t="shared" si="5"/>
        <v>○</v>
      </c>
      <c r="AH20" s="234" t="str">
        <f t="shared" si="6"/>
        <v>○</v>
      </c>
      <c r="AI20" s="231" t="str">
        <f t="shared" si="7"/>
        <v>○</v>
      </c>
      <c r="AJ20" s="14" t="str">
        <f t="shared" si="8"/>
        <v/>
      </c>
      <c r="AK20" s="52">
        <v>5</v>
      </c>
      <c r="AY20" s="825"/>
      <c r="AZ20" s="825"/>
      <c r="BA20" s="825"/>
      <c r="BB20" s="825"/>
      <c r="BC20" s="823"/>
      <c r="BD20" s="823"/>
      <c r="BE20" s="823"/>
      <c r="BF20" s="823"/>
      <c r="BG20" s="823"/>
      <c r="BH20" s="823"/>
      <c r="BI20" s="402"/>
      <c r="BJ20" s="402"/>
      <c r="BK20" s="402"/>
      <c r="BL20" s="402"/>
      <c r="BM20" s="402"/>
      <c r="BN20" s="402"/>
      <c r="BO20" s="402"/>
      <c r="BP20" s="223"/>
      <c r="BQ20" s="823"/>
      <c r="BR20" s="764"/>
      <c r="BS20" s="764"/>
      <c r="BT20" s="764"/>
      <c r="BU20" s="764"/>
      <c r="BV20" s="764"/>
      <c r="BW20" s="764"/>
    </row>
    <row r="21" spans="1:75" ht="24.95" customHeight="1">
      <c r="A21" s="38">
        <v>6</v>
      </c>
      <c r="B21" s="313"/>
      <c r="C21" s="313"/>
      <c r="D21" s="313"/>
      <c r="E21" s="314"/>
      <c r="F21" s="315"/>
      <c r="G21" s="316"/>
      <c r="H21" s="316"/>
      <c r="I21" s="45">
        <f t="shared" si="0"/>
        <v>0</v>
      </c>
      <c r="J21" s="317"/>
      <c r="K21" s="45">
        <f t="shared" si="1"/>
        <v>0</v>
      </c>
      <c r="L21" s="44" t="str">
        <f>IF(AD21="◎",COUNTIF($AD$16:AD21,"◎"),"")</f>
        <v/>
      </c>
      <c r="W21" s="234" t="str">
        <f>IF(B21="既設病床",はじめに入力してください!$K$12,IF(B21="新設病床",はじめに入力してください!$K$13,IF(B21="共通使用",1,"")))</f>
        <v/>
      </c>
      <c r="AC21" s="49" t="s">
        <v>69</v>
      </c>
      <c r="AD21" s="231" t="str">
        <f t="shared" si="2"/>
        <v>○</v>
      </c>
      <c r="AE21" s="35" t="str">
        <f t="shared" si="3"/>
        <v>申請しない場合は入力不要です。</v>
      </c>
      <c r="AF21" s="234" t="str">
        <f t="shared" si="4"/>
        <v>○</v>
      </c>
      <c r="AG21" s="234" t="str">
        <f t="shared" si="5"/>
        <v>○</v>
      </c>
      <c r="AH21" s="234" t="str">
        <f t="shared" si="6"/>
        <v>○</v>
      </c>
      <c r="AI21" s="231" t="str">
        <f t="shared" si="7"/>
        <v>○</v>
      </c>
      <c r="AJ21" s="14" t="str">
        <f t="shared" si="8"/>
        <v/>
      </c>
      <c r="AK21" s="52">
        <v>6</v>
      </c>
      <c r="AY21" s="825"/>
      <c r="AZ21" s="825"/>
      <c r="BA21" s="825"/>
      <c r="BB21" s="825"/>
      <c r="BC21" s="823"/>
      <c r="BD21" s="823"/>
      <c r="BE21" s="823"/>
      <c r="BF21" s="823"/>
      <c r="BG21" s="823"/>
      <c r="BH21" s="823"/>
      <c r="BI21" s="402"/>
      <c r="BJ21" s="402"/>
      <c r="BK21" s="402"/>
      <c r="BL21" s="402"/>
      <c r="BM21" s="402"/>
      <c r="BN21" s="402"/>
      <c r="BO21" s="59"/>
      <c r="BP21" s="223"/>
      <c r="BQ21" s="223"/>
      <c r="BR21" s="222"/>
      <c r="BS21" s="222"/>
      <c r="BT21" s="222"/>
      <c r="BU21" s="222"/>
      <c r="BV21" s="222"/>
      <c r="BW21" s="222"/>
    </row>
    <row r="22" spans="1:75" ht="24.95" customHeight="1">
      <c r="A22" s="38">
        <v>7</v>
      </c>
      <c r="B22" s="313"/>
      <c r="C22" s="313"/>
      <c r="D22" s="313"/>
      <c r="E22" s="314"/>
      <c r="F22" s="315"/>
      <c r="G22" s="316"/>
      <c r="H22" s="316"/>
      <c r="I22" s="45">
        <f t="shared" si="0"/>
        <v>0</v>
      </c>
      <c r="J22" s="317"/>
      <c r="K22" s="45">
        <f t="shared" si="1"/>
        <v>0</v>
      </c>
      <c r="L22" s="44" t="str">
        <f>IF(AD22="◎",COUNTIF($AD$16:AD22,"◎"),"")</f>
        <v/>
      </c>
      <c r="W22" s="234" t="str">
        <f>IF(B22="既設病床",はじめに入力してください!$K$12,IF(B22="新設病床",はじめに入力してください!$K$13,IF(B22="共通使用",1,"")))</f>
        <v/>
      </c>
      <c r="AC22" s="49" t="s">
        <v>69</v>
      </c>
      <c r="AD22" s="231" t="str">
        <f t="shared" si="2"/>
        <v>○</v>
      </c>
      <c r="AE22" s="35" t="str">
        <f t="shared" si="3"/>
        <v>申請しない場合は入力不要です。</v>
      </c>
      <c r="AF22" s="234" t="str">
        <f t="shared" si="4"/>
        <v>○</v>
      </c>
      <c r="AG22" s="234" t="str">
        <f t="shared" si="5"/>
        <v>○</v>
      </c>
      <c r="AH22" s="234" t="str">
        <f t="shared" si="6"/>
        <v>○</v>
      </c>
      <c r="AI22" s="231" t="str">
        <f t="shared" si="7"/>
        <v>○</v>
      </c>
      <c r="AJ22" s="14" t="str">
        <f t="shared" si="8"/>
        <v/>
      </c>
      <c r="AK22" s="52">
        <v>7</v>
      </c>
      <c r="AY22" s="823"/>
      <c r="AZ22" s="823"/>
      <c r="BA22" s="823"/>
      <c r="BB22" s="823"/>
      <c r="BC22" s="823"/>
      <c r="BD22" s="823"/>
      <c r="BE22" s="823"/>
      <c r="BF22" s="823"/>
      <c r="BG22" s="823"/>
      <c r="BH22" s="823"/>
      <c r="BI22" s="402"/>
      <c r="BJ22" s="402"/>
      <c r="BK22" s="402"/>
      <c r="BL22" s="402"/>
      <c r="BM22" s="402"/>
      <c r="BN22" s="402"/>
      <c r="BO22" s="402"/>
      <c r="BP22" s="402"/>
      <c r="BQ22" s="402"/>
      <c r="BR22" s="402"/>
      <c r="BS22" s="222"/>
      <c r="BT22" s="222"/>
      <c r="BU22" s="222"/>
      <c r="BV22" s="222"/>
      <c r="BW22" s="222"/>
    </row>
    <row r="23" spans="1:75" ht="24.95" customHeight="1">
      <c r="A23" s="38">
        <v>8</v>
      </c>
      <c r="B23" s="313"/>
      <c r="C23" s="313"/>
      <c r="D23" s="313"/>
      <c r="E23" s="314"/>
      <c r="F23" s="315"/>
      <c r="G23" s="316"/>
      <c r="H23" s="316"/>
      <c r="I23" s="45">
        <f t="shared" si="0"/>
        <v>0</v>
      </c>
      <c r="J23" s="317"/>
      <c r="K23" s="45">
        <f t="shared" si="1"/>
        <v>0</v>
      </c>
      <c r="L23" s="44" t="str">
        <f>IF(AD23="◎",COUNTIF($AD$16:AD23,"◎"),"")</f>
        <v/>
      </c>
      <c r="T23" s="197"/>
      <c r="U23" s="197"/>
      <c r="V23" s="197"/>
      <c r="W23" s="234" t="str">
        <f>IF(B23="既設病床",はじめに入力してください!$K$12,IF(B23="新設病床",はじめに入力してください!$K$13,IF(B23="共通使用",1,"")))</f>
        <v/>
      </c>
      <c r="AC23" s="49" t="s">
        <v>69</v>
      </c>
      <c r="AD23" s="231" t="str">
        <f t="shared" si="2"/>
        <v>○</v>
      </c>
      <c r="AE23" s="35" t="str">
        <f t="shared" si="3"/>
        <v>申請しない場合は入力不要です。</v>
      </c>
      <c r="AF23" s="234" t="str">
        <f t="shared" si="4"/>
        <v>○</v>
      </c>
      <c r="AG23" s="234" t="str">
        <f t="shared" si="5"/>
        <v>○</v>
      </c>
      <c r="AH23" s="234" t="str">
        <f t="shared" si="6"/>
        <v>○</v>
      </c>
      <c r="AI23" s="231" t="str">
        <f t="shared" si="7"/>
        <v>○</v>
      </c>
      <c r="AJ23" s="14" t="str">
        <f t="shared" si="8"/>
        <v/>
      </c>
      <c r="AK23" s="52">
        <v>8</v>
      </c>
      <c r="AY23" s="823"/>
      <c r="AZ23" s="823"/>
      <c r="BA23" s="823"/>
      <c r="BB23" s="823"/>
      <c r="BC23" s="823"/>
      <c r="BD23" s="823"/>
      <c r="BE23" s="823"/>
      <c r="BF23" s="823"/>
      <c r="BG23" s="823"/>
      <c r="BH23" s="823"/>
      <c r="BI23" s="402"/>
      <c r="BJ23" s="402"/>
      <c r="BK23" s="402"/>
      <c r="BL23" s="402"/>
      <c r="BM23" s="402"/>
      <c r="BN23" s="402"/>
      <c r="BO23" s="402"/>
      <c r="BP23" s="402"/>
      <c r="BQ23" s="402"/>
      <c r="BR23" s="402"/>
      <c r="BS23" s="222"/>
      <c r="BT23" s="222"/>
      <c r="BU23" s="222"/>
      <c r="BV23" s="222"/>
      <c r="BW23" s="222"/>
    </row>
    <row r="24" spans="1:75" ht="24.95" customHeight="1">
      <c r="A24" s="38">
        <v>9</v>
      </c>
      <c r="B24" s="313"/>
      <c r="C24" s="313"/>
      <c r="D24" s="313"/>
      <c r="E24" s="314"/>
      <c r="F24" s="315"/>
      <c r="G24" s="316"/>
      <c r="H24" s="316"/>
      <c r="I24" s="45">
        <f t="shared" si="0"/>
        <v>0</v>
      </c>
      <c r="J24" s="317"/>
      <c r="K24" s="45">
        <f t="shared" si="1"/>
        <v>0</v>
      </c>
      <c r="L24" s="44" t="str">
        <f>IF(AD24="◎",COUNTIF($AD$16:AD24,"◎"),"")</f>
        <v/>
      </c>
      <c r="W24" s="234" t="str">
        <f>IF(B24="既設病床",はじめに入力してください!$K$12,IF(B24="新設病床",はじめに入力してください!$K$13,IF(B24="共通使用",1,"")))</f>
        <v/>
      </c>
      <c r="AC24" s="49" t="s">
        <v>69</v>
      </c>
      <c r="AD24" s="231" t="str">
        <f t="shared" si="2"/>
        <v>○</v>
      </c>
      <c r="AE24" s="35" t="str">
        <f t="shared" si="3"/>
        <v>申請しない場合は入力不要です。</v>
      </c>
      <c r="AF24" s="234" t="str">
        <f t="shared" si="4"/>
        <v>○</v>
      </c>
      <c r="AG24" s="234" t="str">
        <f t="shared" si="5"/>
        <v>○</v>
      </c>
      <c r="AH24" s="234" t="str">
        <f t="shared" si="6"/>
        <v>○</v>
      </c>
      <c r="AI24" s="231" t="str">
        <f t="shared" si="7"/>
        <v>○</v>
      </c>
      <c r="AJ24" s="14" t="str">
        <f t="shared" si="8"/>
        <v/>
      </c>
      <c r="AK24" s="52">
        <v>9</v>
      </c>
    </row>
    <row r="25" spans="1:75" ht="24.95" customHeight="1">
      <c r="A25" s="38">
        <v>10</v>
      </c>
      <c r="B25" s="313"/>
      <c r="C25" s="313"/>
      <c r="D25" s="313"/>
      <c r="E25" s="314"/>
      <c r="F25" s="315"/>
      <c r="G25" s="316"/>
      <c r="H25" s="316"/>
      <c r="I25" s="45">
        <f t="shared" si="0"/>
        <v>0</v>
      </c>
      <c r="J25" s="317"/>
      <c r="K25" s="45">
        <f t="shared" si="1"/>
        <v>0</v>
      </c>
      <c r="L25" s="44" t="str">
        <f>IF(AD25="◎",COUNTIF($AD$16:AD25,"◎"),"")</f>
        <v/>
      </c>
      <c r="W25" s="234" t="str">
        <f>IF(B25="既設病床",はじめに入力してください!$K$12,IF(B25="新設病床",はじめに入力してください!$K$13,IF(B25="共通使用",1,"")))</f>
        <v/>
      </c>
      <c r="AC25" s="49" t="s">
        <v>69</v>
      </c>
      <c r="AD25" s="231" t="str">
        <f t="shared" si="2"/>
        <v>○</v>
      </c>
      <c r="AE25" s="35" t="str">
        <f t="shared" si="3"/>
        <v>申請しない場合は入力不要です。</v>
      </c>
      <c r="AF25" s="234" t="str">
        <f t="shared" si="4"/>
        <v>○</v>
      </c>
      <c r="AG25" s="234" t="str">
        <f t="shared" si="5"/>
        <v>○</v>
      </c>
      <c r="AH25" s="234" t="str">
        <f t="shared" si="6"/>
        <v>○</v>
      </c>
      <c r="AI25" s="231" t="str">
        <f t="shared" si="7"/>
        <v>○</v>
      </c>
      <c r="AJ25" s="14" t="str">
        <f t="shared" si="8"/>
        <v/>
      </c>
      <c r="AK25" s="52">
        <v>10</v>
      </c>
    </row>
    <row r="26" spans="1:75" ht="24.95" customHeight="1">
      <c r="A26" s="38">
        <v>11</v>
      </c>
      <c r="B26" s="313"/>
      <c r="C26" s="313"/>
      <c r="D26" s="313"/>
      <c r="E26" s="314"/>
      <c r="F26" s="315"/>
      <c r="G26" s="316"/>
      <c r="H26" s="316"/>
      <c r="I26" s="45">
        <f t="shared" si="0"/>
        <v>0</v>
      </c>
      <c r="J26" s="317"/>
      <c r="K26" s="45">
        <f t="shared" si="1"/>
        <v>0</v>
      </c>
      <c r="L26" s="44" t="str">
        <f>IF(AD26="◎",COUNTIF($AD$16:AD26,"◎"),"")</f>
        <v/>
      </c>
      <c r="W26" s="234" t="str">
        <f>IF(B26="既設病床",はじめに入力してください!$K$12,IF(B26="新設病床",はじめに入力してください!$K$13,IF(B26="共通使用",1,"")))</f>
        <v/>
      </c>
      <c r="AC26" s="49" t="s">
        <v>69</v>
      </c>
      <c r="AD26" s="231" t="str">
        <f t="shared" si="2"/>
        <v>○</v>
      </c>
      <c r="AE26" s="35" t="str">
        <f t="shared" si="3"/>
        <v>申請しない場合は入力不要です。</v>
      </c>
      <c r="AF26" s="234" t="str">
        <f t="shared" si="4"/>
        <v>○</v>
      </c>
      <c r="AG26" s="234" t="str">
        <f t="shared" si="5"/>
        <v>○</v>
      </c>
      <c r="AH26" s="234" t="str">
        <f t="shared" si="6"/>
        <v>○</v>
      </c>
      <c r="AI26" s="231" t="str">
        <f t="shared" si="7"/>
        <v>○</v>
      </c>
      <c r="AJ26" s="14" t="str">
        <f t="shared" si="8"/>
        <v/>
      </c>
      <c r="AK26" s="52">
        <v>11</v>
      </c>
    </row>
    <row r="27" spans="1:75" ht="24.95" customHeight="1">
      <c r="A27" s="38">
        <v>12</v>
      </c>
      <c r="B27" s="313"/>
      <c r="C27" s="313"/>
      <c r="D27" s="313"/>
      <c r="E27" s="314"/>
      <c r="F27" s="315"/>
      <c r="G27" s="316"/>
      <c r="H27" s="316"/>
      <c r="I27" s="45">
        <f t="shared" si="0"/>
        <v>0</v>
      </c>
      <c r="J27" s="317"/>
      <c r="K27" s="45">
        <f t="shared" si="1"/>
        <v>0</v>
      </c>
      <c r="L27" s="44" t="str">
        <f>IF(AD27="◎",COUNTIF($AD$16:AD27,"◎"),"")</f>
        <v/>
      </c>
      <c r="W27" s="234" t="str">
        <f>IF(B27="既設病床",はじめに入力してください!$K$12,IF(B27="新設病床",はじめに入力してください!$K$13,IF(B27="共通使用",1,"")))</f>
        <v/>
      </c>
      <c r="AC27" s="49" t="s">
        <v>69</v>
      </c>
      <c r="AD27" s="231" t="str">
        <f t="shared" si="2"/>
        <v>○</v>
      </c>
      <c r="AE27" s="35" t="str">
        <f t="shared" si="3"/>
        <v>申請しない場合は入力不要です。</v>
      </c>
      <c r="AF27" s="234" t="str">
        <f t="shared" si="4"/>
        <v>○</v>
      </c>
      <c r="AG27" s="234" t="str">
        <f t="shared" si="5"/>
        <v>○</v>
      </c>
      <c r="AH27" s="234" t="str">
        <f t="shared" si="6"/>
        <v>○</v>
      </c>
      <c r="AI27" s="231" t="str">
        <f t="shared" si="7"/>
        <v>○</v>
      </c>
      <c r="AJ27" s="14" t="str">
        <f t="shared" si="8"/>
        <v/>
      </c>
      <c r="AK27" s="52">
        <v>12</v>
      </c>
    </row>
    <row r="28" spans="1:75" ht="24.95" customHeight="1">
      <c r="A28" s="38">
        <v>13</v>
      </c>
      <c r="B28" s="313"/>
      <c r="C28" s="313"/>
      <c r="D28" s="313"/>
      <c r="E28" s="314"/>
      <c r="F28" s="315"/>
      <c r="G28" s="316"/>
      <c r="H28" s="316"/>
      <c r="I28" s="45">
        <f t="shared" si="0"/>
        <v>0</v>
      </c>
      <c r="J28" s="317"/>
      <c r="K28" s="45">
        <f t="shared" si="1"/>
        <v>0</v>
      </c>
      <c r="L28" s="44" t="str">
        <f>IF(AD28="◎",COUNTIF($AD$16:AD28,"◎"),"")</f>
        <v/>
      </c>
      <c r="W28" s="234" t="str">
        <f>IF(B28="既設病床",はじめに入力してください!$K$12,IF(B28="新設病床",はじめに入力してください!$K$13,IF(B28="共通使用",1,"")))</f>
        <v/>
      </c>
      <c r="AC28" s="49" t="s">
        <v>69</v>
      </c>
      <c r="AD28" s="231" t="str">
        <f t="shared" si="2"/>
        <v>○</v>
      </c>
      <c r="AE28" s="35" t="str">
        <f t="shared" si="3"/>
        <v>申請しない場合は入力不要です。</v>
      </c>
      <c r="AF28" s="234" t="str">
        <f t="shared" si="4"/>
        <v>○</v>
      </c>
      <c r="AG28" s="234" t="str">
        <f t="shared" si="5"/>
        <v>○</v>
      </c>
      <c r="AH28" s="234" t="str">
        <f t="shared" si="6"/>
        <v>○</v>
      </c>
      <c r="AI28" s="231" t="str">
        <f t="shared" si="7"/>
        <v>○</v>
      </c>
      <c r="AJ28" s="14" t="str">
        <f t="shared" si="8"/>
        <v/>
      </c>
      <c r="AK28" s="52">
        <v>13</v>
      </c>
    </row>
    <row r="29" spans="1:75" ht="24.95" customHeight="1">
      <c r="A29" s="38">
        <v>14</v>
      </c>
      <c r="B29" s="313"/>
      <c r="C29" s="313"/>
      <c r="D29" s="313"/>
      <c r="E29" s="314"/>
      <c r="F29" s="315"/>
      <c r="G29" s="316"/>
      <c r="H29" s="316"/>
      <c r="I29" s="45">
        <f t="shared" si="0"/>
        <v>0</v>
      </c>
      <c r="J29" s="317"/>
      <c r="K29" s="45">
        <f t="shared" si="1"/>
        <v>0</v>
      </c>
      <c r="L29" s="44" t="str">
        <f>IF(AD29="◎",COUNTIF($AD$16:AD29,"◎"),"")</f>
        <v/>
      </c>
      <c r="W29" s="234" t="str">
        <f>IF(B29="既設病床",はじめに入力してください!$K$12,IF(B29="新設病床",はじめに入力してください!$K$13,IF(B29="共通使用",1,"")))</f>
        <v/>
      </c>
      <c r="AC29" s="49" t="s">
        <v>69</v>
      </c>
      <c r="AD29" s="231" t="str">
        <f t="shared" si="2"/>
        <v>○</v>
      </c>
      <c r="AE29" s="35" t="str">
        <f t="shared" si="3"/>
        <v>申請しない場合は入力不要です。</v>
      </c>
      <c r="AF29" s="234" t="str">
        <f t="shared" si="4"/>
        <v>○</v>
      </c>
      <c r="AG29" s="234" t="str">
        <f t="shared" si="5"/>
        <v>○</v>
      </c>
      <c r="AH29" s="234" t="str">
        <f t="shared" si="6"/>
        <v>○</v>
      </c>
      <c r="AI29" s="231" t="str">
        <f t="shared" si="7"/>
        <v>○</v>
      </c>
      <c r="AJ29" s="14" t="str">
        <f t="shared" si="8"/>
        <v/>
      </c>
      <c r="AK29" s="52">
        <v>14</v>
      </c>
    </row>
    <row r="30" spans="1:75" ht="24.95" customHeight="1">
      <c r="A30" s="38">
        <v>15</v>
      </c>
      <c r="B30" s="313"/>
      <c r="C30" s="313"/>
      <c r="D30" s="313"/>
      <c r="E30" s="314"/>
      <c r="F30" s="315"/>
      <c r="G30" s="316"/>
      <c r="H30" s="316"/>
      <c r="I30" s="45">
        <f t="shared" si="0"/>
        <v>0</v>
      </c>
      <c r="J30" s="317"/>
      <c r="K30" s="45">
        <f t="shared" si="1"/>
        <v>0</v>
      </c>
      <c r="L30" s="44" t="str">
        <f>IF(AD30="◎",COUNTIF($AD$16:AD30,"◎"),"")</f>
        <v/>
      </c>
      <c r="W30" s="234" t="str">
        <f>IF(B30="既設病床",はじめに入力してください!$K$12,IF(B30="新設病床",はじめに入力してください!$K$13,IF(B30="共通使用",1,"")))</f>
        <v/>
      </c>
      <c r="AC30" s="49" t="s">
        <v>69</v>
      </c>
      <c r="AD30" s="231" t="str">
        <f t="shared" si="2"/>
        <v>○</v>
      </c>
      <c r="AE30" s="35" t="str">
        <f t="shared" si="3"/>
        <v>申請しない場合は入力不要です。</v>
      </c>
      <c r="AF30" s="234" t="str">
        <f t="shared" si="4"/>
        <v>○</v>
      </c>
      <c r="AG30" s="234" t="str">
        <f t="shared" si="5"/>
        <v>○</v>
      </c>
      <c r="AH30" s="234" t="str">
        <f t="shared" si="6"/>
        <v>○</v>
      </c>
      <c r="AI30" s="231" t="str">
        <f t="shared" si="7"/>
        <v>○</v>
      </c>
      <c r="AJ30" s="14" t="str">
        <f t="shared" si="8"/>
        <v/>
      </c>
      <c r="AK30" s="52">
        <v>15</v>
      </c>
    </row>
    <row r="31" spans="1:75" ht="24.95" customHeight="1">
      <c r="A31" s="38">
        <v>16</v>
      </c>
      <c r="B31" s="313"/>
      <c r="C31" s="313"/>
      <c r="D31" s="313"/>
      <c r="E31" s="314"/>
      <c r="F31" s="315"/>
      <c r="G31" s="316"/>
      <c r="H31" s="316"/>
      <c r="I31" s="45">
        <f t="shared" si="0"/>
        <v>0</v>
      </c>
      <c r="J31" s="317"/>
      <c r="K31" s="45">
        <f t="shared" si="1"/>
        <v>0</v>
      </c>
      <c r="L31" s="44" t="str">
        <f>IF(AD31="◎",COUNTIF($AD$16:AD31,"◎"),"")</f>
        <v/>
      </c>
      <c r="W31" s="234" t="str">
        <f>IF(B31="既設病床",はじめに入力してください!$K$12,IF(B31="新設病床",はじめに入力してください!$K$13,IF(B31="共通使用",1,"")))</f>
        <v/>
      </c>
      <c r="AC31" s="49" t="s">
        <v>69</v>
      </c>
      <c r="AD31" s="231" t="str">
        <f t="shared" si="2"/>
        <v>○</v>
      </c>
      <c r="AE31" s="35" t="str">
        <f t="shared" si="3"/>
        <v>申請しない場合は入力不要です。</v>
      </c>
      <c r="AF31" s="234" t="str">
        <f t="shared" si="4"/>
        <v>○</v>
      </c>
      <c r="AG31" s="234" t="str">
        <f t="shared" si="5"/>
        <v>○</v>
      </c>
      <c r="AH31" s="234" t="str">
        <f t="shared" si="6"/>
        <v>○</v>
      </c>
      <c r="AI31" s="231" t="str">
        <f t="shared" si="7"/>
        <v>○</v>
      </c>
      <c r="AJ31" s="14" t="str">
        <f t="shared" si="8"/>
        <v/>
      </c>
      <c r="AK31" s="52">
        <v>16</v>
      </c>
    </row>
    <row r="32" spans="1:75" ht="24.95" customHeight="1">
      <c r="A32" s="38">
        <v>17</v>
      </c>
      <c r="B32" s="313"/>
      <c r="C32" s="313"/>
      <c r="D32" s="313"/>
      <c r="E32" s="314"/>
      <c r="F32" s="315"/>
      <c r="G32" s="316"/>
      <c r="H32" s="316"/>
      <c r="I32" s="45">
        <f t="shared" si="0"/>
        <v>0</v>
      </c>
      <c r="J32" s="317"/>
      <c r="K32" s="45">
        <f t="shared" si="1"/>
        <v>0</v>
      </c>
      <c r="L32" s="44" t="str">
        <f>IF(AD32="◎",COUNTIF($AD$16:AD32,"◎"),"")</f>
        <v/>
      </c>
      <c r="W32" s="234" t="str">
        <f>IF(B32="既設病床",はじめに入力してください!$K$12,IF(B32="新設病床",はじめに入力してください!$K$13,IF(B32="共通使用",1,"")))</f>
        <v/>
      </c>
      <c r="AC32" s="49" t="s">
        <v>69</v>
      </c>
      <c r="AD32" s="231" t="str">
        <f t="shared" si="2"/>
        <v>○</v>
      </c>
      <c r="AE32" s="35" t="str">
        <f t="shared" si="3"/>
        <v>申請しない場合は入力不要です。</v>
      </c>
      <c r="AF32" s="234" t="str">
        <f t="shared" si="4"/>
        <v>○</v>
      </c>
      <c r="AG32" s="234" t="str">
        <f t="shared" si="5"/>
        <v>○</v>
      </c>
      <c r="AH32" s="234" t="str">
        <f t="shared" si="6"/>
        <v>○</v>
      </c>
      <c r="AI32" s="231" t="str">
        <f t="shared" si="7"/>
        <v>○</v>
      </c>
      <c r="AJ32" s="14" t="str">
        <f t="shared" si="8"/>
        <v/>
      </c>
      <c r="AK32" s="52">
        <v>17</v>
      </c>
    </row>
    <row r="33" spans="1:37" ht="24.95" customHeight="1">
      <c r="A33" s="38">
        <v>18</v>
      </c>
      <c r="B33" s="313"/>
      <c r="C33" s="313"/>
      <c r="D33" s="313"/>
      <c r="E33" s="314"/>
      <c r="F33" s="315"/>
      <c r="G33" s="316"/>
      <c r="H33" s="316"/>
      <c r="I33" s="45">
        <f t="shared" si="0"/>
        <v>0</v>
      </c>
      <c r="J33" s="317"/>
      <c r="K33" s="45">
        <f t="shared" si="1"/>
        <v>0</v>
      </c>
      <c r="L33" s="44" t="str">
        <f>IF(AD33="◎",COUNTIF($AD$16:AD33,"◎"),"")</f>
        <v/>
      </c>
      <c r="W33" s="234" t="str">
        <f>IF(B33="既設病床",はじめに入力してください!$K$12,IF(B33="新設病床",はじめに入力してください!$K$13,IF(B33="共通使用",1,"")))</f>
        <v/>
      </c>
      <c r="AC33" s="49" t="s">
        <v>69</v>
      </c>
      <c r="AD33" s="231" t="str">
        <f t="shared" si="2"/>
        <v>○</v>
      </c>
      <c r="AE33" s="35" t="str">
        <f t="shared" si="3"/>
        <v>申請しない場合は入力不要です。</v>
      </c>
      <c r="AF33" s="234" t="str">
        <f t="shared" si="4"/>
        <v>○</v>
      </c>
      <c r="AG33" s="234" t="str">
        <f t="shared" si="5"/>
        <v>○</v>
      </c>
      <c r="AH33" s="234" t="str">
        <f t="shared" si="6"/>
        <v>○</v>
      </c>
      <c r="AI33" s="231" t="str">
        <f t="shared" si="7"/>
        <v>○</v>
      </c>
      <c r="AJ33" s="14" t="str">
        <f t="shared" si="8"/>
        <v/>
      </c>
      <c r="AK33" s="52">
        <v>18</v>
      </c>
    </row>
    <row r="34" spans="1:37" ht="24.95" customHeight="1">
      <c r="A34" s="38">
        <v>19</v>
      </c>
      <c r="B34" s="313"/>
      <c r="C34" s="313"/>
      <c r="D34" s="313"/>
      <c r="E34" s="314"/>
      <c r="F34" s="315"/>
      <c r="G34" s="316"/>
      <c r="H34" s="316"/>
      <c r="I34" s="45">
        <f t="shared" si="0"/>
        <v>0</v>
      </c>
      <c r="J34" s="317"/>
      <c r="K34" s="45">
        <f t="shared" si="1"/>
        <v>0</v>
      </c>
      <c r="L34" s="44" t="str">
        <f>IF(AD34="◎",COUNTIF($AD$16:AD34,"◎"),"")</f>
        <v/>
      </c>
      <c r="W34" s="234" t="str">
        <f>IF(B34="既設病床",はじめに入力してください!$K$12,IF(B34="新設病床",はじめに入力してください!$K$13,IF(B34="共通使用",1,"")))</f>
        <v/>
      </c>
      <c r="AC34" s="49" t="s">
        <v>69</v>
      </c>
      <c r="AD34" s="231" t="str">
        <f t="shared" si="2"/>
        <v>○</v>
      </c>
      <c r="AE34" s="35" t="str">
        <f t="shared" si="3"/>
        <v>申請しない場合は入力不要です。</v>
      </c>
      <c r="AF34" s="234" t="str">
        <f t="shared" si="4"/>
        <v>○</v>
      </c>
      <c r="AG34" s="234" t="str">
        <f t="shared" si="5"/>
        <v>○</v>
      </c>
      <c r="AH34" s="234" t="str">
        <f t="shared" si="6"/>
        <v>○</v>
      </c>
      <c r="AI34" s="231" t="str">
        <f t="shared" si="7"/>
        <v>○</v>
      </c>
      <c r="AJ34" s="14" t="str">
        <f t="shared" si="8"/>
        <v/>
      </c>
      <c r="AK34" s="52">
        <v>19</v>
      </c>
    </row>
    <row r="35" spans="1:37" ht="24.95" customHeight="1">
      <c r="A35" s="38">
        <v>20</v>
      </c>
      <c r="B35" s="313"/>
      <c r="C35" s="313"/>
      <c r="D35" s="313"/>
      <c r="E35" s="314"/>
      <c r="F35" s="315"/>
      <c r="G35" s="316"/>
      <c r="H35" s="316"/>
      <c r="I35" s="45">
        <f t="shared" si="0"/>
        <v>0</v>
      </c>
      <c r="J35" s="317"/>
      <c r="K35" s="45">
        <f t="shared" si="1"/>
        <v>0</v>
      </c>
      <c r="L35" s="44" t="str">
        <f>IF(AD35="◎",COUNTIF($AD$16:AD35,"◎"),"")</f>
        <v/>
      </c>
      <c r="W35" s="234" t="str">
        <f>IF(B35="既設病床",はじめに入力してください!$K$12,IF(B35="新設病床",はじめに入力してください!$K$13,IF(B35="共通使用",1,"")))</f>
        <v/>
      </c>
      <c r="AC35" s="49" t="s">
        <v>69</v>
      </c>
      <c r="AD35" s="231" t="str">
        <f t="shared" si="2"/>
        <v>○</v>
      </c>
      <c r="AE35" s="35" t="str">
        <f t="shared" si="3"/>
        <v>申請しない場合は入力不要です。</v>
      </c>
      <c r="AF35" s="234" t="str">
        <f t="shared" si="4"/>
        <v>○</v>
      </c>
      <c r="AG35" s="234" t="str">
        <f t="shared" si="5"/>
        <v>○</v>
      </c>
      <c r="AH35" s="234" t="str">
        <f t="shared" si="6"/>
        <v>○</v>
      </c>
      <c r="AI35" s="231" t="str">
        <f t="shared" si="7"/>
        <v>○</v>
      </c>
      <c r="AJ35" s="14" t="str">
        <f t="shared" si="8"/>
        <v/>
      </c>
      <c r="AK35" s="52">
        <v>20</v>
      </c>
    </row>
    <row r="36" spans="1:37" ht="24.95" customHeight="1">
      <c r="A36" s="38">
        <v>21</v>
      </c>
      <c r="B36" s="313"/>
      <c r="C36" s="313"/>
      <c r="D36" s="313"/>
      <c r="E36" s="314"/>
      <c r="F36" s="315"/>
      <c r="G36" s="316"/>
      <c r="H36" s="316"/>
      <c r="I36" s="45">
        <f t="shared" si="0"/>
        <v>0</v>
      </c>
      <c r="J36" s="317"/>
      <c r="K36" s="45">
        <f t="shared" si="1"/>
        <v>0</v>
      </c>
      <c r="L36" s="44" t="str">
        <f>IF(AD36="◎",COUNTIF($AD$16:AD36,"◎"),"")</f>
        <v/>
      </c>
      <c r="W36" s="234" t="str">
        <f>IF(B36="既設病床",はじめに入力してください!$K$12,IF(B36="新設病床",はじめに入力してください!$K$13,IF(B36="共通使用",1,"")))</f>
        <v/>
      </c>
      <c r="AC36" s="49" t="s">
        <v>69</v>
      </c>
      <c r="AD36" s="231" t="str">
        <f t="shared" si="2"/>
        <v>○</v>
      </c>
      <c r="AE36" s="35" t="str">
        <f t="shared" si="3"/>
        <v>申請しない場合は入力不要です。</v>
      </c>
      <c r="AF36" s="234" t="str">
        <f t="shared" si="4"/>
        <v>○</v>
      </c>
      <c r="AG36" s="234" t="str">
        <f t="shared" si="5"/>
        <v>○</v>
      </c>
      <c r="AH36" s="234" t="str">
        <f t="shared" si="6"/>
        <v>○</v>
      </c>
      <c r="AI36" s="231" t="str">
        <f t="shared" si="7"/>
        <v>○</v>
      </c>
      <c r="AJ36" s="14" t="str">
        <f t="shared" si="8"/>
        <v/>
      </c>
      <c r="AK36" s="52">
        <v>21</v>
      </c>
    </row>
    <row r="37" spans="1:37" ht="24.95" customHeight="1">
      <c r="A37" s="38">
        <v>22</v>
      </c>
      <c r="B37" s="313"/>
      <c r="C37" s="313"/>
      <c r="D37" s="313"/>
      <c r="E37" s="314"/>
      <c r="F37" s="315"/>
      <c r="G37" s="316"/>
      <c r="H37" s="316"/>
      <c r="I37" s="45">
        <f t="shared" si="0"/>
        <v>0</v>
      </c>
      <c r="J37" s="317"/>
      <c r="K37" s="45">
        <f t="shared" si="1"/>
        <v>0</v>
      </c>
      <c r="L37" s="44" t="str">
        <f>IF(AD37="◎",COUNTIF($AD$16:AD37,"◎"),"")</f>
        <v/>
      </c>
      <c r="W37" s="234" t="str">
        <f>IF(B37="既設病床",はじめに入力してください!$K$12,IF(B37="新設病床",はじめに入力してください!$K$13,IF(B37="共通使用",1,"")))</f>
        <v/>
      </c>
      <c r="AC37" s="49" t="s">
        <v>69</v>
      </c>
      <c r="AD37" s="231" t="str">
        <f t="shared" si="2"/>
        <v>○</v>
      </c>
      <c r="AE37" s="35" t="str">
        <f t="shared" si="3"/>
        <v>申請しない場合は入力不要です。</v>
      </c>
      <c r="AF37" s="234" t="str">
        <f t="shared" si="4"/>
        <v>○</v>
      </c>
      <c r="AG37" s="234" t="str">
        <f t="shared" si="5"/>
        <v>○</v>
      </c>
      <c r="AH37" s="234" t="str">
        <f t="shared" si="6"/>
        <v>○</v>
      </c>
      <c r="AI37" s="231" t="str">
        <f t="shared" si="7"/>
        <v>○</v>
      </c>
      <c r="AJ37" s="14" t="str">
        <f t="shared" si="8"/>
        <v/>
      </c>
      <c r="AK37" s="52">
        <v>22</v>
      </c>
    </row>
    <row r="38" spans="1:37" ht="24.95" customHeight="1">
      <c r="A38" s="38">
        <v>23</v>
      </c>
      <c r="B38" s="313"/>
      <c r="C38" s="313"/>
      <c r="D38" s="313"/>
      <c r="E38" s="314"/>
      <c r="F38" s="315"/>
      <c r="G38" s="316"/>
      <c r="H38" s="316"/>
      <c r="I38" s="45">
        <f t="shared" si="0"/>
        <v>0</v>
      </c>
      <c r="J38" s="317"/>
      <c r="K38" s="45">
        <f t="shared" si="1"/>
        <v>0</v>
      </c>
      <c r="L38" s="44" t="str">
        <f>IF(AD38="◎",COUNTIF($AD$16:AD38,"◎"),"")</f>
        <v/>
      </c>
      <c r="W38" s="234" t="str">
        <f>IF(B38="既設病床",はじめに入力してください!$K$12,IF(B38="新設病床",はじめに入力してください!$K$13,IF(B38="共通使用",1,"")))</f>
        <v/>
      </c>
      <c r="AC38" s="49" t="s">
        <v>69</v>
      </c>
      <c r="AD38" s="231" t="str">
        <f t="shared" si="2"/>
        <v>○</v>
      </c>
      <c r="AE38" s="35" t="str">
        <f t="shared" si="3"/>
        <v>申請しない場合は入力不要です。</v>
      </c>
      <c r="AF38" s="234" t="str">
        <f t="shared" si="4"/>
        <v>○</v>
      </c>
      <c r="AG38" s="234" t="str">
        <f t="shared" si="5"/>
        <v>○</v>
      </c>
      <c r="AH38" s="234" t="str">
        <f t="shared" si="6"/>
        <v>○</v>
      </c>
      <c r="AI38" s="231" t="str">
        <f t="shared" si="7"/>
        <v>○</v>
      </c>
      <c r="AJ38" s="14" t="str">
        <f t="shared" si="8"/>
        <v/>
      </c>
      <c r="AK38" s="52">
        <v>23</v>
      </c>
    </row>
    <row r="39" spans="1:37" ht="24.95" customHeight="1">
      <c r="A39" s="38">
        <v>24</v>
      </c>
      <c r="B39" s="313"/>
      <c r="C39" s="313"/>
      <c r="D39" s="313"/>
      <c r="E39" s="314"/>
      <c r="F39" s="315"/>
      <c r="G39" s="316"/>
      <c r="H39" s="316"/>
      <c r="I39" s="45">
        <f t="shared" si="0"/>
        <v>0</v>
      </c>
      <c r="J39" s="317"/>
      <c r="K39" s="45">
        <f t="shared" si="1"/>
        <v>0</v>
      </c>
      <c r="L39" s="44" t="str">
        <f>IF(AD39="◎",COUNTIF($AD$16:AD39,"◎"),"")</f>
        <v/>
      </c>
      <c r="W39" s="234" t="str">
        <f>IF(B39="既設病床",はじめに入力してください!$K$12,IF(B39="新設病床",はじめに入力してください!$K$13,IF(B39="共通使用",1,"")))</f>
        <v/>
      </c>
      <c r="AC39" s="49" t="s">
        <v>69</v>
      </c>
      <c r="AD39" s="231" t="str">
        <f t="shared" si="2"/>
        <v>○</v>
      </c>
      <c r="AE39" s="35" t="str">
        <f t="shared" si="3"/>
        <v>申請しない場合は入力不要です。</v>
      </c>
      <c r="AF39" s="234" t="str">
        <f t="shared" si="4"/>
        <v>○</v>
      </c>
      <c r="AG39" s="234" t="str">
        <f t="shared" si="5"/>
        <v>○</v>
      </c>
      <c r="AH39" s="234" t="str">
        <f t="shared" si="6"/>
        <v>○</v>
      </c>
      <c r="AI39" s="231" t="str">
        <f t="shared" si="7"/>
        <v>○</v>
      </c>
      <c r="AJ39" s="14" t="str">
        <f t="shared" si="8"/>
        <v/>
      </c>
      <c r="AK39" s="52">
        <v>24</v>
      </c>
    </row>
    <row r="40" spans="1:37" ht="24.95" customHeight="1">
      <c r="A40" s="38">
        <v>25</v>
      </c>
      <c r="B40" s="313"/>
      <c r="C40" s="313"/>
      <c r="D40" s="313"/>
      <c r="E40" s="314"/>
      <c r="F40" s="315"/>
      <c r="G40" s="316"/>
      <c r="H40" s="316"/>
      <c r="I40" s="45">
        <f t="shared" si="0"/>
        <v>0</v>
      </c>
      <c r="J40" s="317"/>
      <c r="K40" s="45">
        <f t="shared" si="1"/>
        <v>0</v>
      </c>
      <c r="L40" s="44" t="str">
        <f>IF(AD40="◎",COUNTIF($AD$16:AD40,"◎"),"")</f>
        <v/>
      </c>
      <c r="W40" s="234" t="str">
        <f>IF(B40="既設病床",はじめに入力してください!$K$12,IF(B40="新設病床",はじめに入力してください!$K$13,IF(B40="共通使用",1,"")))</f>
        <v/>
      </c>
      <c r="AC40" s="49" t="s">
        <v>69</v>
      </c>
      <c r="AD40" s="231" t="str">
        <f t="shared" si="2"/>
        <v>○</v>
      </c>
      <c r="AE40" s="35" t="str">
        <f t="shared" si="3"/>
        <v>申請しない場合は入力不要です。</v>
      </c>
      <c r="AF40" s="234" t="str">
        <f t="shared" si="4"/>
        <v>○</v>
      </c>
      <c r="AG40" s="234" t="str">
        <f t="shared" si="5"/>
        <v>○</v>
      </c>
      <c r="AH40" s="234" t="str">
        <f t="shared" si="6"/>
        <v>○</v>
      </c>
      <c r="AI40" s="231" t="str">
        <f t="shared" si="7"/>
        <v>○</v>
      </c>
      <c r="AJ40" s="14" t="str">
        <f t="shared" si="8"/>
        <v/>
      </c>
      <c r="AK40" s="52">
        <v>25</v>
      </c>
    </row>
    <row r="41" spans="1:37" ht="24.95" customHeight="1">
      <c r="A41" s="38">
        <v>26</v>
      </c>
      <c r="B41" s="313"/>
      <c r="C41" s="313"/>
      <c r="D41" s="313"/>
      <c r="E41" s="314"/>
      <c r="F41" s="315"/>
      <c r="G41" s="316"/>
      <c r="H41" s="316"/>
      <c r="I41" s="45">
        <f t="shared" si="0"/>
        <v>0</v>
      </c>
      <c r="J41" s="317"/>
      <c r="K41" s="45">
        <f t="shared" si="1"/>
        <v>0</v>
      </c>
      <c r="L41" s="44" t="str">
        <f>IF(AD41="◎",COUNTIF($AD$16:AD41,"◎"),"")</f>
        <v/>
      </c>
      <c r="W41" s="234" t="str">
        <f>IF(B41="既設病床",はじめに入力してください!$K$12,IF(B41="新設病床",はじめに入力してください!$K$13,IF(B41="共通使用",1,"")))</f>
        <v/>
      </c>
      <c r="AC41" s="49" t="s">
        <v>69</v>
      </c>
      <c r="AD41" s="231" t="str">
        <f t="shared" si="2"/>
        <v>○</v>
      </c>
      <c r="AE41" s="35" t="str">
        <f t="shared" si="3"/>
        <v>申請しない場合は入力不要です。</v>
      </c>
      <c r="AF41" s="234" t="str">
        <f t="shared" si="4"/>
        <v>○</v>
      </c>
      <c r="AG41" s="234" t="str">
        <f t="shared" si="5"/>
        <v>○</v>
      </c>
      <c r="AH41" s="234" t="str">
        <f t="shared" si="6"/>
        <v>○</v>
      </c>
      <c r="AI41" s="231" t="str">
        <f t="shared" si="7"/>
        <v>○</v>
      </c>
      <c r="AJ41" s="14" t="str">
        <f t="shared" si="8"/>
        <v/>
      </c>
      <c r="AK41" s="52">
        <v>26</v>
      </c>
    </row>
    <row r="42" spans="1:37" ht="24.95" customHeight="1">
      <c r="A42" s="38">
        <v>27</v>
      </c>
      <c r="B42" s="313"/>
      <c r="C42" s="313"/>
      <c r="D42" s="313"/>
      <c r="E42" s="314"/>
      <c r="F42" s="315"/>
      <c r="G42" s="316"/>
      <c r="H42" s="316"/>
      <c r="I42" s="45">
        <f t="shared" si="0"/>
        <v>0</v>
      </c>
      <c r="J42" s="317"/>
      <c r="K42" s="45">
        <f t="shared" si="1"/>
        <v>0</v>
      </c>
      <c r="L42" s="44" t="str">
        <f>IF(AD42="◎",COUNTIF($AD$16:AD42,"◎"),"")</f>
        <v/>
      </c>
      <c r="W42" s="234" t="str">
        <f>IF(B42="既設病床",はじめに入力してください!$K$12,IF(B42="新設病床",はじめに入力してください!$K$13,IF(B42="共通使用",1,"")))</f>
        <v/>
      </c>
      <c r="AC42" s="49" t="s">
        <v>69</v>
      </c>
      <c r="AD42" s="231" t="str">
        <f t="shared" si="2"/>
        <v>○</v>
      </c>
      <c r="AE42" s="35" t="str">
        <f t="shared" si="3"/>
        <v>申請しない場合は入力不要です。</v>
      </c>
      <c r="AF42" s="234" t="str">
        <f t="shared" si="4"/>
        <v>○</v>
      </c>
      <c r="AG42" s="234" t="str">
        <f t="shared" si="5"/>
        <v>○</v>
      </c>
      <c r="AH42" s="234" t="str">
        <f t="shared" si="6"/>
        <v>○</v>
      </c>
      <c r="AI42" s="231" t="str">
        <f t="shared" si="7"/>
        <v>○</v>
      </c>
      <c r="AJ42" s="14" t="str">
        <f t="shared" si="8"/>
        <v/>
      </c>
      <c r="AK42" s="52">
        <v>27</v>
      </c>
    </row>
    <row r="43" spans="1:37" ht="24.95" customHeight="1">
      <c r="A43" s="38">
        <v>28</v>
      </c>
      <c r="B43" s="313"/>
      <c r="C43" s="313"/>
      <c r="D43" s="313"/>
      <c r="E43" s="314"/>
      <c r="F43" s="315"/>
      <c r="G43" s="316"/>
      <c r="H43" s="316"/>
      <c r="I43" s="45">
        <f t="shared" si="0"/>
        <v>0</v>
      </c>
      <c r="J43" s="317"/>
      <c r="K43" s="45">
        <f t="shared" si="1"/>
        <v>0</v>
      </c>
      <c r="L43" s="44" t="str">
        <f>IF(AD43="◎",COUNTIF($AD$16:AD43,"◎"),"")</f>
        <v/>
      </c>
      <c r="W43" s="234" t="str">
        <f>IF(B43="既設病床",はじめに入力してください!$K$12,IF(B43="新設病床",はじめに入力してください!$K$13,IF(B43="共通使用",1,"")))</f>
        <v/>
      </c>
      <c r="AC43" s="49" t="s">
        <v>69</v>
      </c>
      <c r="AD43" s="231" t="str">
        <f t="shared" si="2"/>
        <v>○</v>
      </c>
      <c r="AE43" s="35" t="str">
        <f t="shared" si="3"/>
        <v>申請しない場合は入力不要です。</v>
      </c>
      <c r="AF43" s="234" t="str">
        <f t="shared" si="4"/>
        <v>○</v>
      </c>
      <c r="AG43" s="234" t="str">
        <f t="shared" si="5"/>
        <v>○</v>
      </c>
      <c r="AH43" s="234" t="str">
        <f t="shared" si="6"/>
        <v>○</v>
      </c>
      <c r="AI43" s="231" t="str">
        <f t="shared" si="7"/>
        <v>○</v>
      </c>
      <c r="AJ43" s="14" t="str">
        <f t="shared" si="8"/>
        <v/>
      </c>
      <c r="AK43" s="52">
        <v>28</v>
      </c>
    </row>
    <row r="44" spans="1:37" ht="24.95" customHeight="1">
      <c r="A44" s="38">
        <v>29</v>
      </c>
      <c r="B44" s="313"/>
      <c r="C44" s="313"/>
      <c r="D44" s="313"/>
      <c r="E44" s="314"/>
      <c r="F44" s="315"/>
      <c r="G44" s="316"/>
      <c r="H44" s="316"/>
      <c r="I44" s="45">
        <f t="shared" si="0"/>
        <v>0</v>
      </c>
      <c r="J44" s="317"/>
      <c r="K44" s="45">
        <f t="shared" si="1"/>
        <v>0</v>
      </c>
      <c r="L44" s="44" t="str">
        <f>IF(AD44="◎",COUNTIF($AD$16:AD44,"◎"),"")</f>
        <v/>
      </c>
      <c r="W44" s="234" t="str">
        <f>IF(B44="既設病床",はじめに入力してください!$K$12,IF(B44="新設病床",はじめに入力してください!$K$13,IF(B44="共通使用",1,"")))</f>
        <v/>
      </c>
      <c r="AC44" s="49" t="s">
        <v>69</v>
      </c>
      <c r="AD44" s="231" t="str">
        <f t="shared" si="2"/>
        <v>○</v>
      </c>
      <c r="AE44" s="35" t="str">
        <f t="shared" si="3"/>
        <v>申請しない場合は入力不要です。</v>
      </c>
      <c r="AF44" s="234" t="str">
        <f t="shared" si="4"/>
        <v>○</v>
      </c>
      <c r="AG44" s="234" t="str">
        <f t="shared" si="5"/>
        <v>○</v>
      </c>
      <c r="AH44" s="234" t="str">
        <f t="shared" si="6"/>
        <v>○</v>
      </c>
      <c r="AI44" s="231" t="str">
        <f t="shared" si="7"/>
        <v>○</v>
      </c>
      <c r="AJ44" s="14" t="str">
        <f t="shared" si="8"/>
        <v/>
      </c>
      <c r="AK44" s="52">
        <v>29</v>
      </c>
    </row>
    <row r="45" spans="1:37" ht="24.95" customHeight="1">
      <c r="A45" s="38">
        <v>30</v>
      </c>
      <c r="B45" s="313"/>
      <c r="C45" s="313"/>
      <c r="D45" s="313"/>
      <c r="E45" s="314"/>
      <c r="F45" s="315"/>
      <c r="G45" s="316"/>
      <c r="H45" s="316"/>
      <c r="I45" s="45">
        <f t="shared" si="0"/>
        <v>0</v>
      </c>
      <c r="J45" s="317"/>
      <c r="K45" s="45">
        <f t="shared" si="1"/>
        <v>0</v>
      </c>
      <c r="L45" s="44" t="str">
        <f>IF(AD45="◎",COUNTIF($AD$16:AD45,"◎"),"")</f>
        <v/>
      </c>
      <c r="W45" s="234" t="str">
        <f>IF(B45="既設病床",はじめに入力してください!$K$12,IF(B45="新設病床",はじめに入力してください!$K$13,IF(B45="共通使用",1,"")))</f>
        <v/>
      </c>
      <c r="AC45" s="49" t="s">
        <v>69</v>
      </c>
      <c r="AD45" s="231" t="str">
        <f t="shared" si="2"/>
        <v>○</v>
      </c>
      <c r="AE45" s="35" t="str">
        <f t="shared" si="3"/>
        <v>申請しない場合は入力不要です。</v>
      </c>
      <c r="AF45" s="234" t="str">
        <f t="shared" si="4"/>
        <v>○</v>
      </c>
      <c r="AG45" s="234" t="str">
        <f t="shared" si="5"/>
        <v>○</v>
      </c>
      <c r="AH45" s="234" t="str">
        <f t="shared" si="6"/>
        <v>○</v>
      </c>
      <c r="AI45" s="231" t="str">
        <f t="shared" si="7"/>
        <v>○</v>
      </c>
      <c r="AJ45" s="14" t="str">
        <f t="shared" si="8"/>
        <v/>
      </c>
      <c r="AK45" s="52">
        <v>30</v>
      </c>
    </row>
    <row r="46" spans="1:37" ht="24.95" customHeight="1">
      <c r="A46" s="38">
        <v>31</v>
      </c>
      <c r="B46" s="313"/>
      <c r="C46" s="313"/>
      <c r="D46" s="313"/>
      <c r="E46" s="314"/>
      <c r="F46" s="315"/>
      <c r="G46" s="316"/>
      <c r="H46" s="316"/>
      <c r="I46" s="45">
        <f t="shared" si="0"/>
        <v>0</v>
      </c>
      <c r="J46" s="317"/>
      <c r="K46" s="45">
        <f t="shared" si="1"/>
        <v>0</v>
      </c>
      <c r="L46" s="44" t="str">
        <f>IF(AD46="◎",COUNTIF($AD$16:AD46,"◎"),"")</f>
        <v/>
      </c>
      <c r="W46" s="234" t="str">
        <f>IF(B46="既設病床",はじめに入力してください!$K$12,IF(B46="新設病床",はじめに入力してください!$K$13,IF(B46="共通使用",1,"")))</f>
        <v/>
      </c>
      <c r="AC46" s="49" t="s">
        <v>69</v>
      </c>
      <c r="AD46" s="231" t="str">
        <f t="shared" si="2"/>
        <v>○</v>
      </c>
      <c r="AE46" s="35" t="str">
        <f t="shared" si="3"/>
        <v>申請しない場合は入力不要です。</v>
      </c>
      <c r="AF46" s="234" t="str">
        <f t="shared" si="4"/>
        <v>○</v>
      </c>
      <c r="AG46" s="234" t="str">
        <f t="shared" si="5"/>
        <v>○</v>
      </c>
      <c r="AH46" s="234" t="str">
        <f t="shared" si="6"/>
        <v>○</v>
      </c>
      <c r="AI46" s="231" t="str">
        <f t="shared" si="7"/>
        <v>○</v>
      </c>
      <c r="AJ46" s="14" t="str">
        <f t="shared" si="8"/>
        <v/>
      </c>
      <c r="AK46" s="52">
        <v>31</v>
      </c>
    </row>
    <row r="47" spans="1:37" ht="24.95" customHeight="1">
      <c r="A47" s="38">
        <v>32</v>
      </c>
      <c r="B47" s="313"/>
      <c r="C47" s="313"/>
      <c r="D47" s="313"/>
      <c r="E47" s="314"/>
      <c r="F47" s="315"/>
      <c r="G47" s="316"/>
      <c r="H47" s="316"/>
      <c r="I47" s="45">
        <f t="shared" si="0"/>
        <v>0</v>
      </c>
      <c r="J47" s="317"/>
      <c r="K47" s="45">
        <f t="shared" si="1"/>
        <v>0</v>
      </c>
      <c r="L47" s="44" t="str">
        <f>IF(AD47="◎",COUNTIF($AD$16:AD47,"◎"),"")</f>
        <v/>
      </c>
      <c r="W47" s="234" t="str">
        <f>IF(B47="既設病床",はじめに入力してください!$K$12,IF(B47="新設病床",はじめに入力してください!$K$13,IF(B47="共通使用",1,"")))</f>
        <v/>
      </c>
      <c r="AC47" s="49" t="s">
        <v>69</v>
      </c>
      <c r="AD47" s="231" t="str">
        <f t="shared" si="2"/>
        <v>○</v>
      </c>
      <c r="AE47" s="35" t="str">
        <f t="shared" si="3"/>
        <v>申請しない場合は入力不要です。</v>
      </c>
      <c r="AF47" s="234" t="str">
        <f t="shared" si="4"/>
        <v>○</v>
      </c>
      <c r="AG47" s="234" t="str">
        <f t="shared" si="5"/>
        <v>○</v>
      </c>
      <c r="AH47" s="234" t="str">
        <f t="shared" si="6"/>
        <v>○</v>
      </c>
      <c r="AI47" s="231" t="str">
        <f t="shared" si="7"/>
        <v>○</v>
      </c>
      <c r="AJ47" s="14" t="str">
        <f t="shared" si="8"/>
        <v/>
      </c>
      <c r="AK47" s="52">
        <v>32</v>
      </c>
    </row>
    <row r="48" spans="1:37" ht="24.95" customHeight="1">
      <c r="A48" s="38">
        <v>33</v>
      </c>
      <c r="B48" s="313"/>
      <c r="C48" s="313"/>
      <c r="D48" s="313"/>
      <c r="E48" s="314"/>
      <c r="F48" s="315"/>
      <c r="G48" s="316"/>
      <c r="H48" s="316"/>
      <c r="I48" s="45">
        <f t="shared" si="0"/>
        <v>0</v>
      </c>
      <c r="J48" s="317"/>
      <c r="K48" s="45">
        <f t="shared" si="1"/>
        <v>0</v>
      </c>
      <c r="L48" s="44" t="str">
        <f>IF(AD48="◎",COUNTIF($AD$16:AD48,"◎"),"")</f>
        <v/>
      </c>
      <c r="W48" s="234" t="str">
        <f>IF(B48="既設病床",はじめに入力してください!$K$12,IF(B48="新設病床",はじめに入力してください!$K$13,IF(B48="共通使用",1,"")))</f>
        <v/>
      </c>
      <c r="AC48" s="49" t="s">
        <v>69</v>
      </c>
      <c r="AD48" s="231" t="str">
        <f t="shared" si="2"/>
        <v>○</v>
      </c>
      <c r="AE48" s="35" t="str">
        <f t="shared" si="3"/>
        <v>申請しない場合は入力不要です。</v>
      </c>
      <c r="AF48" s="234" t="str">
        <f t="shared" si="4"/>
        <v>○</v>
      </c>
      <c r="AG48" s="234" t="str">
        <f t="shared" si="5"/>
        <v>○</v>
      </c>
      <c r="AH48" s="234" t="str">
        <f t="shared" si="6"/>
        <v>○</v>
      </c>
      <c r="AI48" s="231" t="str">
        <f t="shared" si="7"/>
        <v>○</v>
      </c>
      <c r="AJ48" s="14" t="str">
        <f t="shared" si="8"/>
        <v/>
      </c>
      <c r="AK48" s="52">
        <v>33</v>
      </c>
    </row>
    <row r="49" spans="1:37" ht="24.95" customHeight="1">
      <c r="A49" s="38">
        <v>34</v>
      </c>
      <c r="B49" s="313"/>
      <c r="C49" s="313"/>
      <c r="D49" s="313"/>
      <c r="E49" s="314"/>
      <c r="F49" s="315"/>
      <c r="G49" s="316"/>
      <c r="H49" s="316"/>
      <c r="I49" s="45">
        <f t="shared" si="0"/>
        <v>0</v>
      </c>
      <c r="J49" s="317"/>
      <c r="K49" s="45">
        <f t="shared" si="1"/>
        <v>0</v>
      </c>
      <c r="L49" s="44" t="str">
        <f>IF(AD49="◎",COUNTIF($AD$16:AD49,"◎"),"")</f>
        <v/>
      </c>
      <c r="W49" s="234" t="str">
        <f>IF(B49="既設病床",はじめに入力してください!$K$12,IF(B49="新設病床",はじめに入力してください!$K$13,IF(B49="共通使用",1,"")))</f>
        <v/>
      </c>
      <c r="AC49" s="49" t="s">
        <v>69</v>
      </c>
      <c r="AD49" s="231" t="str">
        <f t="shared" si="2"/>
        <v>○</v>
      </c>
      <c r="AE49" s="35" t="str">
        <f t="shared" si="3"/>
        <v>申請しない場合は入力不要です。</v>
      </c>
      <c r="AF49" s="234" t="str">
        <f t="shared" si="4"/>
        <v>○</v>
      </c>
      <c r="AG49" s="234" t="str">
        <f t="shared" si="5"/>
        <v>○</v>
      </c>
      <c r="AH49" s="234" t="str">
        <f t="shared" si="6"/>
        <v>○</v>
      </c>
      <c r="AI49" s="231" t="str">
        <f t="shared" si="7"/>
        <v>○</v>
      </c>
      <c r="AJ49" s="14" t="str">
        <f t="shared" si="8"/>
        <v/>
      </c>
      <c r="AK49" s="52">
        <v>34</v>
      </c>
    </row>
    <row r="50" spans="1:37" ht="24.95" customHeight="1">
      <c r="A50" s="38">
        <v>35</v>
      </c>
      <c r="B50" s="313"/>
      <c r="C50" s="313"/>
      <c r="D50" s="313"/>
      <c r="E50" s="314"/>
      <c r="F50" s="315"/>
      <c r="G50" s="316"/>
      <c r="H50" s="316"/>
      <c r="I50" s="45">
        <f t="shared" si="0"/>
        <v>0</v>
      </c>
      <c r="J50" s="317"/>
      <c r="K50" s="45">
        <f t="shared" si="1"/>
        <v>0</v>
      </c>
      <c r="L50" s="44" t="str">
        <f>IF(AD50="◎",COUNTIF($AD$16:AD50,"◎"),"")</f>
        <v/>
      </c>
      <c r="W50" s="234" t="str">
        <f>IF(B50="既設病床",はじめに入力してください!$K$12,IF(B50="新設病床",はじめに入力してください!$K$13,IF(B50="共通使用",1,"")))</f>
        <v/>
      </c>
      <c r="AC50" s="49" t="s">
        <v>69</v>
      </c>
      <c r="AD50" s="231" t="str">
        <f t="shared" si="2"/>
        <v>○</v>
      </c>
      <c r="AE50" s="35" t="str">
        <f t="shared" si="3"/>
        <v>申請しない場合は入力不要です。</v>
      </c>
      <c r="AF50" s="234" t="str">
        <f t="shared" si="4"/>
        <v>○</v>
      </c>
      <c r="AG50" s="234" t="str">
        <f t="shared" si="5"/>
        <v>○</v>
      </c>
      <c r="AH50" s="234" t="str">
        <f t="shared" si="6"/>
        <v>○</v>
      </c>
      <c r="AI50" s="231" t="str">
        <f t="shared" si="7"/>
        <v>○</v>
      </c>
      <c r="AJ50" s="14" t="str">
        <f t="shared" si="8"/>
        <v/>
      </c>
      <c r="AK50" s="52">
        <v>35</v>
      </c>
    </row>
  </sheetData>
  <sheetProtection algorithmName="SHA-512" hashValue="lzOe6QNz4883+WDMn8qftBdwTG+BrlB5Pu0+bd+h8FPtveyvSDjSkElmML9X2hbtL/e6RjtyqtZW5d6gV75dbw==" saltValue="OcKhpqMofNIrz8n2JexRAw==" spinCount="100000" sheet="1" insertRows="0"/>
  <mergeCells count="29">
    <mergeCell ref="AD7:AD13"/>
    <mergeCell ref="AE7:AG13"/>
    <mergeCell ref="B8:L8"/>
    <mergeCell ref="B9:C9"/>
    <mergeCell ref="H9:I9"/>
    <mergeCell ref="K9:L9"/>
    <mergeCell ref="B10:C10"/>
    <mergeCell ref="H10:I11"/>
    <mergeCell ref="K10:L11"/>
    <mergeCell ref="B11:C11"/>
    <mergeCell ref="B13:L13"/>
    <mergeCell ref="J10:J11"/>
    <mergeCell ref="F2:G2"/>
    <mergeCell ref="H2:L2"/>
    <mergeCell ref="B3:L6"/>
    <mergeCell ref="AD5:AD6"/>
    <mergeCell ref="AE5:AG6"/>
    <mergeCell ref="B14:D14"/>
    <mergeCell ref="E14:F14"/>
    <mergeCell ref="G14:J14"/>
    <mergeCell ref="K14:K15"/>
    <mergeCell ref="L14:L15"/>
    <mergeCell ref="AY18:BC18"/>
    <mergeCell ref="BD18:BH18"/>
    <mergeCell ref="BS18:BW20"/>
    <mergeCell ref="AY19:BC23"/>
    <mergeCell ref="BD19:BH23"/>
    <mergeCell ref="BQ19:BQ20"/>
    <mergeCell ref="BR19:BR20"/>
  </mergeCells>
  <phoneticPr fontId="1"/>
  <conditionalFormatting sqref="AY19">
    <cfRule type="containsText" dxfId="19" priority="12" operator="containsText" text="（補助対象員数）">
      <formula>NOT(ISERROR(SEARCH("（補助対象員数）",AY19)))</formula>
    </cfRule>
  </conditionalFormatting>
  <conditionalFormatting sqref="BD19:BG23">
    <cfRule type="containsText" dxfId="18" priority="9" operator="containsText" text="要修正">
      <formula>NOT(ISERROR(SEARCH("要修正",BD19)))</formula>
    </cfRule>
  </conditionalFormatting>
  <conditionalFormatting sqref="AY19:BC23">
    <cfRule type="containsText" dxfId="17" priority="8" operator="containsText" text="【未入力有】">
      <formula>NOT(ISERROR(SEARCH("【未入力有】",AY19)))</formula>
    </cfRule>
  </conditionalFormatting>
  <conditionalFormatting sqref="BP19:BQ20">
    <cfRule type="containsText" dxfId="16" priority="7" operator="containsText" text="×">
      <formula>NOT(ISERROR(SEARCH("×",BP19)))</formula>
    </cfRule>
  </conditionalFormatting>
  <conditionalFormatting sqref="BR19:BR20">
    <cfRule type="containsText" dxfId="15" priority="6" operator="containsText" text="要修正">
      <formula>NOT(ISERROR(SEARCH("要修正",BR19)))</formula>
    </cfRule>
  </conditionalFormatting>
  <conditionalFormatting sqref="AD7:AD13">
    <cfRule type="containsText" dxfId="14" priority="5" operator="containsText" text="×">
      <formula>NOT(ISERROR(SEARCH("×",AD7)))</formula>
    </cfRule>
  </conditionalFormatting>
  <conditionalFormatting sqref="AE7:AE13">
    <cfRule type="containsText" dxfId="13" priority="4" operator="containsText" text="要修正">
      <formula>NOT(ISERROR(SEARCH("要修正",AE7)))</formula>
    </cfRule>
  </conditionalFormatting>
  <conditionalFormatting sqref="AF16:AF50">
    <cfRule type="containsText" dxfId="12" priority="3" operator="containsText" text="【不備の点】">
      <formula>NOT(ISERROR(SEARCH("【不備の点】",AF16)))</formula>
    </cfRule>
  </conditionalFormatting>
  <conditionalFormatting sqref="AE16:AE50">
    <cfRule type="containsText" dxfId="11" priority="2" operator="containsText" text="【不備の点】">
      <formula>NOT(ISERROR(SEARCH("【不備の点】",AE16)))</formula>
    </cfRule>
  </conditionalFormatting>
  <conditionalFormatting sqref="AD16:AD50">
    <cfRule type="containsText" dxfId="10" priority="1" operator="containsText" text="×">
      <formula>NOT(ISERROR(SEARCH("×",AD16)))</formula>
    </cfRule>
  </conditionalFormatting>
  <dataValidations xWindow="195" yWindow="517" count="8">
    <dataValidation type="list" allowBlank="1" showInputMessage="1" showErrorMessage="1" promptTitle="補助対象の該当非該当" prompt="生体情報モニタの設備整備に係る経費が対象となります。_x000a_医療用消耗品等のランニングコストといった生体情報モニタ自体の整備と直接に関係しないものは補助対象外なので「対象外」を選択してください。_x000a_審査において確認、対象外と認めたものについては対象外として補正をお願いする場合があります。" sqref="J16:J50">
      <formula1>"補助対象,補助対象外"</formula1>
    </dataValidation>
    <dataValidation allowBlank="1" showInputMessage="1" showErrorMessage="1" promptTitle="金額の表示" prompt="数式が入力されているため、自動計算されます。" sqref="K16:K50 I16:I50"/>
    <dataValidation allowBlank="1" showInputMessage="1" showErrorMessage="1" promptTitle="添付書類番号" prompt="種類、規格、数量、単価が全て適切に入力され、右の「判定」が「◎」と表示されると自動で番号が表示されます。" sqref="L16:L50"/>
    <dataValidation allowBlank="1" showInputMessage="1" showErrorMessage="1" promptTitle="単価の入力" prompt="税抜額または税込額のいずれかを入力してください。_x000a_入力しない方は「0」は入力せず、空欄としてください。" sqref="G16:H50"/>
    <dataValidation allowBlank="1" showInputMessage="1" showErrorMessage="1" promptTitle="規格及び数量の入力" prompt="補助対象経費を計上する際、いずれも入力してください。" sqref="E16:F50"/>
    <dataValidation type="list" allowBlank="1" showInputMessage="1" showErrorMessage="1" promptTitle="本体、付属備品の別を選択" prompt="当該行に記載する品目が_x000a_・「装置」_x000a_・「付帯備品」_x000a_の別をプルダウンから選択してください。" sqref="D16:D50">
      <formula1>"装置,付属備品"</formula1>
    </dataValidation>
    <dataValidation allowBlank="1" showInputMessage="1" showErrorMessage="1" promptTitle="補助対象金額" prompt="見積書金額×（見積書金額-割引額）/見積書金額_x000a_で算出されます。" sqref="K10:L11"/>
    <dataValidation allowBlank="1" showInputMessage="1" showErrorMessage="1" promptTitle="割引額がある場合は入力" prompt="割引がない場合は「0円」のままとしてください。" sqref="J10:J11"/>
  </dataValidations>
  <printOptions horizontalCentered="1"/>
  <pageMargins left="0.59055118110236227" right="0.39370078740157483" top="0.39370078740157483" bottom="0.39370078740157483" header="0.31496062992125984" footer="0.31496062992125984"/>
  <pageSetup paperSize="9" scale="53" fitToWidth="0" orientation="portrait" r:id="rId1"/>
  <drawing r:id="rId2"/>
  <legacyDrawing r:id="rId3"/>
  <extLst>
    <ext xmlns:x14="http://schemas.microsoft.com/office/spreadsheetml/2009/9/main" uri="{CCE6A557-97BC-4b89-ADB6-D9C93CAAB3DF}">
      <x14:dataValidations xmlns:xm="http://schemas.microsoft.com/office/excel/2006/main" xWindow="195" yWindow="517" count="2">
        <x14:dataValidation type="list" allowBlank="1" showInputMessage="1" showErrorMessage="1" promptTitle="配備する病床の「新設」「既設」の別を選択" prompt="ベッドに必ずしも紐付けるものではありませんが、１病床１台で紐付けした場合、配備する病床が_x000a_・令和３年度までにコロナ対応病床として指定済のものか_x000a_・令和４年度に指定を受けた・指定予定か_x000a_いずれかを選択してください。">
          <x14:formula1>
            <xm:f>はじめに入力してください!$AO$41:$AO$43</xm:f>
          </x14:formula1>
          <xm:sqref>B16:B50</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不足する病床に番号付けをした場合の番号を選択してください。_x000a_（例）_x000a_　既存の設備２台_x000a_　既設病床２床、新設病床３床の場合_x000a_→既存の設備２台は、既設病床１～２に配備_x000a_　３台申請する場合は「新設病床１」～「新設病床３」を選択して品目等必要情報を入力">
          <x14:formula1>
            <xm:f>OFFSET( はじめに入力してください!$AO$41, 0, MATCH(B16,はじめに入力してください!$AP$40:$AR$40,0), COUNTA(OFFSET(はじめに入力してください!$AO$41,0,MATCH(B16,はじめに入力してください!$AP$40:$AR$40,0),W16,1)),1)</xm:f>
          </x14:formula1>
          <xm:sqref>C16:C50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R190"/>
  <sheetViews>
    <sheetView tabSelected="1" view="pageBreakPreview" zoomScaleNormal="100" zoomScaleSheetLayoutView="100" workbookViewId="0">
      <selection activeCell="AI10" sqref="AI10"/>
    </sheetView>
  </sheetViews>
  <sheetFormatPr defaultColWidth="9" defaultRowHeight="16.5"/>
  <cols>
    <col min="1" max="2" width="3.625" style="246" customWidth="1"/>
    <col min="3" max="7" width="6.125" style="246" customWidth="1"/>
    <col min="8" max="14" width="6.125" style="274" customWidth="1"/>
    <col min="15" max="15" width="10.625" style="268" customWidth="1"/>
    <col min="16" max="16" width="6.125" style="247" customWidth="1"/>
    <col min="17" max="28" width="6.125" style="246" customWidth="1"/>
    <col min="29" max="30" width="3.625" style="246" customWidth="1"/>
    <col min="31" max="32" width="12.625" style="246" customWidth="1"/>
    <col min="33" max="35" width="10.25" style="246" customWidth="1"/>
    <col min="36" max="36" width="40.625" style="247" customWidth="1"/>
    <col min="37" max="37" width="9" style="246"/>
    <col min="38" max="38" width="0" style="246" hidden="1" customWidth="1"/>
    <col min="39" max="16384" width="9" style="246"/>
  </cols>
  <sheetData>
    <row r="1" spans="1:36" ht="140.1" customHeight="1">
      <c r="B1" s="244"/>
      <c r="C1" s="502" t="s">
        <v>618</v>
      </c>
      <c r="D1" s="502"/>
      <c r="E1" s="502"/>
      <c r="F1" s="502"/>
      <c r="G1" s="502"/>
      <c r="H1" s="502"/>
      <c r="I1" s="502"/>
      <c r="J1" s="502"/>
      <c r="K1" s="502"/>
      <c r="L1" s="502"/>
      <c r="M1" s="502"/>
      <c r="N1" s="502"/>
      <c r="O1" s="502"/>
      <c r="P1" s="502"/>
      <c r="Q1" s="502"/>
      <c r="R1" s="502"/>
      <c r="S1" s="502"/>
      <c r="T1" s="502"/>
      <c r="U1" s="502"/>
      <c r="V1" s="502"/>
      <c r="W1" s="502"/>
      <c r="X1" s="502"/>
      <c r="Y1" s="502"/>
      <c r="Z1" s="502"/>
      <c r="AA1" s="502"/>
      <c r="AB1" s="502"/>
      <c r="AC1" s="244"/>
      <c r="AD1" s="244"/>
      <c r="AE1" s="245" t="s">
        <v>44</v>
      </c>
    </row>
    <row r="2" spans="1:36" ht="30" customHeight="1">
      <c r="B2" s="244"/>
      <c r="C2" s="426" t="s">
        <v>137</v>
      </c>
      <c r="D2" s="445"/>
      <c r="E2" s="445"/>
      <c r="F2" s="445"/>
      <c r="G2" s="436"/>
      <c r="H2" s="426" t="s">
        <v>138</v>
      </c>
      <c r="I2" s="445"/>
      <c r="J2" s="445"/>
      <c r="K2" s="445"/>
      <c r="L2" s="445"/>
      <c r="M2" s="445"/>
      <c r="N2" s="436"/>
      <c r="O2" s="248" t="s">
        <v>136</v>
      </c>
      <c r="P2" s="503" t="s">
        <v>121</v>
      </c>
      <c r="Q2" s="430"/>
      <c r="R2" s="430"/>
      <c r="S2" s="430"/>
      <c r="T2" s="430"/>
      <c r="U2" s="430"/>
      <c r="V2" s="430"/>
      <c r="W2" s="430"/>
      <c r="X2" s="430"/>
      <c r="Y2" s="430"/>
      <c r="Z2" s="430"/>
      <c r="AA2" s="430"/>
      <c r="AB2" s="431"/>
      <c r="AC2" s="244"/>
      <c r="AD2" s="244"/>
      <c r="AE2" s="249"/>
    </row>
    <row r="3" spans="1:36" ht="30" customHeight="1">
      <c r="B3" s="244"/>
      <c r="C3" s="504" t="s">
        <v>133</v>
      </c>
      <c r="D3" s="505"/>
      <c r="E3" s="505"/>
      <c r="F3" s="505"/>
      <c r="G3" s="506"/>
      <c r="H3" s="512" t="s">
        <v>134</v>
      </c>
      <c r="I3" s="513"/>
      <c r="J3" s="513"/>
      <c r="K3" s="513"/>
      <c r="L3" s="513"/>
      <c r="M3" s="513"/>
      <c r="N3" s="514"/>
      <c r="O3" s="449" t="str">
        <f xml:space="preserve">
IF(AND(AE3="×",AE4="×",AE5="×"),"×",
IF(AND(AE3="×",AE4="×",AE5="○"),"○"&amp;CHAR(10)&amp;"（公立）",
IF(AND(AE3="×",AE4="○",AE5="×"),"○"&amp;CHAR(10)&amp;"（個人）",
IF(AND(AE3="×",AE4="○",AE5="○"),"×",
IF(AND(AE3="○",AE4="×",AE5="×"),"○"&amp;CHAR(10)&amp;"（法人）",
IF(AND(AE3="○",AE4="×",AE5="○"),"×",
IF(AND(AE3="○",AE4="○",AE5="×"),"×",
IF(AND(AE3="○",AE4="○",AE5="○"),"×",
))))))))</f>
        <v>×</v>
      </c>
      <c r="P3" s="480" t="str">
        <f xml:space="preserve">
IF(AND(AE3="×",AE4="×",AE5="×"),"【要修正】いずれかのボックスにチェックしてください。",
IF(AND(AE3="×",AE4="×",AE5="○"),"適切に入力がされました。",
IF(AND(AE3="×",AE4="○",AE5="×"),"適切に入力がされました。",
IF(AND(AE3="×",AE4="○",AE5="○"),"【要修正】複数のボックスにチェックされています。（いずれか１つのみチェックしてください。）",
IF(AND(AE3="○",AE4="×",AE5="×"),"適切に入力がされました。",
IF(AND(AE3="○",AE4="×",AE5="○"),"【要修正】複数のボックスにチェックされています。（いずれか１つのみチェックしてください。）",
IF(AND(AE3="○",AE4="○",AE5="×"),"【要修正】複数のボックスにチェックされています。（いずれか１つのみチェックしてください。）",
IF(AND(AE3="○",AE4="○",AE5="○"),"【要修正】全てのボックスにチェックされています。（いずれか１つのみチェックしてください。）",
))))))))</f>
        <v>【要修正】いずれかのボックスにチェックしてください。</v>
      </c>
      <c r="Q3" s="481"/>
      <c r="R3" s="481"/>
      <c r="S3" s="481"/>
      <c r="T3" s="481"/>
      <c r="U3" s="481"/>
      <c r="V3" s="481"/>
      <c r="W3" s="481"/>
      <c r="X3" s="430"/>
      <c r="Y3" s="430"/>
      <c r="Z3" s="430"/>
      <c r="AA3" s="430"/>
      <c r="AB3" s="431"/>
      <c r="AC3" s="244"/>
      <c r="AD3" s="244"/>
      <c r="AE3" s="250" t="str">
        <f>IF(AF3=TRUE,"○","×")</f>
        <v>×</v>
      </c>
      <c r="AF3" s="276" t="b">
        <v>0</v>
      </c>
      <c r="AJ3" s="495" t="str">
        <f>IF(OR(O3="○"&amp;CHAR(10)&amp;"（法人）",O3="○"&amp;CHAR(10)&amp;"（個人）"),"",C3&amp;"/")</f>
        <v>法人・個人事業主の別/</v>
      </c>
    </row>
    <row r="4" spans="1:36" ht="30" customHeight="1">
      <c r="B4" s="244"/>
      <c r="C4" s="507"/>
      <c r="D4" s="422"/>
      <c r="E4" s="422"/>
      <c r="F4" s="422"/>
      <c r="G4" s="508"/>
      <c r="H4" s="496" t="s">
        <v>135</v>
      </c>
      <c r="I4" s="497"/>
      <c r="J4" s="497"/>
      <c r="K4" s="497"/>
      <c r="L4" s="497"/>
      <c r="M4" s="497"/>
      <c r="N4" s="498"/>
      <c r="O4" s="449"/>
      <c r="P4" s="480"/>
      <c r="Q4" s="481"/>
      <c r="R4" s="481"/>
      <c r="S4" s="481"/>
      <c r="T4" s="481"/>
      <c r="U4" s="481"/>
      <c r="V4" s="481"/>
      <c r="W4" s="481"/>
      <c r="X4" s="430"/>
      <c r="Y4" s="430"/>
      <c r="Z4" s="430"/>
      <c r="AA4" s="430"/>
      <c r="AB4" s="431"/>
      <c r="AC4" s="244"/>
      <c r="AD4" s="244"/>
      <c r="AE4" s="250" t="str">
        <f>IF(AF4=TRUE,"○","×")</f>
        <v>×</v>
      </c>
      <c r="AF4" s="276" t="b">
        <v>0</v>
      </c>
      <c r="AJ4" s="495"/>
    </row>
    <row r="5" spans="1:36" ht="30" customHeight="1">
      <c r="B5" s="244"/>
      <c r="C5" s="509"/>
      <c r="D5" s="510"/>
      <c r="E5" s="510"/>
      <c r="F5" s="510"/>
      <c r="G5" s="511"/>
      <c r="H5" s="499" t="s">
        <v>254</v>
      </c>
      <c r="I5" s="500"/>
      <c r="J5" s="500"/>
      <c r="K5" s="500"/>
      <c r="L5" s="500"/>
      <c r="M5" s="500"/>
      <c r="N5" s="501"/>
      <c r="O5" s="449"/>
      <c r="P5" s="515"/>
      <c r="Q5" s="481"/>
      <c r="R5" s="481"/>
      <c r="S5" s="481"/>
      <c r="T5" s="481"/>
      <c r="U5" s="481"/>
      <c r="V5" s="481"/>
      <c r="W5" s="481"/>
      <c r="X5" s="430"/>
      <c r="Y5" s="430"/>
      <c r="Z5" s="430"/>
      <c r="AA5" s="430"/>
      <c r="AB5" s="431"/>
      <c r="AC5" s="244"/>
      <c r="AD5" s="244"/>
      <c r="AE5" s="250" t="str">
        <f>IF(AF5=TRUE,"○","×")</f>
        <v>×</v>
      </c>
      <c r="AF5" s="276" t="b">
        <v>0</v>
      </c>
      <c r="AJ5" s="495"/>
    </row>
    <row r="6" spans="1:36" ht="30" customHeight="1">
      <c r="B6" s="244"/>
      <c r="C6" s="426" t="s">
        <v>746</v>
      </c>
      <c r="D6" s="445"/>
      <c r="E6" s="445"/>
      <c r="F6" s="445"/>
      <c r="G6" s="436"/>
      <c r="H6" s="451"/>
      <c r="I6" s="452"/>
      <c r="J6" s="452"/>
      <c r="K6" s="452"/>
      <c r="L6" s="452"/>
      <c r="M6" s="452"/>
      <c r="N6" s="453"/>
      <c r="O6" s="251" t="str">
        <f>IF(COUNTA(H6)=0,"×","○")</f>
        <v>×</v>
      </c>
      <c r="P6" s="423" t="str">
        <f>IF(O6="×","【要修正】法人の場合は法人名、個人事業主の場合は屋号を入力してください。","適切に入力がされました。")</f>
        <v>【要修正】法人の場合は法人名、個人事業主の場合は屋号を入力してください。</v>
      </c>
      <c r="Q6" s="475"/>
      <c r="R6" s="475"/>
      <c r="S6" s="475"/>
      <c r="T6" s="475"/>
      <c r="U6" s="475"/>
      <c r="V6" s="475"/>
      <c r="W6" s="475"/>
      <c r="X6" s="430"/>
      <c r="Y6" s="430"/>
      <c r="Z6" s="430"/>
      <c r="AA6" s="430"/>
      <c r="AB6" s="431"/>
      <c r="AC6" s="244"/>
      <c r="AD6" s="244"/>
      <c r="AJ6" s="252" t="str">
        <f>IF(O6="○","",C6&amp;"/")</f>
        <v>事業者名（法人名または屋号）/</v>
      </c>
    </row>
    <row r="7" spans="1:36" ht="30" customHeight="1">
      <c r="B7" s="244"/>
      <c r="C7" s="426" t="s">
        <v>13</v>
      </c>
      <c r="D7" s="445"/>
      <c r="E7" s="445"/>
      <c r="F7" s="445"/>
      <c r="G7" s="436"/>
      <c r="H7" s="451"/>
      <c r="I7" s="452"/>
      <c r="J7" s="452"/>
      <c r="K7" s="452"/>
      <c r="L7" s="452"/>
      <c r="M7" s="452"/>
      <c r="N7" s="453"/>
      <c r="O7" s="251" t="str">
        <f>IF(COUNTA(H7)=0,"×","○")</f>
        <v>×</v>
      </c>
      <c r="P7" s="423" t="str">
        <f>IF(O7="×","【要修正】代表者の職名（「理事長」等）を入力してください。","適切に入力がされました。")</f>
        <v>【要修正】代表者の職名（「理事長」等）を入力してください。</v>
      </c>
      <c r="Q7" s="475"/>
      <c r="R7" s="475"/>
      <c r="S7" s="475"/>
      <c r="T7" s="475"/>
      <c r="U7" s="475"/>
      <c r="V7" s="475"/>
      <c r="W7" s="475"/>
      <c r="X7" s="430"/>
      <c r="Y7" s="430"/>
      <c r="Z7" s="430"/>
      <c r="AA7" s="430"/>
      <c r="AB7" s="431"/>
      <c r="AC7" s="244"/>
      <c r="AD7" s="244"/>
      <c r="AG7" s="246" t="s">
        <v>80</v>
      </c>
      <c r="AH7" s="246" t="s">
        <v>82</v>
      </c>
      <c r="AI7" s="246" t="s">
        <v>84</v>
      </c>
      <c r="AJ7" s="252" t="str">
        <f>IF(O7="○","",C7&amp;"/")</f>
        <v>代表者役職/</v>
      </c>
    </row>
    <row r="8" spans="1:36" ht="30" customHeight="1">
      <c r="B8" s="244"/>
      <c r="C8" s="426" t="s">
        <v>11</v>
      </c>
      <c r="D8" s="445"/>
      <c r="E8" s="445"/>
      <c r="F8" s="445"/>
      <c r="G8" s="436"/>
      <c r="H8" s="451"/>
      <c r="I8" s="452"/>
      <c r="J8" s="452"/>
      <c r="K8" s="452"/>
      <c r="L8" s="452"/>
      <c r="M8" s="452"/>
      <c r="N8" s="453"/>
      <c r="O8" s="251" t="str">
        <f>IF(COUNTA(H8)=0,"×","○")</f>
        <v>×</v>
      </c>
      <c r="P8" s="423" t="str">
        <f>IF(O8="×","【要修正】代表者の氏名（例：「愛知　太郎」）を入力してください。","適切に入力がされました。")</f>
        <v>【要修正】代表者の氏名（例：「愛知　太郎」）を入力してください。</v>
      </c>
      <c r="Q8" s="475"/>
      <c r="R8" s="475"/>
      <c r="S8" s="475"/>
      <c r="T8" s="475"/>
      <c r="U8" s="475"/>
      <c r="V8" s="475"/>
      <c r="W8" s="475"/>
      <c r="X8" s="430"/>
      <c r="Y8" s="430"/>
      <c r="Z8" s="430"/>
      <c r="AA8" s="430"/>
      <c r="AB8" s="431"/>
      <c r="AC8" s="244"/>
      <c r="AD8" s="244"/>
      <c r="AE8" s="246" t="s">
        <v>663</v>
      </c>
      <c r="AF8" s="246" t="str">
        <f>表紙!V8</f>
        <v>変更申請</v>
      </c>
      <c r="AJ8" s="252" t="str">
        <f>IF(O8="○","",C8&amp;"/")</f>
        <v>代表者氏名/</v>
      </c>
    </row>
    <row r="9" spans="1:36" ht="30" customHeight="1">
      <c r="B9" s="244"/>
      <c r="C9" s="426" t="s">
        <v>21</v>
      </c>
      <c r="D9" s="445"/>
      <c r="E9" s="445"/>
      <c r="F9" s="445"/>
      <c r="G9" s="436"/>
      <c r="H9" s="451"/>
      <c r="I9" s="452"/>
      <c r="J9" s="452"/>
      <c r="K9" s="452"/>
      <c r="L9" s="452"/>
      <c r="M9" s="452"/>
      <c r="N9" s="453"/>
      <c r="O9" s="251" t="str">
        <f>IF(COUNTA(H9)=0,"×","○")</f>
        <v>×</v>
      </c>
      <c r="P9" s="423" t="str">
        <f>IF(O9="×","【要修正】法人の場合は法人所在地、個人事業主の場合は貴医療機関の所在地を入力してください","適切に入力がされました。")</f>
        <v>【要修正】法人の場合は法人所在地、個人事業主の場合は貴医療機関の所在地を入力してください</v>
      </c>
      <c r="Q9" s="475"/>
      <c r="R9" s="475"/>
      <c r="S9" s="475"/>
      <c r="T9" s="475"/>
      <c r="U9" s="475"/>
      <c r="V9" s="475"/>
      <c r="W9" s="475"/>
      <c r="X9" s="430"/>
      <c r="Y9" s="430"/>
      <c r="Z9" s="430"/>
      <c r="AA9" s="430"/>
      <c r="AB9" s="431"/>
      <c r="AC9" s="244"/>
      <c r="AD9" s="244"/>
      <c r="AE9" s="246" t="s">
        <v>664</v>
      </c>
      <c r="AF9" s="246" t="s">
        <v>665</v>
      </c>
      <c r="AG9" s="246">
        <v>2022</v>
      </c>
      <c r="AH9" s="246">
        <v>8</v>
      </c>
      <c r="AI9" s="246">
        <v>10</v>
      </c>
      <c r="AJ9" s="252" t="str">
        <f>IF(O9="○","",C9&amp;"/")</f>
        <v>所在地/</v>
      </c>
    </row>
    <row r="10" spans="1:36" ht="30" customHeight="1">
      <c r="B10" s="244"/>
      <c r="C10" s="426" t="s">
        <v>45</v>
      </c>
      <c r="D10" s="445"/>
      <c r="E10" s="445"/>
      <c r="F10" s="445"/>
      <c r="G10" s="436"/>
      <c r="H10" s="451"/>
      <c r="I10" s="452"/>
      <c r="J10" s="452"/>
      <c r="K10" s="452"/>
      <c r="L10" s="452"/>
      <c r="M10" s="452"/>
      <c r="N10" s="453"/>
      <c r="O10" s="251" t="str">
        <f xml:space="preserve">
IF(O3="×","×",
IF(AND(OR(O3="○"&amp;CHAR(10)&amp;"（個人）",O3="○"&amp;CHAR(10)&amp;"（法人）"),H10=""),"×",
IF(AND(O3="○"&amp;CHAR(10)&amp;"（法人）",H6=H10),"×",
IF(AND(O3="○"&amp;CHAR(10)&amp;"（法人）",H6&lt;&gt;H10),"○",
IF(AND(O3="○"&amp;CHAR(10)&amp;"（個人）",H6=H10),"○",
IF(AND(O3="○"&amp;CHAR(10)&amp;"（個人）",H6&lt;&gt;H10),"×",
IF(AND(O3="○"&amp;CHAR(10)&amp;"（公立）",H6=H10),"×",
IF(AND(O3="○"&amp;CHAR(10)&amp;"（公立）",H6&lt;&gt;H10),"○"
))))))))</f>
        <v>×</v>
      </c>
      <c r="P10" s="480" t="str">
        <f xml:space="preserve">
IF(O3="×","【要修正】「法人・個人事業主の別」の入力に問題があります。",
IF(AND(OR(O3="○"&amp;CHAR(10)&amp;"（個人）",O3="○"&amp;CHAR(10)&amp;"（法人）",O3="○"&amp;CHAR(10)&amp;"（公立）"),H10=""),"【要修正】医療機関の施設名称を入力してください。",
IF(AND(O3="○"&amp;CHAR(10)&amp;"（法人）",H6=H10),"【要修正】法人名ではなく、施設名を入力してください。（「医療法人」等は記載不要）",
IF(AND(O3="○"&amp;CHAR(10)&amp;"（法人）",H6&lt;&gt;H10),"適切に入力がされました。",
IF(AND(O3="○"&amp;CHAR(10)&amp;"（個人）",H6=H10),"適切に入力がされました。",
IF(AND(O3="○"&amp;CHAR(10)&amp;"（個人）",H6&lt;&gt;H10),"【要修正】個人事業主の場合は「事業者名」欄と一致するように入力してください。（コピー＆貼り付け入力推奨）",
IF(AND(O3="○"&amp;CHAR(10)&amp;"（公立）",H6=H10),"【要修正】自治体名ではなく、施設名を入力してください。（自治体名の記載は不要）",
IF(AND(O3="○"&amp;CHAR(10)&amp;"（公立）",H6&lt;&gt;H10),"適切に入力がされました。"
))))))))</f>
        <v>【要修正】「法人・個人事業主の別」の入力に問題があります。</v>
      </c>
      <c r="Q10" s="481"/>
      <c r="R10" s="481"/>
      <c r="S10" s="481"/>
      <c r="T10" s="481"/>
      <c r="U10" s="481"/>
      <c r="V10" s="481"/>
      <c r="W10" s="481"/>
      <c r="X10" s="430"/>
      <c r="Y10" s="430"/>
      <c r="Z10" s="430"/>
      <c r="AA10" s="430"/>
      <c r="AB10" s="431"/>
      <c r="AC10" s="244"/>
      <c r="AD10" s="244"/>
      <c r="AF10" s="246" t="s">
        <v>666</v>
      </c>
      <c r="AG10" s="246">
        <v>2022</v>
      </c>
      <c r="AH10" s="246">
        <v>8</v>
      </c>
      <c r="AI10" s="246">
        <v>24</v>
      </c>
      <c r="AJ10" s="252" t="str">
        <f xml:space="preserve">
IF(O3="×","",
IF(AND(OR(O3="○"&amp;CHAR(10)&amp;"（個人）",O3="○"&amp;CHAR(10)&amp;"（法人）",O3="○"&amp;CHAR(10)&amp;"（公立）"),H10=""),C10,
IF(AND(O3="○"&amp;CHAR(10)&amp;"（法人）",H6=H10),C10,
IF(AND(O3="○"&amp;CHAR(10)&amp;"（法人）",H6&lt;&gt;H10),"",
IF(AND(O3="○"&amp;CHAR(10)&amp;"（個人）",H6=H10),"",
IF(AND(O3="○"&amp;CHAR(10)&amp;"（個人）",H6&lt;&gt;H10),C10,
IF(AND(O3="○"&amp;CHAR(10)&amp;"（公立）",H6=H10),C10,
IF(AND(O3="○"&amp;CHAR(10)&amp;"（公立）",H6&lt;&gt;H10),""
))))))))</f>
        <v/>
      </c>
    </row>
    <row r="11" spans="1:36" ht="30" customHeight="1">
      <c r="B11" s="253"/>
      <c r="C11" s="426" t="s">
        <v>39</v>
      </c>
      <c r="D11" s="445"/>
      <c r="E11" s="445"/>
      <c r="F11" s="445"/>
      <c r="G11" s="436"/>
      <c r="H11" s="451"/>
      <c r="I11" s="452"/>
      <c r="J11" s="452"/>
      <c r="K11" s="452"/>
      <c r="L11" s="452"/>
      <c r="M11" s="452"/>
      <c r="N11" s="453"/>
      <c r="O11" s="251" t="str">
        <f>IF(COUNTA(H11)=0,"×","○")</f>
        <v>×</v>
      </c>
      <c r="P11" s="480" t="str">
        <f>IF(COUNTA(H11)=0,"【要修正】「施設の名称」欄に入力した施設の所在地を入力してください。","適切に入力がされました。")</f>
        <v>【要修正】「施設の名称」欄に入力した施設の所在地を入力してください。</v>
      </c>
      <c r="Q11" s="481"/>
      <c r="R11" s="481"/>
      <c r="S11" s="481"/>
      <c r="T11" s="481"/>
      <c r="U11" s="481"/>
      <c r="V11" s="481"/>
      <c r="W11" s="481"/>
      <c r="X11" s="481"/>
      <c r="Y11" s="481"/>
      <c r="Z11" s="481"/>
      <c r="AA11" s="481"/>
      <c r="AB11" s="482"/>
      <c r="AC11" s="253"/>
      <c r="AD11" s="253"/>
      <c r="AE11" s="246" t="s">
        <v>667</v>
      </c>
      <c r="AF11" s="246" t="s">
        <v>665</v>
      </c>
      <c r="AG11" s="246">
        <v>2022</v>
      </c>
      <c r="AH11" s="246">
        <v>5</v>
      </c>
      <c r="AI11" s="246">
        <v>11</v>
      </c>
      <c r="AJ11" s="252" t="str">
        <f>IF(O11="○","",C11&amp;"/")</f>
        <v>施設所在地/</v>
      </c>
    </row>
    <row r="12" spans="1:36" ht="30" customHeight="1">
      <c r="B12" s="253"/>
      <c r="C12" s="484" t="s">
        <v>620</v>
      </c>
      <c r="D12" s="485"/>
      <c r="E12" s="485"/>
      <c r="F12" s="485"/>
      <c r="G12" s="486"/>
      <c r="H12" s="490" t="s">
        <v>188</v>
      </c>
      <c r="I12" s="491"/>
      <c r="J12" s="491"/>
      <c r="K12" s="277"/>
      <c r="L12" s="254" t="s">
        <v>190</v>
      </c>
      <c r="M12" s="426" t="s">
        <v>7</v>
      </c>
      <c r="N12" s="428"/>
      <c r="O12" s="251" t="str">
        <f>IF(COUNTA(K12)=0,"×","○")</f>
        <v>×</v>
      </c>
      <c r="P12" s="480" t="str">
        <f>IF(O12="×","【要修正】「既設病床数」欄に令和３年度までに指定を受けている病床数を入力してください。","適切に入力がされました。")</f>
        <v>【要修正】「既設病床数」欄に令和３年度までに指定を受けている病床数を入力してください。</v>
      </c>
      <c r="Q12" s="481"/>
      <c r="R12" s="481"/>
      <c r="S12" s="481"/>
      <c r="T12" s="481"/>
      <c r="U12" s="481"/>
      <c r="V12" s="481"/>
      <c r="W12" s="481"/>
      <c r="X12" s="481"/>
      <c r="Y12" s="481"/>
      <c r="Z12" s="481"/>
      <c r="AA12" s="481"/>
      <c r="AB12" s="482"/>
      <c r="AC12" s="253"/>
      <c r="AD12" s="253"/>
      <c r="AE12" s="246" t="s">
        <v>667</v>
      </c>
      <c r="AF12" s="246" t="s">
        <v>666</v>
      </c>
      <c r="AG12" s="246">
        <v>2022</v>
      </c>
      <c r="AH12" s="246">
        <v>6</v>
      </c>
      <c r="AI12" s="246">
        <v>10</v>
      </c>
      <c r="AJ12" s="275" t="str">
        <f>IF(O12="○","",C11&amp;"（既設病床数）/")</f>
        <v>施設所在地（既設病床数）/</v>
      </c>
    </row>
    <row r="13" spans="1:36" ht="30" customHeight="1">
      <c r="B13" s="253"/>
      <c r="C13" s="487"/>
      <c r="D13" s="488"/>
      <c r="E13" s="488"/>
      <c r="F13" s="488"/>
      <c r="G13" s="489"/>
      <c r="H13" s="490" t="s">
        <v>189</v>
      </c>
      <c r="I13" s="491"/>
      <c r="J13" s="491"/>
      <c r="K13" s="277"/>
      <c r="L13" s="254" t="s">
        <v>190</v>
      </c>
      <c r="M13" s="255">
        <f>SUM(K12:K13)</f>
        <v>0</v>
      </c>
      <c r="N13" s="256" t="s">
        <v>190</v>
      </c>
      <c r="O13" s="251" t="str">
        <f>IF(COUNTA(K13)=0,"×","○")</f>
        <v>×</v>
      </c>
      <c r="P13" s="480" t="str">
        <f>IF(O13="×","【要修正】「今年度整備病床数」欄に今年度に指定を受け整備または整備予定の病床数を入力してください。","適切に入力がされました。")</f>
        <v>【要修正】「今年度整備病床数」欄に今年度に指定を受け整備または整備予定の病床数を入力してください。</v>
      </c>
      <c r="Q13" s="481"/>
      <c r="R13" s="481"/>
      <c r="S13" s="481"/>
      <c r="T13" s="481"/>
      <c r="U13" s="481"/>
      <c r="V13" s="481"/>
      <c r="W13" s="481"/>
      <c r="X13" s="481"/>
      <c r="Y13" s="481"/>
      <c r="Z13" s="481"/>
      <c r="AA13" s="481"/>
      <c r="AB13" s="482"/>
      <c r="AC13" s="253"/>
      <c r="AD13" s="253"/>
      <c r="AE13" s="246" t="s">
        <v>668</v>
      </c>
      <c r="AG13" s="246">
        <f>IF(I14=4,2022,IF(I14=5,2023,2022))</f>
        <v>2022</v>
      </c>
      <c r="AH13" s="246">
        <f>IF(K14="",4,K14)</f>
        <v>4</v>
      </c>
      <c r="AI13" s="246">
        <f>IF(M14="",1,M14)</f>
        <v>1</v>
      </c>
      <c r="AJ13" s="275" t="str">
        <f>IF(O13="○","",C12&amp;"（今年度整備病床数）/")</f>
        <v>新型コロナウイルス感染症患者対応病床数（今年度整備病床数）/</v>
      </c>
    </row>
    <row r="14" spans="1:36" ht="65.099999999999994" customHeight="1">
      <c r="A14" s="268"/>
      <c r="B14" s="390"/>
      <c r="C14" s="426" t="s">
        <v>15</v>
      </c>
      <c r="D14" s="445"/>
      <c r="E14" s="445"/>
      <c r="F14" s="445"/>
      <c r="G14" s="436"/>
      <c r="H14" s="257" t="s">
        <v>79</v>
      </c>
      <c r="I14" s="258"/>
      <c r="J14" s="259" t="s">
        <v>81</v>
      </c>
      <c r="K14" s="258"/>
      <c r="L14" s="259" t="s">
        <v>139</v>
      </c>
      <c r="M14" s="258"/>
      <c r="N14" s="260" t="s">
        <v>140</v>
      </c>
      <c r="O14" s="251" t="str">
        <f xml:space="preserve">
IF(AND(AF8="交付申請",COUNTA(I14,K14,M14)=3,DATE(AG13,AH13,AI13)&lt;=DATE(AG12,AH12,AI12),DATE(AG13,AH13,AI13)&gt;=DATE(AG11,AH11,AI11)),"○",
IF(AND(AF8="交付申請",OR(COUNTA(I14,K14,M14)&lt;&gt;3,DATE(AG13,AH13,AI13)&gt;DATE(AG12,AH12,AI12),DATE(AG13,AH13,AI13)&lt;DATE(AG11,AH11,AI11))),"×",
IF(AND(AF8="変更申請",COUNTA(I14,K14,M14)=3,DATE(AG13,AH13,AI13)&lt;=DATE(AG10,AH10,AI10),DATE(AG13,AH13,AI13)&gt;=DATE(AG9,AH9,AI9)),"○",
IF(AND(AF8="変更申請",OR(COUNTA(I14,K14,M14)&lt;&gt;3,DATE(AG13,AH13,AI13)&gt;DATE(AG10,AH10,AI10),DATE(AG13,AH13,AI13)&lt;DATE(AG9,AH9,AI9))),"×",
IF(AND(AF8="実績報告",COUNTA(L20)&lt;&gt;1,額内訳書!AS2="×"),
"×",
IF(AND(AF8="実績報告",COUNTA(L20)=1,額内訳書!AS2="×"),
"×",
IF(AND(AF8="実績報告",COUNTA(L20)&lt;&gt;1,額内訳書!AS2="○"),
"×",
IF(AND(AF8="実績報告",COUNTA(L20)=1,額内訳書!AS2="○",OR(DATE(AG13,AH13,AI13)&lt;MAX(DATE(AG14,AH14,AI14),DATE(AG15,AH15,AI15)),DATE(AG13,AH13,AI13)&gt;MAX(DATE(AG14,AH14,AI14+30),DATE(AG15,AH15,AI15+30)))),
"×",
IF(AND(AF8="実績報告",COUNTA(L20)=1,額内訳書!AS2="○",DATE(AG13,AH13,AI13)&gt;=MAX(DATE(AG14,AH14,AI14),DATE(AG15,AH15,AI15)),DATE(AG13,AH13,AI13)&lt;=MAX(DATE(AG14,AH14,AI14+30),DATE(AG15,AH15,AI15+30))),
"○"
)))))))))</f>
        <v>×</v>
      </c>
      <c r="P14" s="483" t="str">
        <f xml:space="preserve">
IF(AND(AF8="交付申請",COUNTA(I14,K14,M14)=3,DATE(AG13,AH13,AI13)&lt;=DATE(AG12,AH12,AI12),DATE(AG13,AH13,AI13)&gt;=DATE(AG11,AH11,AI11)),"適切に入力がされました。",
IF(AND(AF8="交付申請",OR(COUNTA(I14,K14,M14)&lt;&gt;3,DATE(AG13,AH13,AI13)&gt;DATE(AG12,AH12,AI12),DATE(AG13,AH13,AI13)&lt;DATE(AG11,AH11,AI11))),"【要修正】申請日（"&amp;TEXT(AG11,"yyyy年mm月dd日")&amp;"）までの日付を入力してください。",
IF(AND(AF8="変更申請",COUNTA(I14,K14,M14)=3,DATE(AG13,AH13,AI13)&lt;=DATE(AG10,AH10,AI10),DATE(AG13,AH13,AI13)&gt;=DATE(AG9,AH9,AI9)),"適切に入力がされました。",
IF(AND(AF8="変更申請",OR(COUNTA(I14,K14,M14)&lt;&gt;3,DATE(AG13,AH13,AI13)&gt;DATE(AG10,AH10,AI10),DATE(AG13,AH13,AI13)&lt;DATE(AG9,AH9,AI9))),"【要修正】受付期間の日付"&amp;"（"&amp;TEXT(DATE(AG9,AH9,AI9),"yyyy年mm月dd日")&amp;"～"&amp;TEXT(DATE(AG10,AH10,AI10),"mm月dd日")&amp;"）"&amp;"の日付を入力してください。",
IF(AND(AF8="実績報告",COUNTA(L20)&lt;&gt;1,額内訳書!AS2="×"),
"【要修正】《日付は入力されています。関連の記入欄（交付決定番号、事業完了日）が適切に入力されると×の判定は解消されます。》交付決定日、事業完了日のいずれか遅い日から30日後までの日付を入力してください。（交付決定番号（下部に記入欄あり）及び額内訳書（別シート）に事業完了日を入力すると、提出日とすべき期間がコメントに表示されます。）",
IF(AND(AF8="実績報告",COUNTA(L20)=1,額内訳書!AS2="×"),
"【要修正】関係項目を入力し整合が取れると判定が○となります。"&amp;CHAR(10)&amp;"・交付決定日："&amp;TEXT(DATE(AG15,AH15,AI15),"yyyy年mm月dd日")&amp;"→"&amp;TEXT(DATE(AG15,AH15,AI15),"mm月dd日")&amp;"～"&amp;TEXT(DATE(AG15,AH15,AI15+30),"mm月dd日")&amp;CHAR(10)&amp;"・事業完了日：額内訳書（別シート）に事業完了日を入力すると、交付決定日および事業完了日から提出日とすべき期間がコメントに表示されます。）",
IF(AND(AF8="実績報告",COUNTA(L20)&lt;&gt;1,額内訳書!AS2="○"),
"【要修正】関係項目を入力し整合が取れると判定が○となります。"&amp;CHAR(10)&amp;"・交付決定日：交付決定番号（下部の欄）を入力すると、交付決定日および事業完了日から提出日とすべき期間がコメントに表示されます。）"&amp;CHAR(10)&amp;"・事業完了日："&amp;TEXT(DATE(AG14,AH14,AI14),"yyyy年mm月dd日")&amp;"→"&amp;TEXT(DATE(AG14,AH14,AI14),"mm月dd日")&amp;"～"&amp;TEXT(DATE(AG14,AH14,AI14+30),"mm月dd日"),
IF(AND(AF8="実績報告",COUNTA(L20)=1,額内訳書!AS2="○",OR(DATE(AG13,AH13,AI13)&lt;MAX(DATE(AG14,AH14,AI14),DATE(AG15,AH15,AI15)),DATE(AG13,AH13,AI13)&gt;MAX(DATE(AG14,AH14,AI14+30),DATE(AG15,AH15,AI15+30)))),
"【要修正】交付決定日および事業完了日から提出日とすべき期間は"&amp;TEXT(MAX(DATE(AG14,AH14,AI14),DATE(AG15,AH15,AI15)),"mm月dd日")&amp;"から"&amp;TEXT(MAX(DATE(AG14,AH14,AI14+30),DATE(AG15,AH15,AI15+30)),"mm月dd日")&amp;"までの日付としてください。",
IF(AND(AF8="実績報告",COUNTA(L20)=1,額内訳書!AS2="○",DATE(AG13,AH13,AI13)&gt;=MAX(DATE(AG14,AH14,AI14),DATE(AG15,AH15,AI15)),DATE(AG13,AH13,AI13)&lt;=MAX(DATE(AG14,AH14,AI14+30),DATE(AG15,AH15,AI15+30))),
"適切に入力がされました。"
)))))))))</f>
        <v>【要修正】受付期間の日付（2022年08月10日～08月24日）の日付を入力してください。</v>
      </c>
      <c r="Q14" s="481"/>
      <c r="R14" s="481"/>
      <c r="S14" s="481"/>
      <c r="T14" s="481"/>
      <c r="U14" s="481"/>
      <c r="V14" s="481"/>
      <c r="W14" s="481"/>
      <c r="X14" s="481"/>
      <c r="Y14" s="481"/>
      <c r="Z14" s="481"/>
      <c r="AA14" s="481"/>
      <c r="AB14" s="482"/>
      <c r="AC14" s="253"/>
      <c r="AD14" s="253"/>
      <c r="AE14" s="389" t="str">
        <f xml:space="preserve">
IF(表紙!V8="交付申請","事業完了予定日",
IF(表紙!V8="変更申請","事業完了予定日",
IF(表紙!V8="実績報告","事業完了日")))</f>
        <v>事業完了予定日</v>
      </c>
      <c r="AF14" s="261"/>
      <c r="AG14" s="356">
        <f>IFERROR(VLOOKUP(MAX(額内訳書!AW7:AW29),額内訳書!AW:AZ,2,FALSE),2022)</f>
        <v>2022</v>
      </c>
      <c r="AH14" s="356">
        <f>IFERROR(VLOOKUP(MAX(額内訳書!AW7:AW29),額内訳書!AW:AZ,3,FALSE),4)</f>
        <v>4</v>
      </c>
      <c r="AI14" s="356">
        <f>IFERROR(VLOOKUP(MAX(額内訳書!AW7:AW29),額内訳書!AW:AZ,4,FALSE),1)</f>
        <v>1</v>
      </c>
      <c r="AJ14" s="252" t="str">
        <f t="shared" ref="AJ14:AJ21" si="0">IF(O14="○","",C14&amp;"/")</f>
        <v>提出日/</v>
      </c>
    </row>
    <row r="15" spans="1:36" ht="30" customHeight="1">
      <c r="B15" s="253"/>
      <c r="C15" s="426" t="s">
        <v>16</v>
      </c>
      <c r="D15" s="445"/>
      <c r="E15" s="445"/>
      <c r="F15" s="445"/>
      <c r="G15" s="436"/>
      <c r="H15" s="451"/>
      <c r="I15" s="452"/>
      <c r="J15" s="452"/>
      <c r="K15" s="452"/>
      <c r="L15" s="452"/>
      <c r="M15" s="452"/>
      <c r="N15" s="453"/>
      <c r="O15" s="251" t="s">
        <v>142</v>
      </c>
      <c r="P15" s="480" t="s">
        <v>255</v>
      </c>
      <c r="Q15" s="481"/>
      <c r="R15" s="481"/>
      <c r="S15" s="481"/>
      <c r="T15" s="481"/>
      <c r="U15" s="481"/>
      <c r="V15" s="481"/>
      <c r="W15" s="481"/>
      <c r="X15" s="481"/>
      <c r="Y15" s="481"/>
      <c r="Z15" s="481"/>
      <c r="AA15" s="481"/>
      <c r="AB15" s="482"/>
      <c r="AC15" s="253"/>
      <c r="AD15" s="253"/>
      <c r="AE15" s="246" t="s">
        <v>669</v>
      </c>
      <c r="AG15" s="246">
        <f>IFERROR(VLOOKUP(L20,リスト!A:DU,123,FALSE),2022)</f>
        <v>2022</v>
      </c>
      <c r="AH15" s="246">
        <f>IFERROR(VLOOKUP(L20,リスト!A:DU,124,FALSE),4)</f>
        <v>4</v>
      </c>
      <c r="AI15" s="246">
        <f>IFERROR(VLOOKUP(L20,リスト!A:DU,125,FALSE),1)</f>
        <v>1</v>
      </c>
      <c r="AJ15" s="252" t="str">
        <f t="shared" si="0"/>
        <v/>
      </c>
    </row>
    <row r="16" spans="1:36" ht="30" customHeight="1">
      <c r="B16" s="244"/>
      <c r="C16" s="426" t="s">
        <v>17</v>
      </c>
      <c r="D16" s="445"/>
      <c r="E16" s="445"/>
      <c r="F16" s="445"/>
      <c r="G16" s="436"/>
      <c r="H16" s="451"/>
      <c r="I16" s="452"/>
      <c r="J16" s="452"/>
      <c r="K16" s="452"/>
      <c r="L16" s="452"/>
      <c r="M16" s="452"/>
      <c r="N16" s="453"/>
      <c r="O16" s="251" t="str">
        <f>IF(COUNTA(H16)=0,"×","○")</f>
        <v>×</v>
      </c>
      <c r="P16" s="423" t="str">
        <f>IF(COUNTA(H16)=0,"【要修正】この申請をご担当される方が所属する部署名、部署を置いていない場合は職務（例：医師、事務等）を入力してください。","適切に入力がされました。")</f>
        <v>【要修正】この申請をご担当される方が所属する部署名、部署を置いていない場合は職務（例：医師、事務等）を入力してください。</v>
      </c>
      <c r="Q16" s="475"/>
      <c r="R16" s="475"/>
      <c r="S16" s="475"/>
      <c r="T16" s="475"/>
      <c r="U16" s="475"/>
      <c r="V16" s="475"/>
      <c r="W16" s="475"/>
      <c r="X16" s="430"/>
      <c r="Y16" s="430"/>
      <c r="Z16" s="430"/>
      <c r="AA16" s="430"/>
      <c r="AB16" s="431"/>
      <c r="AC16" s="244"/>
      <c r="AD16" s="244"/>
      <c r="AE16" s="246" t="s">
        <v>670</v>
      </c>
      <c r="AG16" s="246">
        <v>2022</v>
      </c>
      <c r="AH16" s="246">
        <v>9</v>
      </c>
      <c r="AI16" s="246">
        <v>30</v>
      </c>
      <c r="AJ16" s="252" t="str">
        <f t="shared" si="0"/>
        <v>担当部署/</v>
      </c>
    </row>
    <row r="17" spans="2:38" ht="30" customHeight="1">
      <c r="B17" s="244"/>
      <c r="C17" s="426" t="s">
        <v>18</v>
      </c>
      <c r="D17" s="445"/>
      <c r="E17" s="445"/>
      <c r="F17" s="445"/>
      <c r="G17" s="436"/>
      <c r="H17" s="451"/>
      <c r="I17" s="452"/>
      <c r="J17" s="452"/>
      <c r="K17" s="452"/>
      <c r="L17" s="452"/>
      <c r="M17" s="452"/>
      <c r="N17" s="453"/>
      <c r="O17" s="251" t="str">
        <f>IF(COUNTA(H17)=0,"×","○")</f>
        <v>×</v>
      </c>
      <c r="P17" s="423" t="str">
        <f>IF(COUNTA(H17)=0,"【要修正】この申請をご担当される方の氏名（フルネーム）を入力してください。（例：愛知　太郎）","適切に入力がされました。")</f>
        <v>【要修正】この申請をご担当される方の氏名（フルネーム）を入力してください。（例：愛知　太郎）</v>
      </c>
      <c r="Q17" s="475"/>
      <c r="R17" s="475"/>
      <c r="S17" s="475"/>
      <c r="T17" s="475"/>
      <c r="U17" s="475"/>
      <c r="V17" s="475"/>
      <c r="W17" s="475"/>
      <c r="X17" s="430"/>
      <c r="Y17" s="430"/>
      <c r="Z17" s="430"/>
      <c r="AA17" s="430"/>
      <c r="AB17" s="431"/>
      <c r="AC17" s="244"/>
      <c r="AD17" s="244"/>
      <c r="AJ17" s="252" t="str">
        <f t="shared" si="0"/>
        <v>担当者名/</v>
      </c>
    </row>
    <row r="18" spans="2:38" ht="30" customHeight="1">
      <c r="B18" s="244"/>
      <c r="C18" s="426" t="s">
        <v>131</v>
      </c>
      <c r="D18" s="445"/>
      <c r="E18" s="445"/>
      <c r="F18" s="445"/>
      <c r="G18" s="436"/>
      <c r="H18" s="451"/>
      <c r="I18" s="452"/>
      <c r="J18" s="452"/>
      <c r="K18" s="452"/>
      <c r="L18" s="452"/>
      <c r="M18" s="452"/>
      <c r="N18" s="453"/>
      <c r="O18" s="251" t="str">
        <f>IF(COUNTA(H18)=0,"×","○")</f>
        <v>×</v>
      </c>
      <c r="P18" s="423" t="str">
        <f>IF(COUNTA(H18)=0,"【要修正】申請に関するやりとりをするための電話番号を入力してください。","適切に入力がされました。")</f>
        <v>【要修正】申請に関するやりとりをするための電話番号を入力してください。</v>
      </c>
      <c r="Q18" s="475"/>
      <c r="R18" s="475"/>
      <c r="S18" s="475"/>
      <c r="T18" s="475"/>
      <c r="U18" s="475"/>
      <c r="V18" s="475"/>
      <c r="W18" s="475"/>
      <c r="X18" s="430"/>
      <c r="Y18" s="430"/>
      <c r="Z18" s="430"/>
      <c r="AA18" s="430"/>
      <c r="AB18" s="431"/>
      <c r="AC18" s="244"/>
      <c r="AD18" s="244"/>
      <c r="AJ18" s="252" t="str">
        <f t="shared" si="0"/>
        <v>電話番号（担当直通）/</v>
      </c>
      <c r="AL18" s="246" t="s">
        <v>256</v>
      </c>
    </row>
    <row r="19" spans="2:38" ht="30" customHeight="1">
      <c r="B19" s="244"/>
      <c r="C19" s="426" t="s">
        <v>132</v>
      </c>
      <c r="D19" s="445"/>
      <c r="E19" s="445"/>
      <c r="F19" s="445"/>
      <c r="G19" s="436"/>
      <c r="H19" s="472"/>
      <c r="I19" s="473"/>
      <c r="J19" s="473"/>
      <c r="K19" s="473"/>
      <c r="L19" s="473"/>
      <c r="M19" s="473"/>
      <c r="N19" s="474"/>
      <c r="O19" s="251" t="str">
        <f>IF(COUNTA(H19)=0,"×","○")</f>
        <v>×</v>
      </c>
      <c r="P19" s="423" t="str">
        <f>IF(COUNTA(H19)=0,"【要修正】【重要：各種手続で用いるため間違えないように入力】申請に関するやりとりをするためのメールアドレスを入力してください。","適切に入力がされました。")</f>
        <v>【要修正】【重要：各種手続で用いるため間違えないように入力】申請に関するやりとりをするためのメールアドレスを入力してください。</v>
      </c>
      <c r="Q19" s="475"/>
      <c r="R19" s="475"/>
      <c r="S19" s="475"/>
      <c r="T19" s="475"/>
      <c r="U19" s="475"/>
      <c r="V19" s="475"/>
      <c r="W19" s="475"/>
      <c r="X19" s="430"/>
      <c r="Y19" s="430"/>
      <c r="Z19" s="430"/>
      <c r="AA19" s="430"/>
      <c r="AB19" s="431"/>
      <c r="AC19" s="244"/>
      <c r="AD19" s="244"/>
      <c r="AJ19" s="252" t="str">
        <f t="shared" si="0"/>
        <v>Mailｱﾄﾞﾚｽ（担当直通）/</v>
      </c>
      <c r="AL19" s="246" t="s">
        <v>257</v>
      </c>
    </row>
    <row r="20" spans="2:38" ht="30" customHeight="1">
      <c r="B20" s="244"/>
      <c r="C20" s="426" t="str">
        <f xml:space="preserve">
IF(表紙!V8="交付申請","－",
IF(表紙!V8="変更申請","既交付決定通知番号",
IF(表紙!V8="実績報告","既交付決定通知番号")))</f>
        <v>既交付決定通知番号</v>
      </c>
      <c r="D20" s="445"/>
      <c r="E20" s="445"/>
      <c r="F20" s="445"/>
      <c r="G20" s="436"/>
      <c r="H20" s="476" t="s">
        <v>751</v>
      </c>
      <c r="I20" s="477"/>
      <c r="J20" s="477"/>
      <c r="K20" s="477"/>
      <c r="L20" s="478"/>
      <c r="M20" s="479"/>
      <c r="N20" s="349" t="s">
        <v>661</v>
      </c>
      <c r="O20" s="251" t="str">
        <f xml:space="preserve">
IF(C20="－","○",
IF(AND(C20="既交付決定通知番号",COUNTA(L20)=0),"×",
IF(AND(C20="既交付決定通知番号",COUNTA(L20)=1),"○"
)))</f>
        <v>×</v>
      </c>
      <c r="P20" s="423" t="str">
        <f xml:space="preserve">
IF(C20="－","入力不要です。",
IF(AND(C20="既交付決定通知番号",COUNTA(L20)=0),"【要修正】郵送された交付決定通知書を確認し、右肩に記載の番号をプルダウンから選択してください。",
IF(AND(C20="既交付決定通知番号",COUNTA(L20)=1),"正常に入力がされました。"
)))</f>
        <v>【要修正】郵送された交付決定通知書を確認し、右肩に記載の番号をプルダウンから選択してください。</v>
      </c>
      <c r="Q20" s="430"/>
      <c r="R20" s="430"/>
      <c r="S20" s="430"/>
      <c r="T20" s="430"/>
      <c r="U20" s="430"/>
      <c r="V20" s="430"/>
      <c r="W20" s="430"/>
      <c r="X20" s="430"/>
      <c r="Y20" s="430"/>
      <c r="Z20" s="430"/>
      <c r="AA20" s="430"/>
      <c r="AB20" s="431"/>
      <c r="AC20" s="244"/>
      <c r="AD20" s="244"/>
      <c r="AE20" s="268" t="str">
        <f>"入院第"&amp;L20&amp;"号"</f>
        <v>入院第号</v>
      </c>
      <c r="AJ20" s="252" t="str">
        <f>IF(O20="○","",C20&amp;"/")</f>
        <v>既交付決定通知番号/</v>
      </c>
    </row>
    <row r="21" spans="2:38" ht="30" hidden="1" customHeight="1">
      <c r="B21" s="244"/>
      <c r="C21" s="426" t="str">
        <f xml:space="preserve">
IF(表紙!V8="交付申請","－",
IF(表紙!V8="変更申請","既交付決定額",
IF(表紙!V8="実績報告","既交付決定額")))</f>
        <v>既交付決定額</v>
      </c>
      <c r="D21" s="445"/>
      <c r="E21" s="445"/>
      <c r="F21" s="445"/>
      <c r="G21" s="436"/>
      <c r="H21" s="446" t="s">
        <v>662</v>
      </c>
      <c r="I21" s="447"/>
      <c r="J21" s="447"/>
      <c r="K21" s="447"/>
      <c r="L21" s="447"/>
      <c r="M21" s="447"/>
      <c r="N21" s="448"/>
      <c r="O21" s="251" t="str">
        <f xml:space="preserve">
IF(C21="－","○",
IF(AND(C21="既交付決定額",COUNTA(H21)=0),"×",
IF(AND(C21="既交付決定額",COUNTA(H21)=1),"○"
)))</f>
        <v>○</v>
      </c>
      <c r="P21" s="423" t="str">
        <f xml:space="preserve">
IF(C21="－","入力不要です。",
IF(AND(C21="既交付決定額",COUNTA(H21)=0),"【要修正】金額を入力してください。（値のみ。「円」は不要です。）",
IF(AND(C21="既交付決定額",COUNTA(H21)=1),"正常に入力がされました。"
)))</f>
        <v>正常に入力がされました。</v>
      </c>
      <c r="Q21" s="430"/>
      <c r="R21" s="430"/>
      <c r="S21" s="430"/>
      <c r="T21" s="430"/>
      <c r="U21" s="430"/>
      <c r="V21" s="430"/>
      <c r="W21" s="430"/>
      <c r="X21" s="430"/>
      <c r="Y21" s="430"/>
      <c r="Z21" s="430"/>
      <c r="AA21" s="430"/>
      <c r="AB21" s="431"/>
      <c r="AC21" s="244"/>
      <c r="AD21" s="244"/>
      <c r="AJ21" s="252" t="str">
        <f t="shared" si="0"/>
        <v/>
      </c>
    </row>
    <row r="22" spans="2:38" ht="200.1" hidden="1" customHeight="1">
      <c r="B22" s="244"/>
      <c r="C22" s="449" t="s">
        <v>258</v>
      </c>
      <c r="D22" s="450"/>
      <c r="E22" s="450"/>
      <c r="F22" s="450"/>
      <c r="G22" s="450"/>
      <c r="H22" s="451" t="s">
        <v>256</v>
      </c>
      <c r="I22" s="452"/>
      <c r="J22" s="452"/>
      <c r="K22" s="452"/>
      <c r="L22" s="452"/>
      <c r="M22" s="452"/>
      <c r="N22" s="453"/>
      <c r="O22" s="251" t="str">
        <f>IF(H22=AL18,"○",IF(H22="","×",IF(H22=AL19,"×")))</f>
        <v>○</v>
      </c>
      <c r="P22" s="434" t="str">
        <f xml:space="preserve">
IF(H22=AL18,"適切に入力がされました。",
IF(H22="","【下記いずれにも該当する場合、「申立てする」を選択してください。】"&amp;CHAR(10)&amp;"・補助を受ける経費について他の補助金等の交付を受けていないこと。"&amp;CHAR(10)&amp;"・本補助金により整備の物品は新型コロナウイルス感染症対策の目的以外に使用しないこと。"&amp;CHAR(10)&amp;"・本補助金の収入、支出等に係る証拠書類を５年間適切に整備保管すること。"&amp;CHAR(10)&amp;"・暴力団員又は暴力団関係者と実質を含めいかなる関係も有していないこと。",
IF(H22=AL19,"【申請する場合は要修正】
申立事項に該当しない申請者に対して交付を行うことはできません。")))</f>
        <v>適切に入力がされました。</v>
      </c>
      <c r="Q22" s="450"/>
      <c r="R22" s="450"/>
      <c r="S22" s="450"/>
      <c r="T22" s="450"/>
      <c r="U22" s="450"/>
      <c r="V22" s="450"/>
      <c r="W22" s="450"/>
      <c r="X22" s="450"/>
      <c r="Y22" s="450"/>
      <c r="Z22" s="450"/>
      <c r="AA22" s="450"/>
      <c r="AB22" s="450"/>
      <c r="AC22" s="244"/>
      <c r="AD22" s="244"/>
      <c r="AJ22" s="252" t="str">
        <f>IF(O22="○","","申立事項/")</f>
        <v/>
      </c>
    </row>
    <row r="23" spans="2:38" ht="30" customHeight="1">
      <c r="B23" s="244"/>
      <c r="C23" s="449" t="s">
        <v>597</v>
      </c>
      <c r="D23" s="450"/>
      <c r="E23" s="450"/>
      <c r="F23" s="450"/>
      <c r="G23" s="450"/>
      <c r="H23" s="458" t="s">
        <v>594</v>
      </c>
      <c r="I23" s="458"/>
      <c r="J23" s="458"/>
      <c r="K23" s="458"/>
      <c r="L23" s="458"/>
      <c r="M23" s="458"/>
      <c r="N23" s="458"/>
      <c r="O23" s="461" t="s">
        <v>598</v>
      </c>
      <c r="P23" s="464" t="str">
        <f xml:space="preserve">
IF(AND(血液浄化装置明細!K10&gt;0,はじめに入力してください!AE23="×"),"血液浄化装置の補助申請をする場合は、「透析患者」のボックスにチェックをしてください","")&amp;
IF(AND(分娩監視装置!K10&gt;0,はじめに入力してください!AE24="×"),"血液浄化装置の補助申請をする場合は、「妊産婦の患者」のボックスにチェックをしてください","")&amp;
IF(AND('新生児モニタ '!K10&gt;0,はじめに入力してください!AE25="×"),"新生児モニタの補助申請をする場合は、「小児患者」のボックスにチェックをしてください","")&amp;
IF(AND(血液浄化装置明細!K10=0,分娩監視装置!K10=0,'新生児モニタ '!K10=0),"血液浄化装置、分娩監視装置、新生児モニタを整備する場合、対象患者の受入が可能であることを確認する必要があるため、チェックしてください。","")</f>
        <v>血液浄化装置、分娩監視装置、新生児モニタを整備する場合、対象患者の受入が可能であることを確認する必要があるため、チェックしてください。</v>
      </c>
      <c r="Q23" s="465"/>
      <c r="R23" s="465"/>
      <c r="S23" s="465"/>
      <c r="T23" s="465"/>
      <c r="U23" s="465"/>
      <c r="V23" s="465"/>
      <c r="W23" s="465"/>
      <c r="X23" s="465"/>
      <c r="Y23" s="465"/>
      <c r="Z23" s="465"/>
      <c r="AA23" s="465"/>
      <c r="AB23" s="466"/>
      <c r="AC23" s="244"/>
      <c r="AD23" s="244"/>
      <c r="AE23" s="250" t="str">
        <f>IF(AF23=TRUE,"○","×")</f>
        <v>×</v>
      </c>
      <c r="AF23" s="276" t="b">
        <v>0</v>
      </c>
      <c r="AJ23" s="492" t="str">
        <f>IF(O23="○","","入院受入の可否/")</f>
        <v/>
      </c>
    </row>
    <row r="24" spans="2:38" ht="30" customHeight="1">
      <c r="B24" s="244"/>
      <c r="C24" s="450"/>
      <c r="D24" s="450"/>
      <c r="E24" s="450"/>
      <c r="F24" s="450"/>
      <c r="G24" s="450"/>
      <c r="H24" s="459" t="s">
        <v>595</v>
      </c>
      <c r="I24" s="459"/>
      <c r="J24" s="459"/>
      <c r="K24" s="459"/>
      <c r="L24" s="459"/>
      <c r="M24" s="459"/>
      <c r="N24" s="459"/>
      <c r="O24" s="462"/>
      <c r="P24" s="467"/>
      <c r="Q24" s="416"/>
      <c r="R24" s="416"/>
      <c r="S24" s="416"/>
      <c r="T24" s="416"/>
      <c r="U24" s="416"/>
      <c r="V24" s="416"/>
      <c r="W24" s="416"/>
      <c r="X24" s="416"/>
      <c r="Y24" s="416"/>
      <c r="Z24" s="416"/>
      <c r="AA24" s="416"/>
      <c r="AB24" s="468"/>
      <c r="AC24" s="244"/>
      <c r="AD24" s="244"/>
      <c r="AE24" s="250" t="str">
        <f>IF(AF24=TRUE,"○","×")</f>
        <v>×</v>
      </c>
      <c r="AF24" s="276" t="b">
        <v>0</v>
      </c>
      <c r="AJ24" s="493"/>
    </row>
    <row r="25" spans="2:38" ht="30" customHeight="1">
      <c r="B25" s="244"/>
      <c r="C25" s="450"/>
      <c r="D25" s="450"/>
      <c r="E25" s="450"/>
      <c r="F25" s="450"/>
      <c r="G25" s="450"/>
      <c r="H25" s="460" t="s">
        <v>596</v>
      </c>
      <c r="I25" s="460"/>
      <c r="J25" s="460"/>
      <c r="K25" s="460"/>
      <c r="L25" s="460"/>
      <c r="M25" s="460"/>
      <c r="N25" s="460"/>
      <c r="O25" s="463"/>
      <c r="P25" s="469"/>
      <c r="Q25" s="470"/>
      <c r="R25" s="470"/>
      <c r="S25" s="470"/>
      <c r="T25" s="470"/>
      <c r="U25" s="470"/>
      <c r="V25" s="470"/>
      <c r="W25" s="470"/>
      <c r="X25" s="470"/>
      <c r="Y25" s="470"/>
      <c r="Z25" s="470"/>
      <c r="AA25" s="470"/>
      <c r="AB25" s="471"/>
      <c r="AC25" s="244"/>
      <c r="AD25" s="244"/>
      <c r="AE25" s="250" t="str">
        <f>IF(AF25=TRUE,"○","×")</f>
        <v>×</v>
      </c>
      <c r="AF25" s="276" t="b">
        <v>0</v>
      </c>
      <c r="AJ25" s="494"/>
    </row>
    <row r="26" spans="2:38" ht="15" customHeight="1">
      <c r="B26" s="244"/>
      <c r="C26" s="263"/>
      <c r="D26" s="264"/>
      <c r="E26" s="264"/>
      <c r="F26" s="264"/>
      <c r="G26" s="264"/>
      <c r="H26" s="264"/>
      <c r="I26" s="265"/>
      <c r="J26" s="265"/>
      <c r="K26" s="265"/>
      <c r="L26" s="265"/>
      <c r="M26" s="265"/>
      <c r="N26" s="265"/>
      <c r="O26" s="264"/>
      <c r="P26" s="266"/>
      <c r="Q26" s="267"/>
      <c r="R26" s="267"/>
      <c r="S26" s="267"/>
      <c r="T26" s="267"/>
      <c r="U26" s="267"/>
      <c r="V26" s="267"/>
      <c r="W26" s="267"/>
      <c r="X26" s="244"/>
      <c r="Y26" s="244"/>
      <c r="Z26" s="244"/>
      <c r="AA26" s="244"/>
      <c r="AB26" s="244"/>
      <c r="AC26" s="244"/>
      <c r="AD26" s="244"/>
      <c r="AJ26" s="262"/>
    </row>
    <row r="27" spans="2:38" ht="39.950000000000003" customHeight="1">
      <c r="C27" s="268" t="s">
        <v>252</v>
      </c>
      <c r="D27" s="454" t="s">
        <v>259</v>
      </c>
      <c r="E27" s="455"/>
      <c r="F27" s="254" t="str">
        <f>IF(COUNTIF(O3:O25,"×")&gt;=1,"×","○")</f>
        <v>×</v>
      </c>
      <c r="G27" s="434" t="str">
        <f>IF(F27="○","適切に入力がされました。","【要修正】次の項目が適切に入力されているかご確認ください→"&amp;AJ3&amp;AJ6&amp;AJ7&amp;AJ8&amp;AJ9&amp;AJ10&amp;AJ11&amp;AJ12&amp;AJ13&amp;AJ14&amp;AJ15&amp;AJ16&amp;AJ17&amp;AJ18&amp;AJ19&amp;AJ20&amp;AJ21&amp;AJ22)</f>
        <v>【要修正】次の項目が適切に入力されているかご確認ください→法人・個人事業主の別/事業者名（法人名または屋号）/代表者役職/代表者氏名/所在地/施設所在地/施設所在地（既設病床数）/新型コロナウイルス感染症患者対応病床数（今年度整備病床数）/提出日/担当部署/担当者名/電話番号（担当直通）/Mailｱﾄﾞﾚｽ（担当直通）/既交付決定通知番号/</v>
      </c>
      <c r="H27" s="434"/>
      <c r="I27" s="434"/>
      <c r="J27" s="434"/>
      <c r="K27" s="434"/>
      <c r="L27" s="434"/>
      <c r="M27" s="434"/>
      <c r="N27" s="434"/>
      <c r="O27" s="434"/>
      <c r="P27" s="434"/>
      <c r="Q27" s="450"/>
      <c r="R27" s="450"/>
      <c r="S27" s="450"/>
      <c r="T27" s="450"/>
      <c r="U27" s="450"/>
      <c r="V27" s="450"/>
      <c r="W27" s="450"/>
      <c r="X27" s="450"/>
      <c r="Y27" s="450"/>
      <c r="Z27" s="450"/>
      <c r="AA27" s="450"/>
      <c r="AB27" s="450"/>
      <c r="AE27" s="269" t="str">
        <f>IF(COUNTA(H6,H7,H8,H9,H14,H16,H17,H18,H19)=9,"○","×")</f>
        <v>×</v>
      </c>
      <c r="AJ27" s="247" t="str">
        <f>AJ3&amp;AJ6&amp;AJ7&amp;AJ8&amp;AJ9&amp;AJ10&amp;AJ11&amp;AJ14&amp;AJ15&amp;AJ16&amp;AJ17&amp;AJ18&amp;AJ19&amp;AJ20&amp;AJ21&amp;AJ22</f>
        <v>法人・個人事業主の別/事業者名（法人名または屋号）/代表者役職/代表者氏名/所在地/施設所在地/提出日/担当部署/担当者名/電話番号（担当直通）/Mailｱﾄﾞﾚｽ（担当直通）/既交付決定通知番号/</v>
      </c>
    </row>
    <row r="28" spans="2:38" ht="15" customHeight="1">
      <c r="C28" s="268"/>
      <c r="D28" s="263"/>
      <c r="E28" s="264"/>
      <c r="F28" s="264"/>
      <c r="G28" s="266"/>
      <c r="H28" s="266"/>
      <c r="I28" s="266"/>
      <c r="J28" s="266"/>
      <c r="K28" s="266"/>
      <c r="L28" s="266"/>
      <c r="M28" s="266"/>
      <c r="N28" s="266"/>
      <c r="O28" s="266"/>
      <c r="P28" s="266"/>
      <c r="Q28" s="244"/>
      <c r="R28" s="244"/>
      <c r="S28" s="244"/>
      <c r="T28" s="244"/>
      <c r="U28" s="244"/>
      <c r="V28" s="244"/>
      <c r="W28" s="244"/>
      <c r="X28" s="244"/>
      <c r="Y28" s="244"/>
      <c r="Z28" s="244"/>
      <c r="AA28" s="244"/>
      <c r="AB28" s="244"/>
      <c r="AE28" s="269"/>
    </row>
    <row r="29" spans="2:38" ht="120" customHeight="1">
      <c r="C29" s="456" t="s">
        <v>619</v>
      </c>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c r="AB29" s="457"/>
    </row>
    <row r="30" spans="2:38" ht="20.100000000000001" customHeight="1">
      <c r="C30" s="270"/>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271"/>
    </row>
    <row r="31" spans="2:38" ht="39.950000000000003" customHeight="1">
      <c r="C31" s="270"/>
      <c r="D31" s="426" t="s">
        <v>122</v>
      </c>
      <c r="E31" s="427"/>
      <c r="F31" s="254" t="str">
        <f>IF(COUNTIF(O34:O50,"×")&gt;=1,"×","○")</f>
        <v>×</v>
      </c>
      <c r="G31" s="429" t="str">
        <f>IF(F31="○","適切に入力がされました。","【要修正】次の様式が適切に入力されているかご確認ください→"&amp;AJ34&amp;AJ35&amp;AJ36&amp;AJ37&amp;AJ38&amp;AJ39&amp;AJ40&amp;AJ41&amp;AJ42&amp;AJ43&amp;AJ44&amp;AJ45&amp;AJ46&amp;AJ47&amp;AJ48&amp;AJ49&amp;AJ50)</f>
        <v>【要修正】次の様式が適切に入力されているかご確認ください→はじめに入力してください/第３号様式（表紙）/様式1-2（経費支出予定額内訳）/</v>
      </c>
      <c r="H31" s="432"/>
      <c r="I31" s="432"/>
      <c r="J31" s="432"/>
      <c r="K31" s="432"/>
      <c r="L31" s="432"/>
      <c r="M31" s="432"/>
      <c r="N31" s="432"/>
      <c r="O31" s="432"/>
      <c r="P31" s="432"/>
      <c r="Q31" s="432"/>
      <c r="R31" s="432"/>
      <c r="S31" s="432"/>
      <c r="T31" s="432"/>
      <c r="U31" s="432"/>
      <c r="V31" s="432"/>
      <c r="W31" s="432"/>
      <c r="X31" s="432"/>
      <c r="Y31" s="432"/>
      <c r="Z31" s="432"/>
      <c r="AA31" s="432"/>
      <c r="AB31" s="433"/>
    </row>
    <row r="32" spans="2:38" ht="20.100000000000001" customHeight="1">
      <c r="C32" s="270"/>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row>
    <row r="33" spans="2:44" ht="39.950000000000003" customHeight="1">
      <c r="B33" s="268"/>
      <c r="C33" s="443" t="s">
        <v>143</v>
      </c>
      <c r="D33" s="444"/>
      <c r="E33" s="444"/>
      <c r="F33" s="444"/>
      <c r="G33" s="444"/>
      <c r="H33" s="444"/>
      <c r="I33" s="426" t="s">
        <v>147</v>
      </c>
      <c r="J33" s="445"/>
      <c r="K33" s="445"/>
      <c r="L33" s="445"/>
      <c r="M33" s="445"/>
      <c r="N33" s="431"/>
      <c r="O33" s="272" t="s">
        <v>64</v>
      </c>
      <c r="P33" s="426" t="s">
        <v>121</v>
      </c>
      <c r="Q33" s="445"/>
      <c r="R33" s="445"/>
      <c r="S33" s="445"/>
      <c r="T33" s="445"/>
      <c r="U33" s="445"/>
      <c r="V33" s="445"/>
      <c r="W33" s="445"/>
      <c r="X33" s="445"/>
      <c r="Y33" s="445"/>
      <c r="Z33" s="445"/>
      <c r="AA33" s="445"/>
      <c r="AB33" s="436"/>
      <c r="AC33" s="268"/>
      <c r="AD33" s="268"/>
    </row>
    <row r="34" spans="2:44" ht="39.950000000000003" customHeight="1">
      <c r="B34" s="268"/>
      <c r="C34" s="434" t="s">
        <v>611</v>
      </c>
      <c r="D34" s="435"/>
      <c r="E34" s="435"/>
      <c r="F34" s="435"/>
      <c r="G34" s="435"/>
      <c r="H34" s="435"/>
      <c r="I34" s="437" t="s">
        <v>145</v>
      </c>
      <c r="J34" s="438"/>
      <c r="K34" s="438"/>
      <c r="L34" s="438"/>
      <c r="M34" s="438"/>
      <c r="N34" s="439"/>
      <c r="O34" s="251" t="str">
        <f>F27</f>
        <v>×</v>
      </c>
      <c r="P34" s="440" t="str">
        <f>G27</f>
        <v>【要修正】次の項目が適切に入力されているかご確認ください→法人・個人事業主の別/事業者名（法人名または屋号）/代表者役職/代表者氏名/所在地/施設所在地/施設所在地（既設病床数）/新型コロナウイルス感染症患者対応病床数（今年度整備病床数）/提出日/担当部署/担当者名/電話番号（担当直通）/Mailｱﾄﾞﾚｽ（担当直通）/既交付決定通知番号/</v>
      </c>
      <c r="Q34" s="441"/>
      <c r="R34" s="441"/>
      <c r="S34" s="441"/>
      <c r="T34" s="441"/>
      <c r="U34" s="441"/>
      <c r="V34" s="441"/>
      <c r="W34" s="441"/>
      <c r="X34" s="441"/>
      <c r="Y34" s="441"/>
      <c r="Z34" s="441"/>
      <c r="AA34" s="441"/>
      <c r="AB34" s="442"/>
      <c r="AC34" s="268"/>
      <c r="AD34" s="268"/>
      <c r="AJ34" s="273" t="str">
        <f t="shared" ref="AJ34:AJ39" si="1">IF(O34="×",C34&amp;"/","")</f>
        <v>はじめに入力してください/</v>
      </c>
    </row>
    <row r="35" spans="2:44" ht="39.950000000000003" customHeight="1">
      <c r="B35" s="268"/>
      <c r="C35" s="434" t="str">
        <f xml:space="preserve">
IF(表紙!V8="交付申請","振込先情報",
IF(表紙!V8="変更申請","　　　　　　　　－",
IF(表紙!V8="実績報告","請求書")))</f>
        <v>　　　　　　　　－</v>
      </c>
      <c r="D35" s="435"/>
      <c r="E35" s="435"/>
      <c r="F35" s="435"/>
      <c r="G35" s="435"/>
      <c r="H35" s="435"/>
      <c r="I35" s="437" t="str">
        <f xml:space="preserve">
IF(C35="振込先情報","【必須】",
IF(C35="　　　　　　　　－","－",
IF(C35="請求書","【必須】",
)))</f>
        <v>－</v>
      </c>
      <c r="J35" s="438"/>
      <c r="K35" s="438"/>
      <c r="L35" s="438"/>
      <c r="M35" s="438"/>
      <c r="N35" s="439"/>
      <c r="O35" s="251" t="str">
        <f xml:space="preserve">
IF(C35="　　　　　　　　－","－",
IF(C35="振込先情報",振込先情報!AV22,
IF(C35="請求書",請求書!L33)))</f>
        <v>－</v>
      </c>
      <c r="P35" s="429" t="str">
        <f xml:space="preserve">
IF(O35="－","　　　　　　　　　　　　　　　　　　　　　　　－",
IF(O35="○","適切に入力がされました。",
IF(O35="×","【要修正】次の項目が適切に入力されているかご確認ください→"&amp;AJ35)))</f>
        <v>　　　　　　　　　　　　　　　　　　　　　　　－</v>
      </c>
      <c r="Q35" s="430"/>
      <c r="R35" s="430"/>
      <c r="S35" s="430"/>
      <c r="T35" s="430"/>
      <c r="U35" s="430"/>
      <c r="V35" s="430"/>
      <c r="W35" s="430"/>
      <c r="X35" s="430"/>
      <c r="Y35" s="430"/>
      <c r="Z35" s="430"/>
      <c r="AA35" s="430"/>
      <c r="AB35" s="431"/>
      <c r="AC35" s="268"/>
      <c r="AD35" s="268"/>
      <c r="AJ35" s="273" t="str">
        <f>IF(O35="×",C35&amp;"/","")</f>
        <v/>
      </c>
    </row>
    <row r="36" spans="2:44" ht="39.950000000000003" customHeight="1">
      <c r="B36" s="268"/>
      <c r="C36" s="434" t="str">
        <f xml:space="preserve">
IF(表紙!V8="交付申請","様式１（表紙）",
IF(表紙!V8="変更申請","第３号様式（表紙）",
IF(表紙!V8="実績報告","第４号様式（表紙）")))</f>
        <v>第３号様式（表紙）</v>
      </c>
      <c r="D36" s="435"/>
      <c r="E36" s="435"/>
      <c r="F36" s="435"/>
      <c r="G36" s="435"/>
      <c r="H36" s="435"/>
      <c r="I36" s="437" t="s">
        <v>145</v>
      </c>
      <c r="J36" s="438"/>
      <c r="K36" s="438"/>
      <c r="L36" s="438"/>
      <c r="M36" s="438"/>
      <c r="N36" s="439"/>
      <c r="O36" s="251" t="str">
        <f>O34</f>
        <v>×</v>
      </c>
      <c r="P36" s="429" t="str">
        <f>IF(O36="×","【要修正】様式１は入力項目がありませんが、「はじめに入力してください」が適切に入力されていないため正しく表示できていません。","適切に入力がされました。")</f>
        <v>【要修正】様式１は入力項目がありませんが、「はじめに入力してください」が適切に入力されていないため正しく表示できていません。</v>
      </c>
      <c r="Q36" s="430"/>
      <c r="R36" s="430"/>
      <c r="S36" s="430"/>
      <c r="T36" s="430"/>
      <c r="U36" s="430"/>
      <c r="V36" s="430"/>
      <c r="W36" s="430"/>
      <c r="X36" s="430"/>
      <c r="Y36" s="430"/>
      <c r="Z36" s="430"/>
      <c r="AA36" s="430"/>
      <c r="AB36" s="431"/>
      <c r="AC36" s="268"/>
      <c r="AD36" s="268"/>
      <c r="AJ36" s="273" t="str">
        <f t="shared" si="1"/>
        <v>第３号様式（表紙）/</v>
      </c>
    </row>
    <row r="37" spans="2:44" ht="39.950000000000003" customHeight="1">
      <c r="B37" s="268"/>
      <c r="C37" s="434" t="str">
        <f xml:space="preserve">
IF(表紙!V8="交付申請","様式1-1（経費所要額調書）",
IF(表紙!V8="変更申請","様式1-1号様式（経費所要額調書）",
IF(表紙!V8="実績報告","様式3-1（経費精算書）")))</f>
        <v>様式1-1号様式（経費所要額調書）</v>
      </c>
      <c r="D37" s="435"/>
      <c r="E37" s="435"/>
      <c r="F37" s="435"/>
      <c r="G37" s="435"/>
      <c r="H37" s="435"/>
      <c r="I37" s="437" t="s">
        <v>145</v>
      </c>
      <c r="J37" s="438"/>
      <c r="K37" s="438"/>
      <c r="L37" s="438"/>
      <c r="M37" s="438"/>
      <c r="N37" s="439"/>
      <c r="O37" s="251" t="s">
        <v>141</v>
      </c>
      <c r="P37" s="429" t="s">
        <v>148</v>
      </c>
      <c r="Q37" s="430"/>
      <c r="R37" s="430"/>
      <c r="S37" s="430"/>
      <c r="T37" s="430"/>
      <c r="U37" s="430"/>
      <c r="V37" s="430"/>
      <c r="W37" s="430"/>
      <c r="X37" s="430"/>
      <c r="Y37" s="430"/>
      <c r="Z37" s="430"/>
      <c r="AA37" s="430"/>
      <c r="AB37" s="431"/>
      <c r="AC37" s="268"/>
      <c r="AD37" s="268"/>
      <c r="AJ37" s="273" t="str">
        <f t="shared" si="1"/>
        <v/>
      </c>
    </row>
    <row r="38" spans="2:44" ht="80.099999999999994" customHeight="1">
      <c r="B38" s="268"/>
      <c r="C38" s="434" t="str">
        <f xml:space="preserve">
IF(表紙!V8="交付申請","様式1-2（経費支出予定額内訳）",
IF(表紙!V8="変更申請","様式1-2（経費支出予定額内訳）",
IF(表紙!V8="実績報告","様式3-2（経費実支出額内訳書）")))</f>
        <v>様式1-2（経費支出予定額内訳）</v>
      </c>
      <c r="D38" s="435"/>
      <c r="E38" s="435"/>
      <c r="F38" s="435"/>
      <c r="G38" s="435"/>
      <c r="H38" s="435"/>
      <c r="I38" s="437" t="s">
        <v>145</v>
      </c>
      <c r="J38" s="438"/>
      <c r="K38" s="438"/>
      <c r="L38" s="438"/>
      <c r="M38" s="438"/>
      <c r="N38" s="439"/>
      <c r="O38" s="251" t="str">
        <f>額内訳書!AS2</f>
        <v>×</v>
      </c>
      <c r="P38" s="429" t="str">
        <f>IF(O38="×","【要修正】全ての項目が未入力、又は次の項目が適切に入力されているかご確認ください"&amp;CHAR(10)&amp;額内訳書!AV2,"適切に入力がされました。")</f>
        <v xml:space="preserve">【要修正】全ての項目が未入力、又は次の項目が適切に入力されているかご確認ください
</v>
      </c>
      <c r="Q38" s="430"/>
      <c r="R38" s="430"/>
      <c r="S38" s="430"/>
      <c r="T38" s="430"/>
      <c r="U38" s="430"/>
      <c r="V38" s="430"/>
      <c r="W38" s="430"/>
      <c r="X38" s="430"/>
      <c r="Y38" s="430"/>
      <c r="Z38" s="430"/>
      <c r="AA38" s="430"/>
      <c r="AB38" s="431"/>
      <c r="AC38" s="268"/>
      <c r="AD38" s="268"/>
      <c r="AJ38" s="273" t="str">
        <f t="shared" si="1"/>
        <v>様式1-2（経費支出予定額内訳）/</v>
      </c>
    </row>
    <row r="39" spans="2:44" ht="39.950000000000003" customHeight="1">
      <c r="B39" s="268"/>
      <c r="C39" s="434" t="str">
        <f xml:space="preserve">
IF(表紙!V8="交付申請","様式1-3（歳入歳出予算書抄本）",
IF(表紙!V8="変更申請","様式1-3（歳入歳出予算書抄本）",
IF(表紙!V8="実績報告","様式3-3"&amp;CHAR(10)&amp;"（歳入歳出決算書（見込書）抄本）")))</f>
        <v>様式1-3（歳入歳出予算書抄本）</v>
      </c>
      <c r="D39" s="435"/>
      <c r="E39" s="435"/>
      <c r="F39" s="435"/>
      <c r="G39" s="435"/>
      <c r="H39" s="435"/>
      <c r="I39" s="426" t="s">
        <v>146</v>
      </c>
      <c r="J39" s="427"/>
      <c r="K39" s="427"/>
      <c r="L39" s="427"/>
      <c r="M39" s="427"/>
      <c r="N39" s="436"/>
      <c r="O39" s="251" t="str">
        <f>歳入歳出抄本!Y11</f>
        <v>○</v>
      </c>
      <c r="P39" s="429" t="str">
        <f>歳入歳出抄本!Z11</f>
        <v>公立機関ではない場合、作成不要です。（入力されていても特段問題はありません。）</v>
      </c>
      <c r="Q39" s="430"/>
      <c r="R39" s="430"/>
      <c r="S39" s="430"/>
      <c r="T39" s="430"/>
      <c r="U39" s="430"/>
      <c r="V39" s="430"/>
      <c r="W39" s="430"/>
      <c r="X39" s="430"/>
      <c r="Y39" s="430"/>
      <c r="Z39" s="430"/>
      <c r="AA39" s="430"/>
      <c r="AB39" s="431"/>
      <c r="AC39" s="268"/>
      <c r="AD39" s="268"/>
      <c r="AJ39" s="273" t="str">
        <f t="shared" si="1"/>
        <v/>
      </c>
    </row>
    <row r="40" spans="2:44" ht="30" customHeight="1">
      <c r="C40" s="434" t="s">
        <v>599</v>
      </c>
      <c r="D40" s="435"/>
      <c r="E40" s="435"/>
      <c r="F40" s="435"/>
      <c r="G40" s="435"/>
      <c r="H40" s="435"/>
      <c r="I40" s="426" t="s">
        <v>610</v>
      </c>
      <c r="J40" s="427"/>
      <c r="K40" s="427"/>
      <c r="L40" s="427"/>
      <c r="M40" s="427"/>
      <c r="N40" s="436"/>
      <c r="O40" s="251" t="str">
        <f>'初度設備明細 '!AD7</f>
        <v>○</v>
      </c>
      <c r="P40" s="429" t="str">
        <f t="shared" ref="P40:P50" si="2" xml:space="preserve">
IF(O40="×","【要修正】「"&amp;C40&amp;"明細」シートに入力不十分な箇所があります。",
IF(O40="○","申請しない場合は入力不要です。",
IF(O40="◎","適切に入力がされました。",)))</f>
        <v>申請しない場合は入力不要です。</v>
      </c>
      <c r="Q40" s="430"/>
      <c r="R40" s="430"/>
      <c r="S40" s="430"/>
      <c r="T40" s="430"/>
      <c r="U40" s="430"/>
      <c r="V40" s="430"/>
      <c r="W40" s="430"/>
      <c r="X40" s="430"/>
      <c r="Y40" s="430"/>
      <c r="Z40" s="430"/>
      <c r="AA40" s="430"/>
      <c r="AB40" s="431"/>
      <c r="AJ40" s="273" t="str">
        <f>IF(O40="×",C40&amp;"明細/","")</f>
        <v/>
      </c>
      <c r="AP40" s="246" t="s">
        <v>197</v>
      </c>
      <c r="AQ40" s="246" t="s">
        <v>198</v>
      </c>
      <c r="AR40" s="246" t="s">
        <v>284</v>
      </c>
    </row>
    <row r="41" spans="2:44" ht="30" customHeight="1">
      <c r="C41" s="434" t="s">
        <v>600</v>
      </c>
      <c r="D41" s="435"/>
      <c r="E41" s="435"/>
      <c r="F41" s="435"/>
      <c r="G41" s="435"/>
      <c r="H41" s="435"/>
      <c r="I41" s="426" t="s">
        <v>610</v>
      </c>
      <c r="J41" s="427"/>
      <c r="K41" s="427"/>
      <c r="L41" s="427"/>
      <c r="M41" s="427"/>
      <c r="N41" s="436"/>
      <c r="O41" s="251" t="str">
        <f>人工呼吸器明細!AD7</f>
        <v>○</v>
      </c>
      <c r="P41" s="429" t="str">
        <f t="shared" si="2"/>
        <v>申請しない場合は入力不要です。</v>
      </c>
      <c r="Q41" s="430"/>
      <c r="R41" s="430"/>
      <c r="S41" s="430"/>
      <c r="T41" s="430"/>
      <c r="U41" s="430"/>
      <c r="V41" s="430"/>
      <c r="W41" s="430"/>
      <c r="X41" s="430"/>
      <c r="Y41" s="430"/>
      <c r="Z41" s="430"/>
      <c r="AA41" s="430"/>
      <c r="AB41" s="431"/>
      <c r="AJ41" s="273" t="str">
        <f t="shared" ref="AJ41:AJ50" si="3">IF(O41="×",C41&amp;"明細/","")</f>
        <v/>
      </c>
      <c r="AO41" s="246" t="s">
        <v>197</v>
      </c>
      <c r="AP41" s="246" t="s">
        <v>196</v>
      </c>
      <c r="AQ41" s="246" t="s">
        <v>285</v>
      </c>
      <c r="AR41" s="246" t="s">
        <v>286</v>
      </c>
    </row>
    <row r="42" spans="2:44" ht="30" customHeight="1">
      <c r="C42" s="434" t="s">
        <v>601</v>
      </c>
      <c r="D42" s="435"/>
      <c r="E42" s="435"/>
      <c r="F42" s="435"/>
      <c r="G42" s="435"/>
      <c r="H42" s="435"/>
      <c r="I42" s="426" t="s">
        <v>610</v>
      </c>
      <c r="J42" s="427"/>
      <c r="K42" s="427"/>
      <c r="L42" s="427"/>
      <c r="M42" s="427"/>
      <c r="N42" s="436"/>
      <c r="O42" s="251" t="str">
        <f>個人防護具明細!AW5</f>
        <v>○</v>
      </c>
      <c r="P42" s="429" t="str">
        <f t="shared" si="2"/>
        <v>申請しない場合は入力不要です。</v>
      </c>
      <c r="Q42" s="430"/>
      <c r="R42" s="430"/>
      <c r="S42" s="430"/>
      <c r="T42" s="430"/>
      <c r="U42" s="430"/>
      <c r="V42" s="430"/>
      <c r="W42" s="430"/>
      <c r="X42" s="430"/>
      <c r="Y42" s="430"/>
      <c r="Z42" s="430"/>
      <c r="AA42" s="430"/>
      <c r="AB42" s="431"/>
      <c r="AJ42" s="273" t="str">
        <f t="shared" si="3"/>
        <v/>
      </c>
      <c r="AO42" s="246" t="s">
        <v>198</v>
      </c>
      <c r="AQ42" s="246" t="s">
        <v>192</v>
      </c>
      <c r="AR42" s="246" t="s">
        <v>287</v>
      </c>
    </row>
    <row r="43" spans="2:44" ht="30" customHeight="1">
      <c r="C43" s="434" t="s">
        <v>602</v>
      </c>
      <c r="D43" s="435"/>
      <c r="E43" s="435"/>
      <c r="F43" s="435"/>
      <c r="G43" s="435"/>
      <c r="H43" s="435"/>
      <c r="I43" s="426" t="s">
        <v>610</v>
      </c>
      <c r="J43" s="427"/>
      <c r="K43" s="427"/>
      <c r="L43" s="427"/>
      <c r="M43" s="427"/>
      <c r="N43" s="436"/>
      <c r="O43" s="251" t="str">
        <f>簡易病室明細!AI72</f>
        <v>○</v>
      </c>
      <c r="P43" s="429" t="str">
        <f t="shared" si="2"/>
        <v>申請しない場合は入力不要です。</v>
      </c>
      <c r="Q43" s="430"/>
      <c r="R43" s="430"/>
      <c r="S43" s="430"/>
      <c r="T43" s="430"/>
      <c r="U43" s="430"/>
      <c r="V43" s="430"/>
      <c r="W43" s="430"/>
      <c r="X43" s="430"/>
      <c r="Y43" s="430"/>
      <c r="Z43" s="430"/>
      <c r="AA43" s="430"/>
      <c r="AB43" s="431"/>
      <c r="AJ43" s="273" t="str">
        <f t="shared" si="3"/>
        <v/>
      </c>
      <c r="AO43" s="246" t="s">
        <v>284</v>
      </c>
      <c r="AQ43" s="246" t="s">
        <v>193</v>
      </c>
      <c r="AR43" s="246" t="s">
        <v>288</v>
      </c>
    </row>
    <row r="44" spans="2:44" ht="30" customHeight="1">
      <c r="C44" s="423" t="s">
        <v>603</v>
      </c>
      <c r="D44" s="424"/>
      <c r="E44" s="424"/>
      <c r="F44" s="424"/>
      <c r="G44" s="424"/>
      <c r="H44" s="425"/>
      <c r="I44" s="426" t="s">
        <v>610</v>
      </c>
      <c r="J44" s="427"/>
      <c r="K44" s="427"/>
      <c r="L44" s="427"/>
      <c r="M44" s="427"/>
      <c r="N44" s="428"/>
      <c r="O44" s="251" t="str">
        <f>超音波画像診断装置!AD7</f>
        <v>○</v>
      </c>
      <c r="P44" s="429" t="str">
        <f t="shared" si="2"/>
        <v>申請しない場合は入力不要です。</v>
      </c>
      <c r="Q44" s="430"/>
      <c r="R44" s="430"/>
      <c r="S44" s="430"/>
      <c r="T44" s="430"/>
      <c r="U44" s="430"/>
      <c r="V44" s="430"/>
      <c r="W44" s="430"/>
      <c r="X44" s="430"/>
      <c r="Y44" s="430"/>
      <c r="Z44" s="430"/>
      <c r="AA44" s="430"/>
      <c r="AB44" s="431"/>
      <c r="AJ44" s="273" t="str">
        <f t="shared" si="3"/>
        <v/>
      </c>
      <c r="AQ44" s="246" t="s">
        <v>194</v>
      </c>
      <c r="AR44" s="246" t="s">
        <v>289</v>
      </c>
    </row>
    <row r="45" spans="2:44" ht="30" customHeight="1">
      <c r="C45" s="423" t="s">
        <v>604</v>
      </c>
      <c r="D45" s="424"/>
      <c r="E45" s="424"/>
      <c r="F45" s="424"/>
      <c r="G45" s="424"/>
      <c r="H45" s="425"/>
      <c r="I45" s="426" t="s">
        <v>610</v>
      </c>
      <c r="J45" s="427"/>
      <c r="K45" s="427"/>
      <c r="L45" s="427"/>
      <c r="M45" s="427"/>
      <c r="N45" s="428"/>
      <c r="O45" s="251" t="str">
        <f>血液浄化装置明細!AD7</f>
        <v>○</v>
      </c>
      <c r="P45" s="429" t="str">
        <f t="shared" si="2"/>
        <v>申請しない場合は入力不要です。</v>
      </c>
      <c r="Q45" s="430"/>
      <c r="R45" s="430"/>
      <c r="S45" s="430"/>
      <c r="T45" s="430"/>
      <c r="U45" s="430"/>
      <c r="V45" s="430"/>
      <c r="W45" s="430"/>
      <c r="X45" s="430"/>
      <c r="Y45" s="430"/>
      <c r="Z45" s="430"/>
      <c r="AA45" s="430"/>
      <c r="AB45" s="431"/>
      <c r="AJ45" s="273" t="str">
        <f t="shared" si="3"/>
        <v/>
      </c>
      <c r="AQ45" s="246" t="s">
        <v>195</v>
      </c>
      <c r="AR45" s="246" t="s">
        <v>290</v>
      </c>
    </row>
    <row r="46" spans="2:44" ht="30" customHeight="1">
      <c r="C46" s="423" t="s">
        <v>605</v>
      </c>
      <c r="D46" s="424"/>
      <c r="E46" s="424"/>
      <c r="F46" s="424"/>
      <c r="G46" s="424"/>
      <c r="H46" s="425"/>
      <c r="I46" s="426" t="s">
        <v>610</v>
      </c>
      <c r="J46" s="427"/>
      <c r="K46" s="427"/>
      <c r="L46" s="427"/>
      <c r="M46" s="427"/>
      <c r="N46" s="428"/>
      <c r="O46" s="251" t="str">
        <f>気管支鏡!AD7</f>
        <v>○</v>
      </c>
      <c r="P46" s="429" t="str">
        <f t="shared" si="2"/>
        <v>申請しない場合は入力不要です。</v>
      </c>
      <c r="Q46" s="430"/>
      <c r="R46" s="430"/>
      <c r="S46" s="430"/>
      <c r="T46" s="430"/>
      <c r="U46" s="430"/>
      <c r="V46" s="430"/>
      <c r="W46" s="430"/>
      <c r="X46" s="430"/>
      <c r="Y46" s="430"/>
      <c r="Z46" s="430"/>
      <c r="AA46" s="430"/>
      <c r="AB46" s="431"/>
      <c r="AJ46" s="273" t="str">
        <f t="shared" si="3"/>
        <v/>
      </c>
      <c r="AQ46" s="246" t="s">
        <v>291</v>
      </c>
      <c r="AR46" s="246" t="s">
        <v>292</v>
      </c>
    </row>
    <row r="47" spans="2:44" ht="30" customHeight="1">
      <c r="C47" s="423" t="s">
        <v>606</v>
      </c>
      <c r="D47" s="424"/>
      <c r="E47" s="424"/>
      <c r="F47" s="424"/>
      <c r="G47" s="424"/>
      <c r="H47" s="425"/>
      <c r="I47" s="426" t="s">
        <v>610</v>
      </c>
      <c r="J47" s="427"/>
      <c r="K47" s="427"/>
      <c r="L47" s="427"/>
      <c r="M47" s="427"/>
      <c r="N47" s="428"/>
      <c r="O47" s="251" t="str">
        <f>CT撮影装置明細!AD7</f>
        <v>○</v>
      </c>
      <c r="P47" s="429" t="str">
        <f t="shared" si="2"/>
        <v>申請しない場合は入力不要です。</v>
      </c>
      <c r="Q47" s="430"/>
      <c r="R47" s="430"/>
      <c r="S47" s="430"/>
      <c r="T47" s="430"/>
      <c r="U47" s="430"/>
      <c r="V47" s="430"/>
      <c r="W47" s="430"/>
      <c r="X47" s="430"/>
      <c r="Y47" s="430"/>
      <c r="Z47" s="430"/>
      <c r="AA47" s="430"/>
      <c r="AB47" s="431"/>
      <c r="AJ47" s="273" t="str">
        <f t="shared" si="3"/>
        <v/>
      </c>
      <c r="AQ47" s="246" t="s">
        <v>293</v>
      </c>
      <c r="AR47" s="246" t="s">
        <v>294</v>
      </c>
    </row>
    <row r="48" spans="2:44" ht="30" customHeight="1">
      <c r="C48" s="423" t="s">
        <v>607</v>
      </c>
      <c r="D48" s="424"/>
      <c r="E48" s="424"/>
      <c r="F48" s="424"/>
      <c r="G48" s="424"/>
      <c r="H48" s="425"/>
      <c r="I48" s="426" t="s">
        <v>610</v>
      </c>
      <c r="J48" s="427"/>
      <c r="K48" s="427"/>
      <c r="L48" s="427"/>
      <c r="M48" s="427"/>
      <c r="N48" s="428"/>
      <c r="O48" s="251" t="str">
        <f>生体情報モニタ!AD7</f>
        <v>○</v>
      </c>
      <c r="P48" s="429" t="str">
        <f t="shared" si="2"/>
        <v>申請しない場合は入力不要です。</v>
      </c>
      <c r="Q48" s="430"/>
      <c r="R48" s="430"/>
      <c r="S48" s="430"/>
      <c r="T48" s="430"/>
      <c r="U48" s="430"/>
      <c r="V48" s="430"/>
      <c r="W48" s="430"/>
      <c r="X48" s="430"/>
      <c r="Y48" s="430"/>
      <c r="Z48" s="430"/>
      <c r="AA48" s="430"/>
      <c r="AB48" s="431"/>
      <c r="AJ48" s="273" t="str">
        <f t="shared" si="3"/>
        <v/>
      </c>
      <c r="AQ48" s="246" t="s">
        <v>295</v>
      </c>
      <c r="AR48" s="246" t="s">
        <v>296</v>
      </c>
    </row>
    <row r="49" spans="3:44" ht="30" customHeight="1">
      <c r="C49" s="423" t="s">
        <v>608</v>
      </c>
      <c r="D49" s="424"/>
      <c r="E49" s="424"/>
      <c r="F49" s="424"/>
      <c r="G49" s="424"/>
      <c r="H49" s="425"/>
      <c r="I49" s="426" t="s">
        <v>610</v>
      </c>
      <c r="J49" s="427"/>
      <c r="K49" s="427"/>
      <c r="L49" s="427"/>
      <c r="M49" s="427"/>
      <c r="N49" s="428"/>
      <c r="O49" s="251" t="str">
        <f>分娩監視装置!AD7</f>
        <v>○</v>
      </c>
      <c r="P49" s="429" t="str">
        <f t="shared" si="2"/>
        <v>申請しない場合は入力不要です。</v>
      </c>
      <c r="Q49" s="430"/>
      <c r="R49" s="430"/>
      <c r="S49" s="430"/>
      <c r="T49" s="430"/>
      <c r="U49" s="430"/>
      <c r="V49" s="430"/>
      <c r="W49" s="430"/>
      <c r="X49" s="430"/>
      <c r="Y49" s="430"/>
      <c r="Z49" s="430"/>
      <c r="AA49" s="430"/>
      <c r="AB49" s="431"/>
      <c r="AJ49" s="273" t="str">
        <f t="shared" si="3"/>
        <v/>
      </c>
      <c r="AQ49" s="246" t="s">
        <v>297</v>
      </c>
      <c r="AR49" s="246" t="s">
        <v>298</v>
      </c>
    </row>
    <row r="50" spans="3:44" ht="30" customHeight="1">
      <c r="C50" s="423" t="s">
        <v>609</v>
      </c>
      <c r="D50" s="424"/>
      <c r="E50" s="424"/>
      <c r="F50" s="424"/>
      <c r="G50" s="424"/>
      <c r="H50" s="425"/>
      <c r="I50" s="426" t="s">
        <v>610</v>
      </c>
      <c r="J50" s="427"/>
      <c r="K50" s="427"/>
      <c r="L50" s="427"/>
      <c r="M50" s="427"/>
      <c r="N50" s="428"/>
      <c r="O50" s="251" t="str">
        <f>'新生児モニタ '!AD7</f>
        <v>○</v>
      </c>
      <c r="P50" s="429" t="str">
        <f t="shared" si="2"/>
        <v>申請しない場合は入力不要です。</v>
      </c>
      <c r="Q50" s="430"/>
      <c r="R50" s="430"/>
      <c r="S50" s="430"/>
      <c r="T50" s="430"/>
      <c r="U50" s="430"/>
      <c r="V50" s="430"/>
      <c r="W50" s="430"/>
      <c r="X50" s="430"/>
      <c r="Y50" s="430"/>
      <c r="Z50" s="430"/>
      <c r="AA50" s="430"/>
      <c r="AB50" s="431"/>
      <c r="AJ50" s="273" t="str">
        <f t="shared" si="3"/>
        <v/>
      </c>
      <c r="AQ50" s="246" t="s">
        <v>299</v>
      </c>
      <c r="AR50" s="246" t="s">
        <v>300</v>
      </c>
    </row>
    <row r="51" spans="3:44" ht="30" customHeight="1">
      <c r="H51" s="246"/>
      <c r="I51" s="246"/>
      <c r="J51" s="246"/>
      <c r="K51" s="246"/>
      <c r="L51" s="246"/>
      <c r="M51" s="246"/>
      <c r="N51" s="246"/>
      <c r="O51" s="246"/>
      <c r="P51" s="246"/>
      <c r="AQ51" s="246" t="s">
        <v>301</v>
      </c>
      <c r="AR51" s="246" t="s">
        <v>302</v>
      </c>
    </row>
    <row r="52" spans="3:44" ht="30" customHeight="1">
      <c r="C52" s="416"/>
      <c r="D52" s="417"/>
      <c r="E52" s="417"/>
      <c r="F52" s="417"/>
      <c r="G52" s="417"/>
      <c r="H52" s="417"/>
      <c r="I52" s="421"/>
      <c r="J52" s="421"/>
      <c r="K52" s="421"/>
      <c r="L52" s="421"/>
      <c r="M52" s="421"/>
      <c r="N52" s="422"/>
      <c r="O52" s="264"/>
      <c r="P52" s="419"/>
      <c r="Q52" s="420"/>
      <c r="R52" s="420"/>
      <c r="S52" s="420"/>
      <c r="T52" s="420"/>
      <c r="U52" s="420"/>
      <c r="V52" s="420"/>
      <c r="W52" s="420"/>
      <c r="X52" s="420"/>
      <c r="Y52" s="420"/>
      <c r="Z52" s="420"/>
      <c r="AA52" s="420"/>
      <c r="AB52" s="420"/>
      <c r="AQ52" s="246" t="s">
        <v>303</v>
      </c>
      <c r="AR52" s="246" t="s">
        <v>304</v>
      </c>
    </row>
    <row r="53" spans="3:44" ht="30" customHeight="1">
      <c r="C53" s="416"/>
      <c r="D53" s="417"/>
      <c r="E53" s="417"/>
      <c r="F53" s="417"/>
      <c r="G53" s="417"/>
      <c r="H53" s="417"/>
      <c r="I53" s="418"/>
      <c r="J53" s="419"/>
      <c r="K53" s="419"/>
      <c r="L53" s="419"/>
      <c r="M53" s="419"/>
      <c r="N53" s="420"/>
      <c r="O53" s="264"/>
      <c r="P53" s="419"/>
      <c r="Q53" s="420"/>
      <c r="R53" s="420"/>
      <c r="S53" s="420"/>
      <c r="T53" s="420"/>
      <c r="U53" s="420"/>
      <c r="V53" s="420"/>
      <c r="W53" s="420"/>
      <c r="X53" s="420"/>
      <c r="Y53" s="420"/>
      <c r="Z53" s="420"/>
      <c r="AA53" s="420"/>
      <c r="AB53" s="420"/>
      <c r="AQ53" s="246" t="s">
        <v>305</v>
      </c>
      <c r="AR53" s="246" t="s">
        <v>306</v>
      </c>
    </row>
    <row r="54" spans="3:44" ht="30" customHeight="1">
      <c r="C54" s="416"/>
      <c r="D54" s="417"/>
      <c r="E54" s="417"/>
      <c r="F54" s="417"/>
      <c r="G54" s="417"/>
      <c r="H54" s="417"/>
      <c r="I54" s="418"/>
      <c r="J54" s="419"/>
      <c r="K54" s="419"/>
      <c r="L54" s="419"/>
      <c r="M54" s="419"/>
      <c r="N54" s="420"/>
      <c r="O54" s="264"/>
      <c r="P54" s="419"/>
      <c r="Q54" s="420"/>
      <c r="R54" s="420"/>
      <c r="S54" s="420"/>
      <c r="T54" s="420"/>
      <c r="U54" s="420"/>
      <c r="V54" s="420"/>
      <c r="W54" s="420"/>
      <c r="X54" s="420"/>
      <c r="Y54" s="420"/>
      <c r="Z54" s="420"/>
      <c r="AA54" s="420"/>
      <c r="AB54" s="420"/>
      <c r="AQ54" s="246" t="s">
        <v>307</v>
      </c>
      <c r="AR54" s="246" t="s">
        <v>308</v>
      </c>
    </row>
    <row r="55" spans="3:44">
      <c r="AQ55" s="246" t="s">
        <v>309</v>
      </c>
      <c r="AR55" s="246" t="s">
        <v>310</v>
      </c>
    </row>
    <row r="56" spans="3:44">
      <c r="AQ56" s="246" t="s">
        <v>311</v>
      </c>
      <c r="AR56" s="246" t="s">
        <v>312</v>
      </c>
    </row>
    <row r="57" spans="3:44">
      <c r="AQ57" s="246" t="s">
        <v>313</v>
      </c>
      <c r="AR57" s="246" t="s">
        <v>314</v>
      </c>
    </row>
    <row r="58" spans="3:44">
      <c r="AQ58" s="246" t="s">
        <v>315</v>
      </c>
      <c r="AR58" s="246" t="s">
        <v>316</v>
      </c>
    </row>
    <row r="59" spans="3:44">
      <c r="AQ59" s="246" t="s">
        <v>317</v>
      </c>
      <c r="AR59" s="246" t="s">
        <v>318</v>
      </c>
    </row>
    <row r="60" spans="3:44">
      <c r="AQ60" s="246" t="s">
        <v>319</v>
      </c>
      <c r="AR60" s="246" t="s">
        <v>320</v>
      </c>
    </row>
    <row r="61" spans="3:44">
      <c r="AQ61" s="246" t="s">
        <v>321</v>
      </c>
      <c r="AR61" s="246" t="s">
        <v>322</v>
      </c>
    </row>
    <row r="62" spans="3:44">
      <c r="AQ62" s="246" t="s">
        <v>323</v>
      </c>
      <c r="AR62" s="246" t="s">
        <v>324</v>
      </c>
    </row>
    <row r="63" spans="3:44">
      <c r="AQ63" s="246" t="s">
        <v>325</v>
      </c>
      <c r="AR63" s="246" t="s">
        <v>326</v>
      </c>
    </row>
    <row r="64" spans="3:44">
      <c r="AQ64" s="246" t="s">
        <v>327</v>
      </c>
      <c r="AR64" s="246" t="s">
        <v>328</v>
      </c>
    </row>
    <row r="65" spans="43:44">
      <c r="AQ65" s="246" t="s">
        <v>329</v>
      </c>
      <c r="AR65" s="246" t="s">
        <v>330</v>
      </c>
    </row>
    <row r="66" spans="43:44">
      <c r="AQ66" s="246" t="s">
        <v>331</v>
      </c>
      <c r="AR66" s="246" t="s">
        <v>332</v>
      </c>
    </row>
    <row r="67" spans="43:44">
      <c r="AQ67" s="246" t="s">
        <v>333</v>
      </c>
      <c r="AR67" s="246" t="s">
        <v>334</v>
      </c>
    </row>
    <row r="68" spans="43:44">
      <c r="AQ68" s="246" t="s">
        <v>335</v>
      </c>
      <c r="AR68" s="246" t="s">
        <v>336</v>
      </c>
    </row>
    <row r="69" spans="43:44">
      <c r="AQ69" s="246" t="s">
        <v>337</v>
      </c>
      <c r="AR69" s="246" t="s">
        <v>338</v>
      </c>
    </row>
    <row r="70" spans="43:44">
      <c r="AQ70" s="246" t="s">
        <v>339</v>
      </c>
      <c r="AR70" s="246" t="s">
        <v>340</v>
      </c>
    </row>
    <row r="71" spans="43:44">
      <c r="AQ71" s="246" t="s">
        <v>341</v>
      </c>
      <c r="AR71" s="246" t="s">
        <v>342</v>
      </c>
    </row>
    <row r="72" spans="43:44">
      <c r="AQ72" s="246" t="s">
        <v>343</v>
      </c>
      <c r="AR72" s="246" t="s">
        <v>344</v>
      </c>
    </row>
    <row r="73" spans="43:44">
      <c r="AQ73" s="246" t="s">
        <v>345</v>
      </c>
      <c r="AR73" s="246" t="s">
        <v>346</v>
      </c>
    </row>
    <row r="74" spans="43:44">
      <c r="AQ74" s="246" t="s">
        <v>347</v>
      </c>
      <c r="AR74" s="246" t="s">
        <v>348</v>
      </c>
    </row>
    <row r="75" spans="43:44">
      <c r="AQ75" s="246" t="s">
        <v>349</v>
      </c>
      <c r="AR75" s="246" t="s">
        <v>350</v>
      </c>
    </row>
    <row r="76" spans="43:44">
      <c r="AQ76" s="246" t="s">
        <v>351</v>
      </c>
      <c r="AR76" s="246" t="s">
        <v>352</v>
      </c>
    </row>
    <row r="77" spans="43:44">
      <c r="AQ77" s="246" t="s">
        <v>353</v>
      </c>
      <c r="AR77" s="246" t="s">
        <v>354</v>
      </c>
    </row>
    <row r="78" spans="43:44">
      <c r="AQ78" s="246" t="s">
        <v>355</v>
      </c>
      <c r="AR78" s="246" t="s">
        <v>356</v>
      </c>
    </row>
    <row r="79" spans="43:44">
      <c r="AQ79" s="246" t="s">
        <v>357</v>
      </c>
      <c r="AR79" s="246" t="s">
        <v>358</v>
      </c>
    </row>
    <row r="80" spans="43:44">
      <c r="AQ80" s="246" t="s">
        <v>359</v>
      </c>
      <c r="AR80" s="246" t="s">
        <v>360</v>
      </c>
    </row>
    <row r="81" spans="43:44">
      <c r="AQ81" s="246" t="s">
        <v>361</v>
      </c>
      <c r="AR81" s="246" t="s">
        <v>362</v>
      </c>
    </row>
    <row r="82" spans="43:44">
      <c r="AQ82" s="246" t="s">
        <v>363</v>
      </c>
      <c r="AR82" s="246" t="s">
        <v>364</v>
      </c>
    </row>
    <row r="83" spans="43:44">
      <c r="AQ83" s="246" t="s">
        <v>365</v>
      </c>
      <c r="AR83" s="246" t="s">
        <v>366</v>
      </c>
    </row>
    <row r="84" spans="43:44">
      <c r="AQ84" s="246" t="s">
        <v>367</v>
      </c>
      <c r="AR84" s="246" t="s">
        <v>368</v>
      </c>
    </row>
    <row r="85" spans="43:44">
      <c r="AQ85" s="246" t="s">
        <v>369</v>
      </c>
      <c r="AR85" s="246" t="s">
        <v>370</v>
      </c>
    </row>
    <row r="86" spans="43:44">
      <c r="AQ86" s="246" t="s">
        <v>371</v>
      </c>
      <c r="AR86" s="246" t="s">
        <v>372</v>
      </c>
    </row>
    <row r="87" spans="43:44">
      <c r="AQ87" s="246" t="s">
        <v>373</v>
      </c>
      <c r="AR87" s="246" t="s">
        <v>374</v>
      </c>
    </row>
    <row r="88" spans="43:44">
      <c r="AQ88" s="246" t="s">
        <v>375</v>
      </c>
      <c r="AR88" s="246" t="s">
        <v>376</v>
      </c>
    </row>
    <row r="89" spans="43:44">
      <c r="AQ89" s="246" t="s">
        <v>377</v>
      </c>
      <c r="AR89" s="246" t="s">
        <v>378</v>
      </c>
    </row>
    <row r="90" spans="43:44">
      <c r="AQ90" s="246" t="s">
        <v>379</v>
      </c>
      <c r="AR90" s="246" t="s">
        <v>380</v>
      </c>
    </row>
    <row r="91" spans="43:44">
      <c r="AQ91" s="246" t="s">
        <v>381</v>
      </c>
      <c r="AR91" s="246" t="s">
        <v>382</v>
      </c>
    </row>
    <row r="92" spans="43:44">
      <c r="AQ92" s="246" t="s">
        <v>383</v>
      </c>
      <c r="AR92" s="246" t="s">
        <v>384</v>
      </c>
    </row>
    <row r="93" spans="43:44">
      <c r="AQ93" s="246" t="s">
        <v>385</v>
      </c>
      <c r="AR93" s="246" t="s">
        <v>386</v>
      </c>
    </row>
    <row r="94" spans="43:44">
      <c r="AQ94" s="246" t="s">
        <v>387</v>
      </c>
      <c r="AR94" s="246" t="s">
        <v>388</v>
      </c>
    </row>
    <row r="95" spans="43:44">
      <c r="AQ95" s="246" t="s">
        <v>389</v>
      </c>
      <c r="AR95" s="246" t="s">
        <v>390</v>
      </c>
    </row>
    <row r="96" spans="43:44">
      <c r="AQ96" s="246" t="s">
        <v>391</v>
      </c>
      <c r="AR96" s="246" t="s">
        <v>392</v>
      </c>
    </row>
    <row r="97" spans="43:44">
      <c r="AQ97" s="246" t="s">
        <v>393</v>
      </c>
      <c r="AR97" s="246" t="s">
        <v>394</v>
      </c>
    </row>
    <row r="98" spans="43:44">
      <c r="AQ98" s="246" t="s">
        <v>395</v>
      </c>
      <c r="AR98" s="246" t="s">
        <v>396</v>
      </c>
    </row>
    <row r="99" spans="43:44">
      <c r="AQ99" s="246" t="s">
        <v>397</v>
      </c>
      <c r="AR99" s="246" t="s">
        <v>398</v>
      </c>
    </row>
    <row r="100" spans="43:44">
      <c r="AQ100" s="246" t="s">
        <v>399</v>
      </c>
      <c r="AR100" s="246" t="s">
        <v>400</v>
      </c>
    </row>
    <row r="101" spans="43:44">
      <c r="AQ101" s="246" t="s">
        <v>401</v>
      </c>
      <c r="AR101" s="246" t="s">
        <v>402</v>
      </c>
    </row>
    <row r="102" spans="43:44">
      <c r="AQ102" s="246" t="s">
        <v>403</v>
      </c>
      <c r="AR102" s="246" t="s">
        <v>404</v>
      </c>
    </row>
    <row r="103" spans="43:44">
      <c r="AQ103" s="246" t="s">
        <v>405</v>
      </c>
      <c r="AR103" s="246" t="s">
        <v>406</v>
      </c>
    </row>
    <row r="104" spans="43:44">
      <c r="AQ104" s="246" t="s">
        <v>407</v>
      </c>
      <c r="AR104" s="246" t="s">
        <v>408</v>
      </c>
    </row>
    <row r="105" spans="43:44">
      <c r="AQ105" s="246" t="s">
        <v>409</v>
      </c>
      <c r="AR105" s="246" t="s">
        <v>410</v>
      </c>
    </row>
    <row r="106" spans="43:44">
      <c r="AQ106" s="246" t="s">
        <v>411</v>
      </c>
      <c r="AR106" s="246" t="s">
        <v>412</v>
      </c>
    </row>
    <row r="107" spans="43:44">
      <c r="AQ107" s="246" t="s">
        <v>413</v>
      </c>
      <c r="AR107" s="246" t="s">
        <v>414</v>
      </c>
    </row>
    <row r="108" spans="43:44">
      <c r="AQ108" s="246" t="s">
        <v>415</v>
      </c>
      <c r="AR108" s="246" t="s">
        <v>416</v>
      </c>
    </row>
    <row r="109" spans="43:44">
      <c r="AQ109" s="246" t="s">
        <v>417</v>
      </c>
      <c r="AR109" s="246" t="s">
        <v>418</v>
      </c>
    </row>
    <row r="110" spans="43:44">
      <c r="AQ110" s="246" t="s">
        <v>419</v>
      </c>
      <c r="AR110" s="246" t="s">
        <v>420</v>
      </c>
    </row>
    <row r="111" spans="43:44">
      <c r="AQ111" s="246" t="s">
        <v>421</v>
      </c>
      <c r="AR111" s="246" t="s">
        <v>422</v>
      </c>
    </row>
    <row r="112" spans="43:44">
      <c r="AQ112" s="246" t="s">
        <v>423</v>
      </c>
      <c r="AR112" s="246" t="s">
        <v>424</v>
      </c>
    </row>
    <row r="113" spans="43:44">
      <c r="AQ113" s="246" t="s">
        <v>425</v>
      </c>
      <c r="AR113" s="246" t="s">
        <v>426</v>
      </c>
    </row>
    <row r="114" spans="43:44">
      <c r="AQ114" s="246" t="s">
        <v>427</v>
      </c>
      <c r="AR114" s="246" t="s">
        <v>428</v>
      </c>
    </row>
    <row r="115" spans="43:44">
      <c r="AQ115" s="246" t="s">
        <v>429</v>
      </c>
      <c r="AR115" s="246" t="s">
        <v>430</v>
      </c>
    </row>
    <row r="116" spans="43:44">
      <c r="AQ116" s="246" t="s">
        <v>431</v>
      </c>
      <c r="AR116" s="246" t="s">
        <v>432</v>
      </c>
    </row>
    <row r="117" spans="43:44">
      <c r="AQ117" s="246" t="s">
        <v>433</v>
      </c>
      <c r="AR117" s="246" t="s">
        <v>434</v>
      </c>
    </row>
    <row r="118" spans="43:44">
      <c r="AQ118" s="246" t="s">
        <v>435</v>
      </c>
      <c r="AR118" s="246" t="s">
        <v>436</v>
      </c>
    </row>
    <row r="119" spans="43:44">
      <c r="AQ119" s="246" t="s">
        <v>437</v>
      </c>
      <c r="AR119" s="246" t="s">
        <v>438</v>
      </c>
    </row>
    <row r="120" spans="43:44">
      <c r="AQ120" s="246" t="s">
        <v>439</v>
      </c>
      <c r="AR120" s="246" t="s">
        <v>440</v>
      </c>
    </row>
    <row r="121" spans="43:44">
      <c r="AQ121" s="246" t="s">
        <v>441</v>
      </c>
      <c r="AR121" s="246" t="s">
        <v>442</v>
      </c>
    </row>
    <row r="122" spans="43:44">
      <c r="AQ122" s="246" t="s">
        <v>443</v>
      </c>
      <c r="AR122" s="246" t="s">
        <v>444</v>
      </c>
    </row>
    <row r="123" spans="43:44">
      <c r="AQ123" s="246" t="s">
        <v>445</v>
      </c>
      <c r="AR123" s="246" t="s">
        <v>446</v>
      </c>
    </row>
    <row r="124" spans="43:44">
      <c r="AQ124" s="246" t="s">
        <v>447</v>
      </c>
      <c r="AR124" s="246" t="s">
        <v>448</v>
      </c>
    </row>
    <row r="125" spans="43:44">
      <c r="AQ125" s="246" t="s">
        <v>449</v>
      </c>
      <c r="AR125" s="246" t="s">
        <v>450</v>
      </c>
    </row>
    <row r="126" spans="43:44">
      <c r="AQ126" s="246" t="s">
        <v>451</v>
      </c>
      <c r="AR126" s="246" t="s">
        <v>452</v>
      </c>
    </row>
    <row r="127" spans="43:44">
      <c r="AQ127" s="246" t="s">
        <v>453</v>
      </c>
      <c r="AR127" s="246" t="s">
        <v>454</v>
      </c>
    </row>
    <row r="128" spans="43:44">
      <c r="AQ128" s="246" t="s">
        <v>455</v>
      </c>
      <c r="AR128" s="246" t="s">
        <v>456</v>
      </c>
    </row>
    <row r="129" spans="43:44">
      <c r="AQ129" s="246" t="s">
        <v>457</v>
      </c>
      <c r="AR129" s="246" t="s">
        <v>458</v>
      </c>
    </row>
    <row r="130" spans="43:44">
      <c r="AQ130" s="246" t="s">
        <v>459</v>
      </c>
      <c r="AR130" s="246" t="s">
        <v>460</v>
      </c>
    </row>
    <row r="131" spans="43:44">
      <c r="AQ131" s="246" t="s">
        <v>461</v>
      </c>
      <c r="AR131" s="246" t="s">
        <v>462</v>
      </c>
    </row>
    <row r="132" spans="43:44">
      <c r="AQ132" s="246" t="s">
        <v>463</v>
      </c>
      <c r="AR132" s="246" t="s">
        <v>464</v>
      </c>
    </row>
    <row r="133" spans="43:44">
      <c r="AQ133" s="246" t="s">
        <v>465</v>
      </c>
      <c r="AR133" s="246" t="s">
        <v>466</v>
      </c>
    </row>
    <row r="134" spans="43:44">
      <c r="AQ134" s="246" t="s">
        <v>467</v>
      </c>
      <c r="AR134" s="246" t="s">
        <v>468</v>
      </c>
    </row>
    <row r="135" spans="43:44">
      <c r="AQ135" s="246" t="s">
        <v>469</v>
      </c>
      <c r="AR135" s="246" t="s">
        <v>470</v>
      </c>
    </row>
    <row r="136" spans="43:44">
      <c r="AQ136" s="246" t="s">
        <v>471</v>
      </c>
      <c r="AR136" s="246" t="s">
        <v>472</v>
      </c>
    </row>
    <row r="137" spans="43:44">
      <c r="AQ137" s="246" t="s">
        <v>473</v>
      </c>
      <c r="AR137" s="246" t="s">
        <v>474</v>
      </c>
    </row>
    <row r="138" spans="43:44">
      <c r="AQ138" s="246" t="s">
        <v>475</v>
      </c>
      <c r="AR138" s="246" t="s">
        <v>476</v>
      </c>
    </row>
    <row r="139" spans="43:44">
      <c r="AQ139" s="246" t="s">
        <v>477</v>
      </c>
      <c r="AR139" s="246" t="s">
        <v>478</v>
      </c>
    </row>
    <row r="140" spans="43:44" ht="33">
      <c r="AQ140" s="246" t="s">
        <v>479</v>
      </c>
      <c r="AR140" s="246" t="s">
        <v>480</v>
      </c>
    </row>
    <row r="141" spans="43:44" ht="33">
      <c r="AQ141" s="246" t="s">
        <v>481</v>
      </c>
      <c r="AR141" s="246" t="s">
        <v>482</v>
      </c>
    </row>
    <row r="142" spans="43:44" ht="33">
      <c r="AQ142" s="246" t="s">
        <v>483</v>
      </c>
      <c r="AR142" s="246" t="s">
        <v>484</v>
      </c>
    </row>
    <row r="143" spans="43:44" ht="33">
      <c r="AQ143" s="246" t="s">
        <v>485</v>
      </c>
      <c r="AR143" s="246" t="s">
        <v>486</v>
      </c>
    </row>
    <row r="144" spans="43:44" ht="33">
      <c r="AQ144" s="246" t="s">
        <v>487</v>
      </c>
      <c r="AR144" s="246" t="s">
        <v>488</v>
      </c>
    </row>
    <row r="145" spans="43:44" ht="33">
      <c r="AQ145" s="246" t="s">
        <v>489</v>
      </c>
      <c r="AR145" s="246" t="s">
        <v>490</v>
      </c>
    </row>
    <row r="146" spans="43:44" ht="33">
      <c r="AQ146" s="246" t="s">
        <v>491</v>
      </c>
      <c r="AR146" s="246" t="s">
        <v>492</v>
      </c>
    </row>
    <row r="147" spans="43:44" ht="33">
      <c r="AQ147" s="246" t="s">
        <v>493</v>
      </c>
      <c r="AR147" s="246" t="s">
        <v>494</v>
      </c>
    </row>
    <row r="148" spans="43:44" ht="33">
      <c r="AQ148" s="246" t="s">
        <v>495</v>
      </c>
      <c r="AR148" s="246" t="s">
        <v>496</v>
      </c>
    </row>
    <row r="149" spans="43:44" ht="33">
      <c r="AQ149" s="246" t="s">
        <v>497</v>
      </c>
      <c r="AR149" s="246" t="s">
        <v>498</v>
      </c>
    </row>
    <row r="150" spans="43:44" ht="33">
      <c r="AQ150" s="246" t="s">
        <v>499</v>
      </c>
      <c r="AR150" s="246" t="s">
        <v>500</v>
      </c>
    </row>
    <row r="151" spans="43:44" ht="33">
      <c r="AQ151" s="246" t="s">
        <v>501</v>
      </c>
      <c r="AR151" s="246" t="s">
        <v>502</v>
      </c>
    </row>
    <row r="152" spans="43:44" ht="33">
      <c r="AQ152" s="246" t="s">
        <v>503</v>
      </c>
      <c r="AR152" s="246" t="s">
        <v>504</v>
      </c>
    </row>
    <row r="153" spans="43:44" ht="33">
      <c r="AQ153" s="246" t="s">
        <v>505</v>
      </c>
      <c r="AR153" s="246" t="s">
        <v>506</v>
      </c>
    </row>
    <row r="154" spans="43:44" ht="33">
      <c r="AQ154" s="246" t="s">
        <v>507</v>
      </c>
      <c r="AR154" s="246" t="s">
        <v>508</v>
      </c>
    </row>
    <row r="155" spans="43:44" ht="33">
      <c r="AQ155" s="246" t="s">
        <v>509</v>
      </c>
      <c r="AR155" s="246" t="s">
        <v>510</v>
      </c>
    </row>
    <row r="156" spans="43:44" ht="33">
      <c r="AQ156" s="246" t="s">
        <v>511</v>
      </c>
      <c r="AR156" s="246" t="s">
        <v>512</v>
      </c>
    </row>
    <row r="157" spans="43:44" ht="33">
      <c r="AQ157" s="246" t="s">
        <v>513</v>
      </c>
      <c r="AR157" s="246" t="s">
        <v>514</v>
      </c>
    </row>
    <row r="158" spans="43:44" ht="33">
      <c r="AQ158" s="246" t="s">
        <v>515</v>
      </c>
      <c r="AR158" s="246" t="s">
        <v>516</v>
      </c>
    </row>
    <row r="159" spans="43:44" ht="33">
      <c r="AQ159" s="246" t="s">
        <v>517</v>
      </c>
      <c r="AR159" s="246" t="s">
        <v>518</v>
      </c>
    </row>
    <row r="160" spans="43:44" ht="33">
      <c r="AQ160" s="246" t="s">
        <v>519</v>
      </c>
      <c r="AR160" s="246" t="s">
        <v>520</v>
      </c>
    </row>
    <row r="161" spans="43:44" ht="33">
      <c r="AQ161" s="246" t="s">
        <v>521</v>
      </c>
      <c r="AR161" s="246" t="s">
        <v>522</v>
      </c>
    </row>
    <row r="162" spans="43:44" ht="33">
      <c r="AQ162" s="246" t="s">
        <v>523</v>
      </c>
      <c r="AR162" s="246" t="s">
        <v>524</v>
      </c>
    </row>
    <row r="163" spans="43:44" ht="33">
      <c r="AQ163" s="246" t="s">
        <v>525</v>
      </c>
      <c r="AR163" s="246" t="s">
        <v>526</v>
      </c>
    </row>
    <row r="164" spans="43:44" ht="33">
      <c r="AQ164" s="246" t="s">
        <v>527</v>
      </c>
      <c r="AR164" s="246" t="s">
        <v>528</v>
      </c>
    </row>
    <row r="165" spans="43:44" ht="33">
      <c r="AQ165" s="246" t="s">
        <v>529</v>
      </c>
      <c r="AR165" s="246" t="s">
        <v>530</v>
      </c>
    </row>
    <row r="166" spans="43:44" ht="33">
      <c r="AQ166" s="246" t="s">
        <v>531</v>
      </c>
      <c r="AR166" s="246" t="s">
        <v>532</v>
      </c>
    </row>
    <row r="167" spans="43:44" ht="33">
      <c r="AQ167" s="246" t="s">
        <v>533</v>
      </c>
      <c r="AR167" s="246" t="s">
        <v>534</v>
      </c>
    </row>
    <row r="168" spans="43:44" ht="33">
      <c r="AQ168" s="246" t="s">
        <v>535</v>
      </c>
      <c r="AR168" s="246" t="s">
        <v>536</v>
      </c>
    </row>
    <row r="169" spans="43:44" ht="33">
      <c r="AQ169" s="246" t="s">
        <v>537</v>
      </c>
      <c r="AR169" s="246" t="s">
        <v>538</v>
      </c>
    </row>
    <row r="170" spans="43:44" ht="33">
      <c r="AQ170" s="246" t="s">
        <v>539</v>
      </c>
      <c r="AR170" s="246" t="s">
        <v>540</v>
      </c>
    </row>
    <row r="171" spans="43:44" ht="33">
      <c r="AQ171" s="246" t="s">
        <v>541</v>
      </c>
      <c r="AR171" s="246" t="s">
        <v>542</v>
      </c>
    </row>
    <row r="172" spans="43:44" ht="33">
      <c r="AQ172" s="246" t="s">
        <v>543</v>
      </c>
      <c r="AR172" s="246" t="s">
        <v>544</v>
      </c>
    </row>
    <row r="173" spans="43:44" ht="33">
      <c r="AQ173" s="246" t="s">
        <v>545</v>
      </c>
      <c r="AR173" s="246" t="s">
        <v>546</v>
      </c>
    </row>
    <row r="174" spans="43:44" ht="33">
      <c r="AQ174" s="246" t="s">
        <v>547</v>
      </c>
      <c r="AR174" s="246" t="s">
        <v>548</v>
      </c>
    </row>
    <row r="175" spans="43:44" ht="33">
      <c r="AQ175" s="246" t="s">
        <v>549</v>
      </c>
      <c r="AR175" s="246" t="s">
        <v>550</v>
      </c>
    </row>
    <row r="176" spans="43:44" ht="33">
      <c r="AQ176" s="246" t="s">
        <v>551</v>
      </c>
      <c r="AR176" s="246" t="s">
        <v>552</v>
      </c>
    </row>
    <row r="177" spans="43:44" ht="33">
      <c r="AQ177" s="246" t="s">
        <v>553</v>
      </c>
      <c r="AR177" s="246" t="s">
        <v>554</v>
      </c>
    </row>
    <row r="178" spans="43:44" ht="33">
      <c r="AQ178" s="246" t="s">
        <v>555</v>
      </c>
      <c r="AR178" s="246" t="s">
        <v>556</v>
      </c>
    </row>
    <row r="179" spans="43:44" ht="33">
      <c r="AQ179" s="246" t="s">
        <v>557</v>
      </c>
      <c r="AR179" s="246" t="s">
        <v>558</v>
      </c>
    </row>
    <row r="180" spans="43:44" ht="33">
      <c r="AQ180" s="246" t="s">
        <v>559</v>
      </c>
      <c r="AR180" s="246" t="s">
        <v>560</v>
      </c>
    </row>
    <row r="181" spans="43:44" ht="33">
      <c r="AQ181" s="246" t="s">
        <v>561</v>
      </c>
      <c r="AR181" s="246" t="s">
        <v>562</v>
      </c>
    </row>
    <row r="182" spans="43:44" ht="33">
      <c r="AQ182" s="246" t="s">
        <v>563</v>
      </c>
      <c r="AR182" s="246" t="s">
        <v>564</v>
      </c>
    </row>
    <row r="183" spans="43:44" ht="33">
      <c r="AQ183" s="246" t="s">
        <v>565</v>
      </c>
      <c r="AR183" s="246" t="s">
        <v>566</v>
      </c>
    </row>
    <row r="184" spans="43:44" ht="33">
      <c r="AQ184" s="246" t="s">
        <v>567</v>
      </c>
      <c r="AR184" s="246" t="s">
        <v>568</v>
      </c>
    </row>
    <row r="185" spans="43:44" ht="33">
      <c r="AQ185" s="246" t="s">
        <v>569</v>
      </c>
      <c r="AR185" s="246" t="s">
        <v>570</v>
      </c>
    </row>
    <row r="186" spans="43:44" ht="33">
      <c r="AQ186" s="246" t="s">
        <v>571</v>
      </c>
      <c r="AR186" s="246" t="s">
        <v>572</v>
      </c>
    </row>
    <row r="187" spans="43:44" ht="33">
      <c r="AQ187" s="246" t="s">
        <v>573</v>
      </c>
      <c r="AR187" s="246" t="s">
        <v>574</v>
      </c>
    </row>
    <row r="188" spans="43:44" ht="33">
      <c r="AQ188" s="246" t="s">
        <v>575</v>
      </c>
      <c r="AR188" s="246" t="s">
        <v>576</v>
      </c>
    </row>
    <row r="189" spans="43:44" ht="33">
      <c r="AQ189" s="246" t="s">
        <v>577</v>
      </c>
      <c r="AR189" s="246" t="s">
        <v>578</v>
      </c>
    </row>
    <row r="190" spans="43:44" ht="33">
      <c r="AQ190" s="246" t="s">
        <v>579</v>
      </c>
      <c r="AR190" s="246" t="s">
        <v>580</v>
      </c>
    </row>
  </sheetData>
  <sheetProtection algorithmName="SHA-512" hashValue="kmxn+F9AHOec/txxKaDUKHp22iJOrv5TlYJcYet5na86A7orzT9/z9Wwk7onBrs6l6iME0iXllQRh1EWsVdMXg==" saltValue="ltho45rRVC7AlsSFQ96f+A==" spinCount="100000" sheet="1" objects="1" scenarios="1"/>
  <mergeCells count="137">
    <mergeCell ref="AJ23:AJ25"/>
    <mergeCell ref="AJ3:AJ5"/>
    <mergeCell ref="H4:N4"/>
    <mergeCell ref="H5:N5"/>
    <mergeCell ref="C6:G6"/>
    <mergeCell ref="H6:N6"/>
    <mergeCell ref="P6:AB6"/>
    <mergeCell ref="C1:AB1"/>
    <mergeCell ref="C2:G2"/>
    <mergeCell ref="H2:N2"/>
    <mergeCell ref="P2:AB2"/>
    <mergeCell ref="C3:G5"/>
    <mergeCell ref="H3:N3"/>
    <mergeCell ref="O3:O5"/>
    <mergeCell ref="P3:AB5"/>
    <mergeCell ref="C9:G9"/>
    <mergeCell ref="H9:N9"/>
    <mergeCell ref="P9:AB9"/>
    <mergeCell ref="C10:G10"/>
    <mergeCell ref="H10:N10"/>
    <mergeCell ref="P10:AB10"/>
    <mergeCell ref="C7:G7"/>
    <mergeCell ref="H7:N7"/>
    <mergeCell ref="P7:AB7"/>
    <mergeCell ref="C8:G8"/>
    <mergeCell ref="H8:N8"/>
    <mergeCell ref="P8:AB8"/>
    <mergeCell ref="C15:G15"/>
    <mergeCell ref="H15:N15"/>
    <mergeCell ref="P15:AB15"/>
    <mergeCell ref="C16:G16"/>
    <mergeCell ref="H16:N16"/>
    <mergeCell ref="P16:AB16"/>
    <mergeCell ref="C11:G11"/>
    <mergeCell ref="H11:N11"/>
    <mergeCell ref="P11:AB11"/>
    <mergeCell ref="C14:G14"/>
    <mergeCell ref="P14:AB14"/>
    <mergeCell ref="P13:AB13"/>
    <mergeCell ref="C12:G13"/>
    <mergeCell ref="H12:J12"/>
    <mergeCell ref="M12:N12"/>
    <mergeCell ref="P12:AB12"/>
    <mergeCell ref="H13:J13"/>
    <mergeCell ref="C19:G19"/>
    <mergeCell ref="H19:N19"/>
    <mergeCell ref="P19:AB19"/>
    <mergeCell ref="C20:G20"/>
    <mergeCell ref="P20:AB20"/>
    <mergeCell ref="C17:G17"/>
    <mergeCell ref="H17:N17"/>
    <mergeCell ref="P17:AB17"/>
    <mergeCell ref="C18:G18"/>
    <mergeCell ref="H18:N18"/>
    <mergeCell ref="P18:AB18"/>
    <mergeCell ref="H20:K20"/>
    <mergeCell ref="L20:M20"/>
    <mergeCell ref="C21:G21"/>
    <mergeCell ref="H21:N21"/>
    <mergeCell ref="P21:AB21"/>
    <mergeCell ref="C22:G22"/>
    <mergeCell ref="H22:N22"/>
    <mergeCell ref="P22:AB22"/>
    <mergeCell ref="D27:E27"/>
    <mergeCell ref="G27:AB27"/>
    <mergeCell ref="C29:AB29"/>
    <mergeCell ref="C23:G25"/>
    <mergeCell ref="H23:N23"/>
    <mergeCell ref="H24:N24"/>
    <mergeCell ref="H25:N25"/>
    <mergeCell ref="O23:O25"/>
    <mergeCell ref="P23:AB25"/>
    <mergeCell ref="I39:N39"/>
    <mergeCell ref="P39:AB39"/>
    <mergeCell ref="C36:H36"/>
    <mergeCell ref="I36:N36"/>
    <mergeCell ref="P36:AB36"/>
    <mergeCell ref="C37:H37"/>
    <mergeCell ref="I37:N37"/>
    <mergeCell ref="P37:AB37"/>
    <mergeCell ref="C38:H38"/>
    <mergeCell ref="I38:N38"/>
    <mergeCell ref="P38:AB38"/>
    <mergeCell ref="D31:E31"/>
    <mergeCell ref="G31:AB31"/>
    <mergeCell ref="C42:H42"/>
    <mergeCell ref="I42:N42"/>
    <mergeCell ref="P42:AB42"/>
    <mergeCell ref="C43:H43"/>
    <mergeCell ref="I43:N43"/>
    <mergeCell ref="P43:AB43"/>
    <mergeCell ref="C40:H40"/>
    <mergeCell ref="I40:N40"/>
    <mergeCell ref="P40:AB40"/>
    <mergeCell ref="C41:H41"/>
    <mergeCell ref="I41:N41"/>
    <mergeCell ref="P41:AB41"/>
    <mergeCell ref="C34:H34"/>
    <mergeCell ref="I34:N34"/>
    <mergeCell ref="P34:AB34"/>
    <mergeCell ref="C35:H35"/>
    <mergeCell ref="I35:N35"/>
    <mergeCell ref="P35:AB35"/>
    <mergeCell ref="C33:H33"/>
    <mergeCell ref="I33:N33"/>
    <mergeCell ref="P33:AB33"/>
    <mergeCell ref="C39:H39"/>
    <mergeCell ref="C45:H45"/>
    <mergeCell ref="I45:N45"/>
    <mergeCell ref="P45:AB45"/>
    <mergeCell ref="C46:H46"/>
    <mergeCell ref="I46:N46"/>
    <mergeCell ref="P46:AB46"/>
    <mergeCell ref="P44:AB44"/>
    <mergeCell ref="C44:H44"/>
    <mergeCell ref="I44:N44"/>
    <mergeCell ref="C49:H49"/>
    <mergeCell ref="I49:N49"/>
    <mergeCell ref="P49:AB49"/>
    <mergeCell ref="C50:H50"/>
    <mergeCell ref="I50:N50"/>
    <mergeCell ref="P50:AB50"/>
    <mergeCell ref="C47:H47"/>
    <mergeCell ref="I47:N47"/>
    <mergeCell ref="P47:AB47"/>
    <mergeCell ref="C48:H48"/>
    <mergeCell ref="I48:N48"/>
    <mergeCell ref="P48:AB48"/>
    <mergeCell ref="C54:H54"/>
    <mergeCell ref="I54:N54"/>
    <mergeCell ref="P54:AB54"/>
    <mergeCell ref="C52:H52"/>
    <mergeCell ref="I52:N52"/>
    <mergeCell ref="P52:AB52"/>
    <mergeCell ref="C53:H53"/>
    <mergeCell ref="I53:N53"/>
    <mergeCell ref="P53:AB53"/>
  </mergeCells>
  <phoneticPr fontId="1"/>
  <conditionalFormatting sqref="O3:O11 O14:O23 O26">
    <cfRule type="containsText" dxfId="160" priority="15" operator="containsText" text="×">
      <formula>NOT(ISERROR(SEARCH("×",O3)))</formula>
    </cfRule>
    <cfRule type="containsText" dxfId="159" priority="17" operator="containsText" text="×">
      <formula>NOT(ISERROR(SEARCH("×",O3)))</formula>
    </cfRule>
  </conditionalFormatting>
  <conditionalFormatting sqref="P15 P3:W11 P16:W19 P26:W26 P14:W14 P20:P23">
    <cfRule type="containsText" dxfId="158" priority="16" operator="containsText" text="要修正">
      <formula>NOT(ISERROR(SEARCH("要修正",P3)))</formula>
    </cfRule>
  </conditionalFormatting>
  <conditionalFormatting sqref="F27 O52:O54 O34:O50">
    <cfRule type="containsText" dxfId="157" priority="14" operator="containsText" text="×">
      <formula>NOT(ISERROR(SEARCH("×",F27)))</formula>
    </cfRule>
  </conditionalFormatting>
  <conditionalFormatting sqref="G27:AB27">
    <cfRule type="containsText" dxfId="156" priority="13" operator="containsText" text="要修正">
      <formula>NOT(ISERROR(SEARCH("要修正",G27)))</formula>
    </cfRule>
  </conditionalFormatting>
  <conditionalFormatting sqref="P52:AB54 P34:AB50">
    <cfRule type="containsText" dxfId="155" priority="11" operator="containsText" text="要修正">
      <formula>NOT(ISERROR(SEARCH("要修正",P34)))</formula>
    </cfRule>
    <cfRule type="cellIs" dxfId="154" priority="12" operator="equal">
      <formula>"要修正"</formula>
    </cfRule>
  </conditionalFormatting>
  <conditionalFormatting sqref="F31">
    <cfRule type="containsText" dxfId="153" priority="10" operator="containsText" text="×">
      <formula>NOT(ISERROR(SEARCH("×",F31)))</formula>
    </cfRule>
  </conditionalFormatting>
  <conditionalFormatting sqref="G31:AB31">
    <cfRule type="containsText" dxfId="152" priority="9" operator="containsText" text="要修正">
      <formula>NOT(ISERROR(SEARCH("要修正",G31)))</formula>
    </cfRule>
  </conditionalFormatting>
  <conditionalFormatting sqref="O12:O13">
    <cfRule type="containsText" dxfId="151" priority="3" operator="containsText" text="×">
      <formula>NOT(ISERROR(SEARCH("×",O12)))</formula>
    </cfRule>
    <cfRule type="containsText" dxfId="150" priority="5" operator="containsText" text="×">
      <formula>NOT(ISERROR(SEARCH("×",O12)))</formula>
    </cfRule>
  </conditionalFormatting>
  <conditionalFormatting sqref="P12:W13">
    <cfRule type="containsText" dxfId="149" priority="4" operator="containsText" text="要修正">
      <formula>NOT(ISERROR(SEARCH("要修正",P12)))</formula>
    </cfRule>
  </conditionalFormatting>
  <conditionalFormatting sqref="O39:O50">
    <cfRule type="containsText" dxfId="148" priority="2" operator="containsText" text="×">
      <formula>NOT(ISERROR(SEARCH("×",O39)))</formula>
    </cfRule>
  </conditionalFormatting>
  <conditionalFormatting sqref="P39:AB50">
    <cfRule type="containsText" dxfId="147" priority="1" operator="containsText" text="要修正">
      <formula>NOT(ISERROR(SEARCH("要修正",P39)))</formula>
    </cfRule>
  </conditionalFormatting>
  <dataValidations count="1">
    <dataValidation type="list" allowBlank="1" showInputMessage="1" showErrorMessage="1" sqref="H22:N22">
      <formula1>$AL$18:$AL$19</formula1>
    </dataValidation>
  </dataValidations>
  <pageMargins left="0.7" right="0.7" top="0.75" bottom="0.75" header="0.3" footer="0.3"/>
  <pageSetup paperSize="9" scale="4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7</xdr:col>
                    <xdr:colOff>85725</xdr:colOff>
                    <xdr:row>2</xdr:row>
                    <xdr:rowOff>57150</xdr:rowOff>
                  </from>
                  <to>
                    <xdr:col>7</xdr:col>
                    <xdr:colOff>333375</xdr:colOff>
                    <xdr:row>2</xdr:row>
                    <xdr:rowOff>276225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7</xdr:col>
                    <xdr:colOff>85725</xdr:colOff>
                    <xdr:row>3</xdr:row>
                    <xdr:rowOff>76200</xdr:rowOff>
                  </from>
                  <to>
                    <xdr:col>7</xdr:col>
                    <xdr:colOff>333375</xdr:colOff>
                    <xdr:row>3</xdr:row>
                    <xdr:rowOff>295275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7</xdr:col>
                    <xdr:colOff>85725</xdr:colOff>
                    <xdr:row>4</xdr:row>
                    <xdr:rowOff>66675</xdr:rowOff>
                  </from>
                  <to>
                    <xdr:col>7</xdr:col>
                    <xdr:colOff>428625</xdr:colOff>
                    <xdr:row>4</xdr:row>
                    <xdr:rowOff>314325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7</xdr:col>
                    <xdr:colOff>142875</xdr:colOff>
                    <xdr:row>22</xdr:row>
                    <xdr:rowOff>95250</xdr:rowOff>
                  </from>
                  <to>
                    <xdr:col>8</xdr:col>
                    <xdr:colOff>314325</xdr:colOff>
                    <xdr:row>22</xdr:row>
                    <xdr:rowOff>266700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7</xdr:col>
                    <xdr:colOff>142875</xdr:colOff>
                    <xdr:row>23</xdr:row>
                    <xdr:rowOff>95250</xdr:rowOff>
                  </from>
                  <to>
                    <xdr:col>8</xdr:col>
                    <xdr:colOff>314325</xdr:colOff>
                    <xdr:row>23</xdr:row>
                    <xdr:rowOff>333375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7</xdr:col>
                    <xdr:colOff>142875</xdr:colOff>
                    <xdr:row>24</xdr:row>
                    <xdr:rowOff>95250</xdr:rowOff>
                  </from>
                  <to>
                    <xdr:col>8</xdr:col>
                    <xdr:colOff>314325</xdr:colOff>
                    <xdr:row>24</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リスト!$A$3:$A$67</xm:f>
          </x14:formula1>
          <xm:sqref>L20:M20</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BW50"/>
  <sheetViews>
    <sheetView showGridLines="0" view="pageBreakPreview" zoomScale="40" zoomScaleNormal="100" zoomScaleSheetLayoutView="40" workbookViewId="0">
      <pane xSplit="1" ySplit="15" topLeftCell="B16" activePane="bottomRight" state="frozen"/>
      <selection activeCell="N3" sqref="N3:Q3"/>
      <selection pane="topRight" activeCell="N3" sqref="N3:Q3"/>
      <selection pane="bottomLeft" activeCell="N3" sqref="N3:Q3"/>
      <selection pane="bottomRight" activeCell="Z22" sqref="Z22"/>
    </sheetView>
  </sheetViews>
  <sheetFormatPr defaultColWidth="9" defaultRowHeight="20.100000000000001" customHeight="1"/>
  <cols>
    <col min="1" max="1" width="5.625" style="38" customWidth="1"/>
    <col min="2" max="4" width="11.625" style="38" customWidth="1"/>
    <col min="5" max="5" width="26.5" style="39" customWidth="1"/>
    <col min="6" max="7" width="11.625" style="40" customWidth="1"/>
    <col min="8" max="9" width="12.625" style="40" customWidth="1"/>
    <col min="10" max="10" width="12.625" style="25" customWidth="1"/>
    <col min="11" max="12" width="12.625" style="40" customWidth="1"/>
    <col min="13" max="13" width="2.625" style="40" customWidth="1"/>
    <col min="14" max="15" width="30.625" style="41" customWidth="1"/>
    <col min="16" max="16" width="40.625" style="41" customWidth="1"/>
    <col min="17" max="18" width="30.625" style="41" hidden="1" customWidth="1"/>
    <col min="19" max="22" width="12.625" style="41" hidden="1" customWidth="1"/>
    <col min="23" max="23" width="9" style="200"/>
    <col min="24" max="24" width="10.375" style="41" bestFit="1" customWidth="1"/>
    <col min="25" max="28" width="9" style="41"/>
    <col min="29" max="29" width="3.625" style="49" customWidth="1"/>
    <col min="30" max="30" width="9.75" style="41" bestFit="1" customWidth="1"/>
    <col min="31" max="31" width="85.625" style="201" customWidth="1"/>
    <col min="32" max="35" width="10.625" style="41" customWidth="1"/>
    <col min="36" max="36" width="60.625" style="41" customWidth="1"/>
    <col min="37" max="52" width="9" style="41"/>
    <col min="53" max="53" width="20.625" style="41" customWidth="1"/>
    <col min="54" max="55" width="9" style="41"/>
    <col min="56" max="56" width="35.625" style="41" customWidth="1"/>
    <col min="57" max="16384" width="9" style="41"/>
  </cols>
  <sheetData>
    <row r="1" spans="1:37" ht="9.9499999999999993" customHeight="1"/>
    <row r="2" spans="1:37" ht="30" customHeight="1">
      <c r="B2" s="199" t="s">
        <v>235</v>
      </c>
      <c r="C2" s="36"/>
      <c r="D2" s="36"/>
      <c r="F2" s="772" t="s">
        <v>208</v>
      </c>
      <c r="G2" s="773"/>
      <c r="H2" s="772" t="str">
        <f>表紙!L9&amp;IF(はじめに入力してください!L20="","","※"&amp;はじめに入力してください!AE20)</f>
        <v/>
      </c>
      <c r="I2" s="774"/>
      <c r="J2" s="774"/>
      <c r="K2" s="774"/>
      <c r="L2" s="773"/>
    </row>
    <row r="3" spans="1:37" ht="20.100000000000001" customHeight="1">
      <c r="B3" s="775" t="str">
        <f>人工呼吸器明細!B3</f>
        <v>　まとめて「一式」と記載はせず、見積書、納品書等に記載の設備・付属備品ごとに分けて記載するようにしてください。
　整備する設備の配備先（既設又は新設病床、病床に番号付与した場合いずれの病床に充てるのか左部分「配備先・内容」欄で選択してください。
　配備先の病床の別及び、当該品目が「装置」か「付属備品」の別をプルダウンから選択してください。</v>
      </c>
      <c r="C3" s="755"/>
      <c r="D3" s="755"/>
      <c r="E3" s="755"/>
      <c r="F3" s="755"/>
      <c r="G3" s="755"/>
      <c r="H3" s="755"/>
      <c r="I3" s="755"/>
      <c r="J3" s="755"/>
      <c r="K3" s="755"/>
      <c r="L3" s="755"/>
      <c r="S3" s="55"/>
      <c r="T3" s="55"/>
      <c r="U3" s="55"/>
      <c r="V3" s="55"/>
    </row>
    <row r="4" spans="1:37" ht="20.100000000000001" customHeight="1">
      <c r="B4" s="755"/>
      <c r="C4" s="755"/>
      <c r="D4" s="755"/>
      <c r="E4" s="755"/>
      <c r="F4" s="755"/>
      <c r="G4" s="755"/>
      <c r="H4" s="755"/>
      <c r="I4" s="755"/>
      <c r="J4" s="755"/>
      <c r="K4" s="755"/>
      <c r="L4" s="755"/>
      <c r="S4" s="55"/>
      <c r="T4" s="55"/>
      <c r="U4" s="55"/>
      <c r="V4" s="55"/>
    </row>
    <row r="5" spans="1:37" ht="20.100000000000001" customHeight="1">
      <c r="B5" s="755"/>
      <c r="C5" s="755"/>
      <c r="D5" s="755"/>
      <c r="E5" s="755"/>
      <c r="F5" s="755"/>
      <c r="G5" s="755"/>
      <c r="H5" s="755"/>
      <c r="I5" s="755"/>
      <c r="J5" s="755"/>
      <c r="K5" s="755"/>
      <c r="L5" s="755"/>
      <c r="S5" s="55"/>
      <c r="T5" s="55"/>
      <c r="U5" s="55"/>
      <c r="V5" s="55"/>
      <c r="AD5" s="776" t="s">
        <v>122</v>
      </c>
      <c r="AE5" s="735" t="s">
        <v>121</v>
      </c>
      <c r="AF5" s="736"/>
      <c r="AG5" s="737"/>
    </row>
    <row r="6" spans="1:37" ht="20.100000000000001" customHeight="1">
      <c r="B6" s="755"/>
      <c r="C6" s="755"/>
      <c r="D6" s="755"/>
      <c r="E6" s="755"/>
      <c r="F6" s="755"/>
      <c r="G6" s="755"/>
      <c r="H6" s="755"/>
      <c r="I6" s="755"/>
      <c r="J6" s="755"/>
      <c r="K6" s="755"/>
      <c r="L6" s="755"/>
      <c r="S6" s="55"/>
      <c r="T6" s="55"/>
      <c r="U6" s="55"/>
      <c r="V6" s="55"/>
      <c r="AD6" s="777"/>
      <c r="AE6" s="738"/>
      <c r="AF6" s="739"/>
      <c r="AG6" s="740"/>
    </row>
    <row r="7" spans="1:37" ht="9.9499999999999993" customHeight="1">
      <c r="B7" s="56"/>
      <c r="C7" s="56"/>
      <c r="D7" s="56"/>
      <c r="E7" s="57"/>
      <c r="F7" s="58"/>
      <c r="G7" s="41"/>
      <c r="H7" s="41"/>
      <c r="I7" s="41"/>
      <c r="J7" s="200"/>
      <c r="K7" s="41"/>
      <c r="L7" s="41"/>
      <c r="S7" s="55"/>
      <c r="T7" s="55"/>
      <c r="U7" s="55"/>
      <c r="V7" s="55"/>
      <c r="AD7" s="768" t="str">
        <f xml:space="preserve">
IF(AND(COUNTA(D9)=0,COUNTIF(AD16:AD50,"○")=35),"○",
IF(AND(COUNTA(D9)=0,COUNTIF(AD16:AD50,"×")&gt;=1),"×",
IF(AND(COUNTA(D9)=0,COUNTIF(AD16:AD50,"×")=0,COUNTIF(AD16:AD50,"◎")&gt;=1),"×",
IF(AND(COUNTA(D9)=1,COUNTIF(AD16:AD50,"○")=35),"×",
IF(AND(COUNTA(D9)=1,COUNTIF(AD16:AD50,"×")&gt;=1),"×",
IF(AND(COUNTA(D9)=1,COUNTIF(AD16:AD50,"×")=0,COUNTIF(AD16:AD50,"◎")&gt;=1),"◎"))))))</f>
        <v>○</v>
      </c>
      <c r="AE7" s="741" t="str">
        <f xml:space="preserve">
IF(COUNTA(D9)=0,"【１．配備計画】既存配備の新生児モニタ台数が未入力です。"&amp;CHAR(10)&amp;CHAR(10),
IF(COUNTA(D9)=1,"【１．配備計画】適切に入力がされました。 "&amp;CHAR(10)&amp;CHAR(10)))
&amp;
IF(AD7="◎","【装置情報】適切に入力がされました。",
IF(AD7="○","",
IF(AD7="×","【２．装置情報】【要修正】以下の点につき御確認ください。"&amp;CHAR(10)&amp;AJ16&amp;AJ17&amp;AJ18&amp;AJ19&amp;AJ20&amp;AJ21&amp;AJ22&amp;AJ23&amp;AJ24&amp;AJ25&amp;AJ26&amp;AJ27&amp;AJ28&amp;AJ29&amp;AJ30&amp;AJ31&amp;AJ32&amp;AJ33&amp;AJ34&amp;AJ35&amp;AJ36&amp;AJ37&amp;AJ38&amp;AJ39&amp;AJ40&amp;AJ41&amp;AJ42&amp;AJ43&amp;AJ44&amp;AJ45&amp;AJ46&amp;AJ47&amp;AJ48&amp;AJ49&amp;AJ50
)))</f>
        <v xml:space="preserve">【１．配備計画】既存配備の新生児モニタ台数が未入力です。
</v>
      </c>
      <c r="AF7" s="736"/>
      <c r="AG7" s="737"/>
    </row>
    <row r="8" spans="1:37" ht="20.100000000000001" customHeight="1">
      <c r="B8" s="754" t="s">
        <v>221</v>
      </c>
      <c r="C8" s="755"/>
      <c r="D8" s="755"/>
      <c r="E8" s="755"/>
      <c r="F8" s="755"/>
      <c r="G8" s="755"/>
      <c r="H8" s="755"/>
      <c r="I8" s="755"/>
      <c r="J8" s="755"/>
      <c r="K8" s="755"/>
      <c r="L8" s="755"/>
      <c r="S8" s="55"/>
      <c r="T8" s="55"/>
      <c r="U8" s="55"/>
      <c r="V8" s="55"/>
      <c r="AD8" s="778"/>
      <c r="AE8" s="742"/>
      <c r="AF8" s="743"/>
      <c r="AG8" s="744"/>
    </row>
    <row r="9" spans="1:37" ht="20.100000000000001" customHeight="1">
      <c r="B9" s="748" t="s">
        <v>220</v>
      </c>
      <c r="C9" s="749"/>
      <c r="D9" s="318"/>
      <c r="E9" s="232" t="s">
        <v>209</v>
      </c>
      <c r="F9" s="202">
        <f>はじめに入力してください!K12</f>
        <v>0</v>
      </c>
      <c r="H9" s="709" t="s">
        <v>613</v>
      </c>
      <c r="I9" s="710"/>
      <c r="J9" s="50" t="s">
        <v>614</v>
      </c>
      <c r="K9" s="781" t="s">
        <v>212</v>
      </c>
      <c r="L9" s="782"/>
      <c r="S9" s="55"/>
      <c r="T9" s="55"/>
      <c r="U9" s="55"/>
      <c r="V9" s="55"/>
      <c r="AD9" s="779"/>
      <c r="AE9" s="745"/>
      <c r="AF9" s="743"/>
      <c r="AG9" s="744"/>
      <c r="AJ9" s="203"/>
    </row>
    <row r="10" spans="1:37" ht="20.100000000000001" customHeight="1" thickBot="1">
      <c r="B10" s="750" t="s">
        <v>219</v>
      </c>
      <c r="C10" s="751"/>
      <c r="D10" s="204">
        <f>COUNTIF(D16:D50,"装置")</f>
        <v>0</v>
      </c>
      <c r="E10" s="235" t="s">
        <v>210</v>
      </c>
      <c r="F10" s="207">
        <f>はじめに入力してください!K13</f>
        <v>0</v>
      </c>
      <c r="H10" s="756">
        <f>SUM(I16:I50)</f>
        <v>0</v>
      </c>
      <c r="I10" s="757"/>
      <c r="J10" s="716">
        <v>0</v>
      </c>
      <c r="K10" s="711">
        <f>IFERROR(ROUNDUP(SUM(K16:K50)*(H10-J10)/H10,0),0)</f>
        <v>0</v>
      </c>
      <c r="L10" s="712"/>
      <c r="S10" s="55"/>
      <c r="T10" s="55"/>
      <c r="U10" s="55"/>
      <c r="V10" s="55"/>
      <c r="AD10" s="779"/>
      <c r="AE10" s="745"/>
      <c r="AF10" s="743"/>
      <c r="AG10" s="744"/>
    </row>
    <row r="11" spans="1:37" ht="20.100000000000001" customHeight="1" thickTop="1">
      <c r="B11" s="752" t="s">
        <v>218</v>
      </c>
      <c r="C11" s="753"/>
      <c r="D11" s="205">
        <f>SUM(D9:D10)</f>
        <v>0</v>
      </c>
      <c r="E11" s="236" t="s">
        <v>211</v>
      </c>
      <c r="F11" s="208">
        <f>はじめに入力してください!M13</f>
        <v>0</v>
      </c>
      <c r="H11" s="757"/>
      <c r="I11" s="757"/>
      <c r="J11" s="717"/>
      <c r="K11" s="712"/>
      <c r="L11" s="712"/>
      <c r="S11" s="55"/>
      <c r="T11" s="55"/>
      <c r="U11" s="55"/>
      <c r="V11" s="55"/>
      <c r="AD11" s="779"/>
      <c r="AE11" s="745"/>
      <c r="AF11" s="743"/>
      <c r="AG11" s="744"/>
    </row>
    <row r="12" spans="1:37" ht="9.9499999999999993" customHeight="1">
      <c r="B12" s="56"/>
      <c r="C12" s="56"/>
      <c r="D12" s="56"/>
      <c r="E12" s="57"/>
      <c r="F12" s="58"/>
      <c r="G12" s="41"/>
      <c r="H12" s="41"/>
      <c r="I12" s="41"/>
      <c r="J12" s="200"/>
      <c r="K12" s="41"/>
      <c r="L12" s="41"/>
      <c r="S12" s="55"/>
      <c r="T12" s="55"/>
      <c r="U12" s="55"/>
      <c r="V12" s="55"/>
      <c r="AD12" s="779"/>
      <c r="AE12" s="746"/>
      <c r="AF12" s="743"/>
      <c r="AG12" s="744"/>
    </row>
    <row r="13" spans="1:37" ht="80.099999999999994" customHeight="1">
      <c r="B13" s="758" t="str">
        <f>人工呼吸器明細!B13</f>
        <v>２．装置情報（右端に表示の番号を、見積書あるいは納品書の内訳中、該当の部分に記入し記載の箇所を明示してください。）
　見積書等に記載の内訳は補助対象、対象外にかかわらず全て入力し、右上（実支出予定額）と見積金額とが一致するようにしてください。
　補助対象はコロナ病床施設の整備に限られるため医療用消耗品等は補助対象外です。
　記載いただいた補助対象外経費は「補助対象区分」欄で「対象外」を選択してください。（補助対象金額の算定から自動計算で除外されます。）</v>
      </c>
      <c r="C13" s="759"/>
      <c r="D13" s="759"/>
      <c r="E13" s="759"/>
      <c r="F13" s="759"/>
      <c r="G13" s="759"/>
      <c r="H13" s="759"/>
      <c r="I13" s="759"/>
      <c r="J13" s="759"/>
      <c r="K13" s="759"/>
      <c r="L13" s="759"/>
      <c r="S13" s="55"/>
      <c r="T13" s="55"/>
      <c r="U13" s="55"/>
      <c r="V13" s="55"/>
      <c r="AD13" s="780"/>
      <c r="AE13" s="747"/>
      <c r="AF13" s="739"/>
      <c r="AG13" s="740"/>
    </row>
    <row r="14" spans="1:37" ht="24.95" customHeight="1">
      <c r="B14" s="720" t="s">
        <v>206</v>
      </c>
      <c r="C14" s="721"/>
      <c r="D14" s="722"/>
      <c r="E14" s="720" t="s">
        <v>204</v>
      </c>
      <c r="F14" s="722"/>
      <c r="G14" s="723" t="s">
        <v>207</v>
      </c>
      <c r="H14" s="721"/>
      <c r="I14" s="721"/>
      <c r="J14" s="722"/>
      <c r="K14" s="724" t="s">
        <v>202</v>
      </c>
      <c r="L14" s="724" t="s">
        <v>213</v>
      </c>
      <c r="S14" s="55"/>
      <c r="T14" s="55"/>
      <c r="U14" s="55"/>
      <c r="V14" s="55"/>
    </row>
    <row r="15" spans="1:37" ht="24.95" customHeight="1">
      <c r="B15" s="42" t="s">
        <v>191</v>
      </c>
      <c r="C15" s="42" t="s">
        <v>199</v>
      </c>
      <c r="D15" s="42" t="s">
        <v>200</v>
      </c>
      <c r="E15" s="42" t="s">
        <v>55</v>
      </c>
      <c r="F15" s="42" t="s">
        <v>22</v>
      </c>
      <c r="G15" s="42" t="s">
        <v>71</v>
      </c>
      <c r="H15" s="42" t="s">
        <v>72</v>
      </c>
      <c r="I15" s="42" t="s">
        <v>73</v>
      </c>
      <c r="J15" s="42" t="s">
        <v>201</v>
      </c>
      <c r="K15" s="725"/>
      <c r="L15" s="725"/>
      <c r="W15" s="379"/>
      <c r="AD15" s="62" t="s">
        <v>64</v>
      </c>
      <c r="AE15" s="206" t="s">
        <v>74</v>
      </c>
      <c r="AF15" s="63" t="s">
        <v>203</v>
      </c>
      <c r="AG15" s="234" t="s">
        <v>205</v>
      </c>
      <c r="AH15" s="234" t="s">
        <v>91</v>
      </c>
      <c r="AI15" s="231" t="s">
        <v>635</v>
      </c>
      <c r="AJ15" s="52" t="s">
        <v>121</v>
      </c>
      <c r="AK15" s="52" t="str">
        <f>AJ16&amp;AJ17&amp;AJ18&amp;AJ19&amp;AJ20&amp;AJ21&amp;AJ22&amp;AJ23&amp;AJ24&amp;AJ25&amp;AJ26&amp;AJ27&amp;AJ28&amp;AJ29&amp;AJ30&amp;AJ31&amp;AJ32&amp;AJ33&amp;AJ34&amp;AJ35&amp;AJ36&amp;AJ37&amp;AJ38&amp;AJ39&amp;AJ40&amp;AJ41&amp;AJ42&amp;AJ43&amp;AJ44&amp;AJ45&amp;AJ46&amp;AJ47&amp;AJ48&amp;AJ49&amp;AJ50</f>
        <v/>
      </c>
    </row>
    <row r="16" spans="1:37" ht="24.95" customHeight="1">
      <c r="A16" s="38">
        <v>1</v>
      </c>
      <c r="B16" s="313"/>
      <c r="C16" s="313"/>
      <c r="D16" s="313"/>
      <c r="E16" s="314"/>
      <c r="F16" s="315"/>
      <c r="G16" s="316"/>
      <c r="H16" s="316"/>
      <c r="I16" s="45">
        <f>IF(G16="",H16*F16,ROUNDDOWN(F16*G16*1.1,0))</f>
        <v>0</v>
      </c>
      <c r="J16" s="317"/>
      <c r="K16" s="45">
        <f>IF(J16="補助対象",I16,IF(J16="補助対象外",0,0))</f>
        <v>0</v>
      </c>
      <c r="L16" s="44" t="str">
        <f>IF(AD16="◎",COUNTIF($AD$16:AD16,"◎"),"")</f>
        <v/>
      </c>
      <c r="W16" s="234" t="str">
        <f>IF(B16="既設病床",はじめに入力してください!$K$12,IF(B16="新設病床",はじめに入力してください!$K$13,IF(B16="共通使用",1,"")))</f>
        <v/>
      </c>
      <c r="AC16" s="49" t="s">
        <v>69</v>
      </c>
      <c r="AD16" s="231" t="str">
        <f xml:space="preserve">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f>
        <v>○</v>
      </c>
      <c r="AE16" s="35" t="str">
        <f xml:space="preserve">
IF(AND(AF16="○",AG16="○",AH16="○",AI16="○"),"申請しない場合は入力不要です。",
IF(AND(AF16="○",AG16="○",AH16="○",AI16="◎"),"【要修正】【整備先・内容】未入力、【規格・数量】未入力、【単価】未入力"&amp;CHAR(10),
IF(AND(AF16="○",AG16="○",AH16="×",AI16="○"),"【要修正】【整備先・内容】未入力、【規格・数量】未入力、【単価】入力不十分、【補助対象区分】未入力"&amp;CHAR(10),
IF(AND(AF16="○",AG16="○",AH16="×",AI16="◎"),"【要修正】【整備先・内容】未入力、【規格・数量】未入力、【単価】入力不十分"&amp;CHAR(10),
IF(AND(AF16="○",AG16="○",AH16="◎",AI16="○"),"【要修正】【整備先・内容】未入力、【規格・数量】未入力、【補助対象区分】未入力"&amp;CHAR(10),
IF(AND(AF16="○",AG16="○",AH16="◎",AI16="◎"),"【要修正】【整備先・内容】未入力、【規格・数量】未入力"&amp;CHAR(10),
IF(AND(AF16="○",AG16="×",AH16="○",AI16="○"),"【要修正】【整備先・内容】未入力、【規格・数量】入力不十分、【単価】未入力、【補助対象区分】未入力"&amp;CHAR(10),
IF(AND(AF16="○",AG16="×",AH16="○",AI16="◎"),"【要修正】【整備先・内容】未入力、【規格・数量】入力不十分、【単価】未入力"&amp;CHAR(10),
IF(AND(AF16="○",AG16="×",AH16="×",AI16="○"),"【要修正】【整備先・内容】未入力、【規格・数量】入力不十分、【単価】入力不十分、【補助対象区分】未入力"&amp;CHAR(10),
IF(AND(AF16="○",AG16="×",AH16="×",AI16="◎"),"【要修正】【整備先・内容】未入力、【規格・数量】入力不十分、【単価】入力不十分"&amp;CHAR(10),
IF(AND(AF16="○",AG16="×",AH16="◎",AI16="○"),"【要修正】【整備先・内容】未入力、【規格・数量】入力不十分、【補助対象区分】未入力"&amp;CHAR(10),
IF(AND(AF16="○",AG16="×",AH16="◎",AI16="◎"),"【要修正】【整備先・内容】未入力、【規格・数量】入力不十分"&amp;CHAR(10),
IF(AND(AF16="○",AG16="◎",AH16="○",AI16="○"),"【要修正】【整備先・内容】未入力、【単価】未入力、【補助対象区分】未入力"&amp;CHAR(10),
IF(AND(AF16="○",AG16="◎",AH16="○",AI16="◎"),"【要修正】【整備先・内容】未入力、【単価】未入力"&amp;CHAR(10),
IF(AND(AF16="○",AG16="◎",AH16="×",AI16="○"),"【要修正】【整備先・内容】未入力、【単価】入力不十分、【補助対象区分】未入力"&amp;CHAR(10),
IF(AND(AF16="○",AG16="◎",AH16="×",AI16="◎"),"【要修正】【整備先・内容】未入力、【単価】入力不十分"&amp;CHAR(10),
IF(AND(AF16="○",AG16="◎",AH16="◎",AI16="○"),"【要修正】【整備先・内容】未入力、【補助対象区分】未入力"&amp;CHAR(10),
IF(AND(AF16="○",AG16="◎",AH16="◎",AI16="◎"),"【要修正】【整備先・内容】未入力"&amp;CHAR(10),
IF(AND(AF16="×",AG16="○",AH16="○",AI16="○"),"【要修正】【整備先・内容】入力不十分、【規格・数量】未入力、【単価】未入力、【補助対象区分】未入力"&amp;CHAR(10),
IF(AND(AF16="×",AG16="○",AH16="○",AI16="◎"),"【要修正】【整備先・内容】入力不十分、【規格・数量】未入力、【単価】未入力"&amp;CHAR(10),
IF(AND(AF16="×",AG16="○",AH16="×",AI16="○"),"【要修正】【整備先・内容】入力不十分、【規格・数量】未入力、【単価】入力不十分、【補助対象区分】未入力"&amp;CHAR(10),
IF(AND(AF16="×",AG16="○",AH16="×",AI16="◎"),"【要修正】【整備先・内容】入力不十分、【規格・数量】未入力、【単価】入力不十分"&amp;CHAR(10),
IF(AND(AF16="×",AG16="○",AH16="◎",AI16="○"),"【要修正】【整備先・内容】入力不十分、【規格・数量】未入力、【補助対象区分】未入力"&amp;CHAR(10),
IF(AND(AF16="×",AG16="○",AH16="◎",AI16="◎"),"【要修正】【整備先・内容】入力不十分、【規格・数量】未入力"&amp;CHAR(10),
IF(AND(AF16="×",AG16="×",AH16="○",AI16="○"),"【要修正】【整備先・内容】入力不十分、【規格・数量】入力不十分、【単価】未入力、【補助対象区分】未入力"&amp;CHAR(10),
IF(AND(AF16="×",AG16="×",AH16="○",AI16="◎"),"【要修正】【整備先・内容】入力不十分、【規格・数量】入力不十分、【単価】未入力"&amp;CHAR(10),
IF(AND(AF16="×",AG16="×",AH16="×",AI16="○"),"【要修正】【整備先・内容】入力不十分、【規格・数量】入力不十分、【単価】入力不十分、【補助対象区分】未入力"&amp;CHAR(10),
IF(AND(AF16="×",AG16="×",AH16="×",AI16="◎"),"【要修正】【整備先・内容】入力不十分、【規格・数量】入力不十分、【単価】入力不十分"&amp;CHAR(10),
IF(AND(AF16="×",AG16="×",AH16="◎",AI16="○"),"【要修正】【整備先・内容】入力不十分、【規格・数量】入力不十分、【補助対象区分】未入力"&amp;CHAR(10),
IF(AND(AF16="×",AG16="×",AH16="◎",AI16="◎"),"【要修正】【整備先・内容】入力不十分、【規格・数量】入力不十分"&amp;CHAR(10),
IF(AND(AF16="×",AG16="◎",AH16="○",AI16="○"),"【要修正】【整備先・内容】入力不十分、【単価】未入力、【補助対象区分】未入力"&amp;CHAR(10),
IF(AND(AF16="×",AG16="◎",AH16="○",AI16="◎"),"【要修正】【整備先・内容】入力不十分、【単価】未入力"&amp;CHAR(10),
IF(AND(AF16="×",AG16="◎",AH16="×",AI16="○"),"【要修正】【整備先・内容】入力不十分、【単価】入力不十分、【補助対象区分】未入力"&amp;CHAR(10),
IF(AND(AF16="×",AG16="◎",AH16="×",AI16="◎"),"【要修正】【整備先・内容】入力不十分、【単価】入力不十分"&amp;CHAR(10),
IF(AND(AF16="×",AG16="◎",AH16="◎",AI16="○"),"【要修正】【整備先・内容】入力不十分、【補助対象区分】未入力"&amp;CHAR(10),
IF(AND(AF16="×",AG16="◎",AH16="◎",AI16="◎"),"【要修正】【整備先・内容】入力不十分"&amp;CHAR(10),
IF(AND(AF16="◎",AG16="○",AH16="○",AI16="○"),"【要修正】【規格・数量】未入力、【単価】未入力、【補助対象区分】未入力"&amp;CHAR(10),
IF(AND(AF16="◎",AG16="○",AH16="○",AI16="◎"),"【要修正】【規格・数量】未入力、【単価】未入力"&amp;CHAR(10),
IF(AND(AF16="◎",AG16="○",AH16="×",AI16="○"),"【要修正】【規格・数量】未入力、【単価】入力不十分、【補助対象区分】未入力"&amp;CHAR(10),
IF(AND(AF16="◎",AG16="○",AH16="×",AI16="◎"),"【要修正】【規格・数量】未入力、【単価】入力不十分"&amp;CHAR(10),
IF(AND(AF16="◎",AG16="○",AH16="◎",AI16="○"),"【要修正】【規格・数量】未入力、【補助対象区分】未入力"&amp;CHAR(10),
IF(AND(AF16="◎",AG16="○",AH16="◎",AI16="◎"),"【要修正】【規格・数量】未入力"&amp;CHAR(10),
IF(AND(AF16="◎",AG16="×",AH16="○",AI16="○"),"【要修正】【規格・数量】入力不十分、【単価】未入力、【補助対象区分】未入力"&amp;CHAR(10),
IF(AND(AF16="◎",AG16="×",AH16="○",AI16="◎"),"【要修正】【規格・数量】入力不十分、【単価】未入力"&amp;CHAR(10),
IF(AND(AF16="◎",AG16="×",AH16="×",AI16="○"),"【要修正】【規格・数量】入力不十分、【単価】入力不十分、【補助対象区分】未入力"&amp;CHAR(10),
IF(AND(AF16="◎",AG16="×",AH16="×",AI16="◎"),"【要修正】【規格・数量】入力不十分、【単価】入力不十分"&amp;CHAR(10),
IF(AND(AF16="◎",AG16="×",AH16="◎",AI16="○"),"【要修正】【規格・数量】入力不十分、【補助対象区分】未入力"&amp;CHAR(10),
IF(AND(AF16="◎",AG16="×",AH16="◎",AI16="◎"),"【要修正】【規格・数量】入力不十分"&amp;CHAR(10),
IF(AND(AF16="◎",AG16="◎",AH16="○",AI16="○"),"【要修正】【単価】未入力、【補助対象区分】未入力"&amp;CHAR(10),
IF(AND(AF16="◎",AG16="◎",AH16="○",AI16="◎"),"【要修正】【単価】未入力"&amp;CHAR(10),
IF(AND(AF16="◎",AG16="◎",AH16="×",AI16="○"),"【要修正】【単価】入力不十分、【補助対象区分】未入力"&amp;CHAR(10),
IF(AND(AF16="◎",AG16="◎",AH16="×",AI16="◎"),"【要修正】【単価】入力不十分"&amp;CHAR(10),
IF(AND(AF16="◎",AG16="◎",AH16="◎",AI16="○"),"【要修正】【補助対象区分】未入力"&amp;CHAR(10),
IF(AND(AF16="◎",AG16="◎",AH16="◎",AI16="◎"),"適切に入力がされました。",
))))))))))))))))))))))))))))))))))))))))))))))))))))))</f>
        <v>申請しない場合は入力不要です。</v>
      </c>
      <c r="AF16" s="234" t="str">
        <f>IF(COUNTA(B16:D16)=0,"○",IF(AND(COUNTA(B16:D16)&gt;=1,COUNTA(B16:D16)&lt;3),"×",IF(COUNTA(B16:D16)=3,"◎")))</f>
        <v>○</v>
      </c>
      <c r="AG16" s="234" t="str">
        <f>IF(COUNTA(E16,F16,J16)=0,"○",IF(AND(COUNTA(E16,F16,J16)&gt;=1,COUNTA(E16,F16,J16)&lt;3),"×",IF(COUNTA(E16,F16,J16)=3,"◎")))</f>
        <v>○</v>
      </c>
      <c r="AH16" s="234" t="str">
        <f>IF(COUNTA(G16:H16)=0,"○",IF(COUNTA(G16:H16)=1,"◎",IF(COUNTA(G16:H16)=2,"×")))</f>
        <v>○</v>
      </c>
      <c r="AI16" s="231" t="str">
        <f>IF(COUNTA(J16)=0,"○",IF(COUNTA(J16)=1,"◎"))</f>
        <v>○</v>
      </c>
      <c r="AJ16" s="14" t="str">
        <f xml:space="preserve">
IF(AND(AF16="○",AG16="○",AH16="○",AI16="○"),"",
IF(AND(AF16="○",AG16="○",AH16="○",AI16="◎"),"【"&amp;AK16&amp;"行目】【整備先・内容】未入力、【規格・数量】未入力、【単価】未入力"&amp;CHAR(10),
IF(AND(AF16="○",AG16="○",AH16="×",AI16="○"),"【"&amp;AK16&amp;"行目】【整備先・内容】未入力、【規格・数量】未入力、【単価】入力不十分、【補助対象区分】未入力"&amp;CHAR(10),
IF(AND(AF16="○",AG16="○",AH16="×",AI16="◎"),"【"&amp;AK16&amp;"行目】【整備先・内容】未入力、【規格・数量】未入力、【単価】入力不十分"&amp;CHAR(10),
IF(AND(AF16="○",AG16="○",AH16="◎",AI16="○"),"【"&amp;AK16&amp;"行目】【整備先・内容】未入力、【規格・数量】未入力、【補助対象区分】未入力"&amp;CHAR(10),
IF(AND(AF16="○",AG16="○",AH16="◎",AI16="◎"),"【"&amp;AK16&amp;"行目】【整備先・内容】未入力、【規格・数量】未入力"&amp;CHAR(10),
IF(AND(AF16="○",AG16="×",AH16="○",AI16="○"),"【"&amp;AK16&amp;"行目】【整備先・内容】未入力、【規格・数量】入力不十分、【単価】未入力、【補助対象区分】未入力"&amp;CHAR(10),
IF(AND(AF16="○",AG16="×",AH16="○",AI16="◎"),"【"&amp;AK16&amp;"行目】【整備先・内容】未入力、【規格・数量】入力不十分、【単価】未入力"&amp;CHAR(10),
IF(AND(AF16="○",AG16="×",AH16="×",AI16="○"),"【"&amp;AK16&amp;"行目】【整備先・内容】未入力、【規格・数量】入力不十分、【単価】入力不十分、【補助対象区分】未入力"&amp;CHAR(10),
IF(AND(AF16="○",AG16="×",AH16="×",AI16="◎"),"【"&amp;AK16&amp;"行目】【整備先・内容】未入力、【規格・数量】入力不十分、【単価】入力不十分"&amp;CHAR(10),
IF(AND(AF16="○",AG16="×",AH16="◎",AI16="○"),"【"&amp;AK16&amp;"行目】【整備先・内容】未入力、【規格・数量】入力不十分、【補助対象区分】未入力"&amp;CHAR(10),
IF(AND(AF16="○",AG16="×",AH16="◎",AI16="◎"),"【"&amp;AK16&amp;"行目】【整備先・内容】未入力、【規格・数量】入力不十分"&amp;CHAR(10),
IF(AND(AF16="○",AG16="◎",AH16="○",AI16="○"),"【"&amp;AK16&amp;"行目】【整備先・内容】未入力、【単価】未入力、【補助対象区分】未入力"&amp;CHAR(10),
IF(AND(AF16="○",AG16="◎",AH16="○",AI16="◎"),"【"&amp;AK16&amp;"行目】【整備先・内容】未入力、【単価】未入力"&amp;CHAR(10),
IF(AND(AF16="○",AG16="◎",AH16="×",AI16="○"),"【"&amp;AK16&amp;"行目】【整備先・内容】未入力、【単価】入力不十分、【補助対象区分】未入力"&amp;CHAR(10),
IF(AND(AF16="○",AG16="◎",AH16="×",AI16="◎"),"【"&amp;AK16&amp;"行目】【整備先・内容】未入力、【単価】入力不十分"&amp;CHAR(10),
IF(AND(AF16="○",AG16="◎",AH16="◎",AI16="○"),"【"&amp;AK16&amp;"行目】【整備先・内容】未入力、【補助対象区分】未入力"&amp;CHAR(10),
IF(AND(AF16="○",AG16="◎",AH16="◎",AI16="◎"),"【"&amp;AK16&amp;"行目】【整備先・内容】未入力"&amp;CHAR(10),
IF(AND(AF16="×",AG16="○",AH16="○",AI16="○"),"【"&amp;AK16&amp;"行目】【整備先・内容】入力不十分、【規格・数量】未入力、【単価】未入力、【補助対象区分】未入力"&amp;CHAR(10),
IF(AND(AF16="×",AG16="○",AH16="○",AI16="◎"),"【"&amp;AK16&amp;"行目】【整備先・内容】入力不十分、【規格・数量】未入力、【単価】未入力"&amp;CHAR(10),
IF(AND(AF16="×",AG16="○",AH16="×",AI16="○"),"【"&amp;AK16&amp;"行目】【整備先・内容】入力不十分、【規格・数量】未入力、【単価】入力不十分、【補助対象区分】未入力"&amp;CHAR(10),
IF(AND(AF16="×",AG16="○",AH16="×",AI16="◎"),"【"&amp;AK16&amp;"行目】【整備先・内容】入力不十分、【規格・数量】未入力、【単価】入力不十分"&amp;CHAR(10),
IF(AND(AF16="×",AG16="○",AH16="◎",AI16="○"),"【"&amp;AK16&amp;"行目】【整備先・内容】入力不十分、【規格・数量】未入力、【補助対象区分】未入力"&amp;CHAR(10),
IF(AND(AF16="×",AG16="○",AH16="◎",AI16="◎"),"【"&amp;AK16&amp;"行目】【整備先・内容】入力不十分、【規格・数量】未入力"&amp;CHAR(10),
IF(AND(AF16="×",AG16="×",AH16="○",AI16="○"),"【"&amp;AK16&amp;"行目】【整備先・内容】入力不十分、【規格・数量】入力不十分、【単価】未入力、【補助対象区分】未入力"&amp;CHAR(10),
IF(AND(AF16="×",AG16="×",AH16="○",AI16="◎"),"【"&amp;AK16&amp;"行目】【整備先・内容】入力不十分、【規格・数量】入力不十分、【単価】未入力"&amp;CHAR(10),
IF(AND(AF16="×",AG16="×",AH16="×",AI16="○"),"【"&amp;AK16&amp;"行目】【整備先・内容】入力不十分、【規格・数量】入力不十分、【単価】入力不十分、【補助対象区分】未入力"&amp;CHAR(10),
IF(AND(AF16="×",AG16="×",AH16="×",AI16="◎"),"【"&amp;AK16&amp;"行目】【整備先・内容】入力不十分、【規格・数量】入力不十分、【単価】入力不十分"&amp;CHAR(10),
IF(AND(AF16="×",AG16="×",AH16="◎",AI16="○"),"【"&amp;AK16&amp;"行目】【整備先・内容】入力不十分、【規格・数量】入力不十分、【補助対象区分】未入力"&amp;CHAR(10),
IF(AND(AF16="×",AG16="×",AH16="◎",AI16="◎"),"【"&amp;AK16&amp;"行目】【整備先・内容】入力不十分、【規格・数量】入力不十分"&amp;CHAR(10),
IF(AND(AF16="×",AG16="◎",AH16="○",AI16="○"),"【"&amp;AK16&amp;"行目】【整備先・内容】入力不十分、【単価】未入力、【補助対象区分】未入力"&amp;CHAR(10),
IF(AND(AF16="×",AG16="◎",AH16="○",AI16="◎"),"【"&amp;AK16&amp;"行目】【整備先・内容】入力不十分、【単価】未入力"&amp;CHAR(10),
IF(AND(AF16="×",AG16="◎",AH16="×",AI16="○"),"【"&amp;AK16&amp;"行目】【整備先・内容】入力不十分、【単価】入力不十分、【補助対象区分】未入力"&amp;CHAR(10),
IF(AND(AF16="×",AG16="◎",AH16="×",AI16="◎"),"【"&amp;AK16&amp;"行目】【整備先・内容】入力不十分、【単価】入力不十分"&amp;CHAR(10),
IF(AND(AF16="×",AG16="◎",AH16="◎",AI16="○"),"【"&amp;AK16&amp;"行目】【整備先・内容】入力不十分、【補助対象区分】未入力"&amp;CHAR(10),
IF(AND(AF16="×",AG16="◎",AH16="◎",AI16="◎"),"【"&amp;AK16&amp;"行目】【整備先・内容】入力不十分"&amp;CHAR(10),
IF(AND(AF16="◎",AG16="○",AH16="○",AI16="○"),"【"&amp;AK16&amp;"行目】【規格・数量】未入力、【単価】未入力、【補助対象区分】未入力"&amp;CHAR(10),
IF(AND(AF16="◎",AG16="○",AH16="○",AI16="◎"),"【"&amp;AK16&amp;"行目】【規格・数量】未入力、【単価】未入力"&amp;CHAR(10),
IF(AND(AF16="◎",AG16="○",AH16="×",AI16="○"),"【"&amp;AK16&amp;"行目】【規格・数量】未入力、【単価】入力不十分、【補助対象区分】未入力"&amp;CHAR(10),
IF(AND(AF16="◎",AG16="○",AH16="×",AI16="◎"),"【"&amp;AK16&amp;"行目】【規格・数量】未入力、【単価】入力不十分"&amp;CHAR(10),
IF(AND(AF16="◎",AG16="○",AH16="◎",AI16="○"),"【"&amp;AK16&amp;"行目】【規格・数量】未入力、【補助対象区分】未入力"&amp;CHAR(10),
IF(AND(AF16="◎",AG16="○",AH16="◎",AI16="◎"),"【"&amp;AK16&amp;"行目】【規格・数量】未入力"&amp;CHAR(10),
IF(AND(AF16="◎",AG16="×",AH16="○",AI16="○"),"【"&amp;AK16&amp;"行目】【規格・数量】入力不十分、【単価】未入力、【補助対象区分】未入力"&amp;CHAR(10),
IF(AND(AF16="◎",AG16="×",AH16="○",AI16="◎"),"【"&amp;AK16&amp;"行目】【規格・数量】入力不十分、【単価】未入力"&amp;CHAR(10),
IF(AND(AF16="◎",AG16="×",AH16="×",AI16="○"),"【"&amp;AK16&amp;"行目】【規格・数量】入力不十分、【単価】入力不十分、【補助対象区分】未入力"&amp;CHAR(10),
IF(AND(AF16="◎",AG16="×",AH16="×",AI16="◎"),"【"&amp;AK16&amp;"行目】【規格・数量】入力不十分、【単価】入力不十分"&amp;CHAR(10),
IF(AND(AF16="◎",AG16="×",AH16="◎",AI16="○"),"【"&amp;AK16&amp;"行目】【規格・数量】入力不十分、【補助対象区分】未入力"&amp;CHAR(10),
IF(AND(AF16="◎",AG16="×",AH16="◎",AI16="◎"),"【"&amp;AK16&amp;"行目】【規格・数量】入力不十分"&amp;CHAR(10),
IF(AND(AF16="◎",AG16="◎",AH16="○",AI16="○"),"【"&amp;AK16&amp;"行目】【単価】未入力、【補助対象区分】未入力"&amp;CHAR(10),
IF(AND(AF16="◎",AG16="◎",AH16="○",AI16="◎"),"【"&amp;AK16&amp;"行目】【単価】未入力"&amp;CHAR(10),
IF(AND(AF16="◎",AG16="◎",AH16="×",AI16="○"),"【"&amp;AK16&amp;"行目】【単価】入力不十分、【補助対象区分】未入力"&amp;CHAR(10),
IF(AND(AF16="◎",AG16="◎",AH16="×",AI16="◎"),"【"&amp;AK16&amp;"行目】【単価】入力不十分"&amp;CHAR(10),
IF(AND(AF16="◎",AG16="◎",AH16="◎",AI16="○"),"【"&amp;AK16&amp;"行目】【補助対象区分】未入力"&amp;CHAR(10),
IF(AND(AF16="◎",AG16="◎",AH16="◎",AI16="◎"),"",
))))))))))))))))))))))))))))))))))))))))))))))))))))))</f>
        <v/>
      </c>
      <c r="AK16" s="52">
        <v>1</v>
      </c>
    </row>
    <row r="17" spans="1:75" ht="24.95" customHeight="1">
      <c r="A17" s="38">
        <v>2</v>
      </c>
      <c r="B17" s="313"/>
      <c r="C17" s="313"/>
      <c r="D17" s="313"/>
      <c r="E17" s="314"/>
      <c r="F17" s="315"/>
      <c r="G17" s="316"/>
      <c r="H17" s="316"/>
      <c r="I17" s="45">
        <f t="shared" ref="I17:I50" si="0">IF(G17="",H17*F17,ROUNDDOWN(F17*G17*1.1,0))</f>
        <v>0</v>
      </c>
      <c r="J17" s="317"/>
      <c r="K17" s="45">
        <f t="shared" ref="K17:K50" si="1">IF(J17="補助対象",I17,IF(J17="補助対象外",0,0))</f>
        <v>0</v>
      </c>
      <c r="L17" s="44" t="str">
        <f>IF(AD17="◎",COUNTIF($AD$16:AD17,"◎"),"")</f>
        <v/>
      </c>
      <c r="W17" s="234" t="str">
        <f>IF(B17="既設病床",はじめに入力してください!$K$12,IF(B17="新設病床",はじめに入力してください!$K$13,IF(B17="共通使用",1,"")))</f>
        <v/>
      </c>
      <c r="X17" s="41" t="e">
        <f ca="1">OFFSET(#REF!,
0,
MATCH(B17,#REF!,0),
COUNTA(OFFSET(#REF!,0,MATCH(B17,#REF!,0), 150,1)),1)</f>
        <v>#REF!</v>
      </c>
      <c r="AC17" s="49" t="s">
        <v>69</v>
      </c>
      <c r="AD17" s="231" t="str">
        <f t="shared" ref="AD17:AD50" si="2" xml:space="preserve">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IF(AND(AF17="◎",AG17="◎",AH17="◎",AI17="◎"),"◎",
))))))))))))))))))))))))))))))))))))))))))))))))))))))</f>
        <v>○</v>
      </c>
      <c r="AE17" s="35" t="str">
        <f t="shared" ref="AE17:AE50" si="3" xml:space="preserve">
IF(AND(AF17="○",AG17="○",AH17="○",AI17="○"),"申請しない場合は入力不要です。",
IF(AND(AF17="○",AG17="○",AH17="○",AI17="◎"),"【要修正】【整備先・内容】未入力、【規格・数量】未入力、【単価】未入力"&amp;CHAR(10),
IF(AND(AF17="○",AG17="○",AH17="×",AI17="○"),"【要修正】【整備先・内容】未入力、【規格・数量】未入力、【単価】入力不十分、【補助対象区分】未入力"&amp;CHAR(10),
IF(AND(AF17="○",AG17="○",AH17="×",AI17="◎"),"【要修正】【整備先・内容】未入力、【規格・数量】未入力、【単価】入力不十分"&amp;CHAR(10),
IF(AND(AF17="○",AG17="○",AH17="◎",AI17="○"),"【要修正】【整備先・内容】未入力、【規格・数量】未入力、【補助対象区分】未入力"&amp;CHAR(10),
IF(AND(AF17="○",AG17="○",AH17="◎",AI17="◎"),"【要修正】【整備先・内容】未入力、【規格・数量】未入力"&amp;CHAR(10),
IF(AND(AF17="○",AG17="×",AH17="○",AI17="○"),"【要修正】【整備先・内容】未入力、【規格・数量】入力不十分、【単価】未入力、【補助対象区分】未入力"&amp;CHAR(10),
IF(AND(AF17="○",AG17="×",AH17="○",AI17="◎"),"【要修正】【整備先・内容】未入力、【規格・数量】入力不十分、【単価】未入力"&amp;CHAR(10),
IF(AND(AF17="○",AG17="×",AH17="×",AI17="○"),"【要修正】【整備先・内容】未入力、【規格・数量】入力不十分、【単価】入力不十分、【補助対象区分】未入力"&amp;CHAR(10),
IF(AND(AF17="○",AG17="×",AH17="×",AI17="◎"),"【要修正】【整備先・内容】未入力、【規格・数量】入力不十分、【単価】入力不十分"&amp;CHAR(10),
IF(AND(AF17="○",AG17="×",AH17="◎",AI17="○"),"【要修正】【整備先・内容】未入力、【規格・数量】入力不十分、【補助対象区分】未入力"&amp;CHAR(10),
IF(AND(AF17="○",AG17="×",AH17="◎",AI17="◎"),"【要修正】【整備先・内容】未入力、【規格・数量】入力不十分"&amp;CHAR(10),
IF(AND(AF17="○",AG17="◎",AH17="○",AI17="○"),"【要修正】【整備先・内容】未入力、【単価】未入力、【補助対象区分】未入力"&amp;CHAR(10),
IF(AND(AF17="○",AG17="◎",AH17="○",AI17="◎"),"【要修正】【整備先・内容】未入力、【単価】未入力"&amp;CHAR(10),
IF(AND(AF17="○",AG17="◎",AH17="×",AI17="○"),"【要修正】【整備先・内容】未入力、【単価】入力不十分、【補助対象区分】未入力"&amp;CHAR(10),
IF(AND(AF17="○",AG17="◎",AH17="×",AI17="◎"),"【要修正】【整備先・内容】未入力、【単価】入力不十分"&amp;CHAR(10),
IF(AND(AF17="○",AG17="◎",AH17="◎",AI17="○"),"【要修正】【整備先・内容】未入力、【補助対象区分】未入力"&amp;CHAR(10),
IF(AND(AF17="○",AG17="◎",AH17="◎",AI17="◎"),"【要修正】【整備先・内容】未入力"&amp;CHAR(10),
IF(AND(AF17="×",AG17="○",AH17="○",AI17="○"),"【要修正】【整備先・内容】入力不十分、【規格・数量】未入力、【単価】未入力、【補助対象区分】未入力"&amp;CHAR(10),
IF(AND(AF17="×",AG17="○",AH17="○",AI17="◎"),"【要修正】【整備先・内容】入力不十分、【規格・数量】未入力、【単価】未入力"&amp;CHAR(10),
IF(AND(AF17="×",AG17="○",AH17="×",AI17="○"),"【要修正】【整備先・内容】入力不十分、【規格・数量】未入力、【単価】入力不十分、【補助対象区分】未入力"&amp;CHAR(10),
IF(AND(AF17="×",AG17="○",AH17="×",AI17="◎"),"【要修正】【整備先・内容】入力不十分、【規格・数量】未入力、【単価】入力不十分"&amp;CHAR(10),
IF(AND(AF17="×",AG17="○",AH17="◎",AI17="○"),"【要修正】【整備先・内容】入力不十分、【規格・数量】未入力、【補助対象区分】未入力"&amp;CHAR(10),
IF(AND(AF17="×",AG17="○",AH17="◎",AI17="◎"),"【要修正】【整備先・内容】入力不十分、【規格・数量】未入力"&amp;CHAR(10),
IF(AND(AF17="×",AG17="×",AH17="○",AI17="○"),"【要修正】【整備先・内容】入力不十分、【規格・数量】入力不十分、【単価】未入力、【補助対象区分】未入力"&amp;CHAR(10),
IF(AND(AF17="×",AG17="×",AH17="○",AI17="◎"),"【要修正】【整備先・内容】入力不十分、【規格・数量】入力不十分、【単価】未入力"&amp;CHAR(10),
IF(AND(AF17="×",AG17="×",AH17="×",AI17="○"),"【要修正】【整備先・内容】入力不十分、【規格・数量】入力不十分、【単価】入力不十分、【補助対象区分】未入力"&amp;CHAR(10),
IF(AND(AF17="×",AG17="×",AH17="×",AI17="◎"),"【要修正】【整備先・内容】入力不十分、【規格・数量】入力不十分、【単価】入力不十分"&amp;CHAR(10),
IF(AND(AF17="×",AG17="×",AH17="◎",AI17="○"),"【要修正】【整備先・内容】入力不十分、【規格・数量】入力不十分、【補助対象区分】未入力"&amp;CHAR(10),
IF(AND(AF17="×",AG17="×",AH17="◎",AI17="◎"),"【要修正】【整備先・内容】入力不十分、【規格・数量】入力不十分"&amp;CHAR(10),
IF(AND(AF17="×",AG17="◎",AH17="○",AI17="○"),"【要修正】【整備先・内容】入力不十分、【単価】未入力、【補助対象区分】未入力"&amp;CHAR(10),
IF(AND(AF17="×",AG17="◎",AH17="○",AI17="◎"),"【要修正】【整備先・内容】入力不十分、【単価】未入力"&amp;CHAR(10),
IF(AND(AF17="×",AG17="◎",AH17="×",AI17="○"),"【要修正】【整備先・内容】入力不十分、【単価】入力不十分、【補助対象区分】未入力"&amp;CHAR(10),
IF(AND(AF17="×",AG17="◎",AH17="×",AI17="◎"),"【要修正】【整備先・内容】入力不十分、【単価】入力不十分"&amp;CHAR(10),
IF(AND(AF17="×",AG17="◎",AH17="◎",AI17="○"),"【要修正】【整備先・内容】入力不十分、【補助対象区分】未入力"&amp;CHAR(10),
IF(AND(AF17="×",AG17="◎",AH17="◎",AI17="◎"),"【要修正】【整備先・内容】入力不十分"&amp;CHAR(10),
IF(AND(AF17="◎",AG17="○",AH17="○",AI17="○"),"【要修正】【規格・数量】未入力、【単価】未入力、【補助対象区分】未入力"&amp;CHAR(10),
IF(AND(AF17="◎",AG17="○",AH17="○",AI17="◎"),"【要修正】【規格・数量】未入力、【単価】未入力"&amp;CHAR(10),
IF(AND(AF17="◎",AG17="○",AH17="×",AI17="○"),"【要修正】【規格・数量】未入力、【単価】入力不十分、【補助対象区分】未入力"&amp;CHAR(10),
IF(AND(AF17="◎",AG17="○",AH17="×",AI17="◎"),"【要修正】【規格・数量】未入力、【単価】入力不十分"&amp;CHAR(10),
IF(AND(AF17="◎",AG17="○",AH17="◎",AI17="○"),"【要修正】【規格・数量】未入力、【補助対象区分】未入力"&amp;CHAR(10),
IF(AND(AF17="◎",AG17="○",AH17="◎",AI17="◎"),"【要修正】【規格・数量】未入力"&amp;CHAR(10),
IF(AND(AF17="◎",AG17="×",AH17="○",AI17="○"),"【要修正】【規格・数量】入力不十分、【単価】未入力、【補助対象区分】未入力"&amp;CHAR(10),
IF(AND(AF17="◎",AG17="×",AH17="○",AI17="◎"),"【要修正】【規格・数量】入力不十分、【単価】未入力"&amp;CHAR(10),
IF(AND(AF17="◎",AG17="×",AH17="×",AI17="○"),"【要修正】【規格・数量】入力不十分、【単価】入力不十分、【補助対象区分】未入力"&amp;CHAR(10),
IF(AND(AF17="◎",AG17="×",AH17="×",AI17="◎"),"【要修正】【規格・数量】入力不十分、【単価】入力不十分"&amp;CHAR(10),
IF(AND(AF17="◎",AG17="×",AH17="◎",AI17="○"),"【要修正】【規格・数量】入力不十分、【補助対象区分】未入力"&amp;CHAR(10),
IF(AND(AF17="◎",AG17="×",AH17="◎",AI17="◎"),"【要修正】【規格・数量】入力不十分"&amp;CHAR(10),
IF(AND(AF17="◎",AG17="◎",AH17="○",AI17="○"),"【要修正】【単価】未入力、【補助対象区分】未入力"&amp;CHAR(10),
IF(AND(AF17="◎",AG17="◎",AH17="○",AI17="◎"),"【要修正】【単価】未入力"&amp;CHAR(10),
IF(AND(AF17="◎",AG17="◎",AH17="×",AI17="○"),"【要修正】【単価】入力不十分、【補助対象区分】未入力"&amp;CHAR(10),
IF(AND(AF17="◎",AG17="◎",AH17="×",AI17="◎"),"【要修正】【単価】入力不十分"&amp;CHAR(10),
IF(AND(AF17="◎",AG17="◎",AH17="◎",AI17="○"),"【要修正】【補助対象区分】未入力"&amp;CHAR(10),
IF(AND(AF17="◎",AG17="◎",AH17="◎",AI17="◎"),"適切に入力がされました。",
))))))))))))))))))))))))))))))))))))))))))))))))))))))</f>
        <v>申請しない場合は入力不要です。</v>
      </c>
      <c r="AF17" s="234" t="str">
        <f t="shared" ref="AF17:AF50" si="4">IF(COUNTA(B17:D17)=0,"○",IF(AND(COUNTA(B17:D17)&gt;=1,COUNTA(B17:D17)&lt;3),"×",IF(COUNTA(B17:D17)=3,"◎")))</f>
        <v>○</v>
      </c>
      <c r="AG17" s="234" t="str">
        <f t="shared" ref="AG17:AG50" si="5">IF(COUNTA(E17,F17,J17)=0,"○",IF(AND(COUNTA(E17,F17,J17)&gt;=1,COUNTA(E17,F17,J17)&lt;3),"×",IF(COUNTA(E17,F17,J17)=3,"◎")))</f>
        <v>○</v>
      </c>
      <c r="AH17" s="234" t="str">
        <f t="shared" ref="AH17:AH50" si="6">IF(COUNTA(G17:H17)=0,"○",IF(COUNTA(G17:H17)=1,"◎",IF(COUNTA(G17:H17)=2,"×")))</f>
        <v>○</v>
      </c>
      <c r="AI17" s="231" t="str">
        <f t="shared" ref="AI17:AI50" si="7">IF(COUNTA(J17)=0,"○",IF(COUNTA(J17)=1,"◎"))</f>
        <v>○</v>
      </c>
      <c r="AJ17" s="14" t="str">
        <f t="shared" ref="AJ17:AJ50" si="8" xml:space="preserve">
IF(AND(AF17="○",AG17="○",AH17="○",AI17="○"),"",
IF(AND(AF17="○",AG17="○",AH17="○",AI17="◎"),"【"&amp;AK17&amp;"行目】【整備先・内容】未入力、【規格・数量】未入力、【単価】未入力"&amp;CHAR(10),
IF(AND(AF17="○",AG17="○",AH17="×",AI17="○"),"【"&amp;AK17&amp;"行目】【整備先・内容】未入力、【規格・数量】未入力、【単価】入力不十分、【補助対象区分】未入力"&amp;CHAR(10),
IF(AND(AF17="○",AG17="○",AH17="×",AI17="◎"),"【"&amp;AK17&amp;"行目】【整備先・内容】未入力、【規格・数量】未入力、【単価】入力不十分"&amp;CHAR(10),
IF(AND(AF17="○",AG17="○",AH17="◎",AI17="○"),"【"&amp;AK17&amp;"行目】【整備先・内容】未入力、【規格・数量】未入力、【補助対象区分】未入力"&amp;CHAR(10),
IF(AND(AF17="○",AG17="○",AH17="◎",AI17="◎"),"【"&amp;AK17&amp;"行目】【整備先・内容】未入力、【規格・数量】未入力"&amp;CHAR(10),
IF(AND(AF17="○",AG17="×",AH17="○",AI17="○"),"【"&amp;AK17&amp;"行目】【整備先・内容】未入力、【規格・数量】入力不十分、【単価】未入力、【補助対象区分】未入力"&amp;CHAR(10),
IF(AND(AF17="○",AG17="×",AH17="○",AI17="◎"),"【"&amp;AK17&amp;"行目】【整備先・内容】未入力、【規格・数量】入力不十分、【単価】未入力"&amp;CHAR(10),
IF(AND(AF17="○",AG17="×",AH17="×",AI17="○"),"【"&amp;AK17&amp;"行目】【整備先・内容】未入力、【規格・数量】入力不十分、【単価】入力不十分、【補助対象区分】未入力"&amp;CHAR(10),
IF(AND(AF17="○",AG17="×",AH17="×",AI17="◎"),"【"&amp;AK17&amp;"行目】【整備先・内容】未入力、【規格・数量】入力不十分、【単価】入力不十分"&amp;CHAR(10),
IF(AND(AF17="○",AG17="×",AH17="◎",AI17="○"),"【"&amp;AK17&amp;"行目】【整備先・内容】未入力、【規格・数量】入力不十分、【補助対象区分】未入力"&amp;CHAR(10),
IF(AND(AF17="○",AG17="×",AH17="◎",AI17="◎"),"【"&amp;AK17&amp;"行目】【整備先・内容】未入力、【規格・数量】入力不十分"&amp;CHAR(10),
IF(AND(AF17="○",AG17="◎",AH17="○",AI17="○"),"【"&amp;AK17&amp;"行目】【整備先・内容】未入力、【単価】未入力、【補助対象区分】未入力"&amp;CHAR(10),
IF(AND(AF17="○",AG17="◎",AH17="○",AI17="◎"),"【"&amp;AK17&amp;"行目】【整備先・内容】未入力、【単価】未入力"&amp;CHAR(10),
IF(AND(AF17="○",AG17="◎",AH17="×",AI17="○"),"【"&amp;AK17&amp;"行目】【整備先・内容】未入力、【単価】入力不十分、【補助対象区分】未入力"&amp;CHAR(10),
IF(AND(AF17="○",AG17="◎",AH17="×",AI17="◎"),"【"&amp;AK17&amp;"行目】【整備先・内容】未入力、【単価】入力不十分"&amp;CHAR(10),
IF(AND(AF17="○",AG17="◎",AH17="◎",AI17="○"),"【"&amp;AK17&amp;"行目】【整備先・内容】未入力、【補助対象区分】未入力"&amp;CHAR(10),
IF(AND(AF17="○",AG17="◎",AH17="◎",AI17="◎"),"【"&amp;AK17&amp;"行目】【整備先・内容】未入力"&amp;CHAR(10),
IF(AND(AF17="×",AG17="○",AH17="○",AI17="○"),"【"&amp;AK17&amp;"行目】【整備先・内容】入力不十分、【規格・数量】未入力、【単価】未入力、【補助対象区分】未入力"&amp;CHAR(10),
IF(AND(AF17="×",AG17="○",AH17="○",AI17="◎"),"【"&amp;AK17&amp;"行目】【整備先・内容】入力不十分、【規格・数量】未入力、【単価】未入力"&amp;CHAR(10),
IF(AND(AF17="×",AG17="○",AH17="×",AI17="○"),"【"&amp;AK17&amp;"行目】【整備先・内容】入力不十分、【規格・数量】未入力、【単価】入力不十分、【補助対象区分】未入力"&amp;CHAR(10),
IF(AND(AF17="×",AG17="○",AH17="×",AI17="◎"),"【"&amp;AK17&amp;"行目】【整備先・内容】入力不十分、【規格・数量】未入力、【単価】入力不十分"&amp;CHAR(10),
IF(AND(AF17="×",AG17="○",AH17="◎",AI17="○"),"【"&amp;AK17&amp;"行目】【整備先・内容】入力不十分、【規格・数量】未入力、【補助対象区分】未入力"&amp;CHAR(10),
IF(AND(AF17="×",AG17="○",AH17="◎",AI17="◎"),"【"&amp;AK17&amp;"行目】【整備先・内容】入力不十分、【規格・数量】未入力"&amp;CHAR(10),
IF(AND(AF17="×",AG17="×",AH17="○",AI17="○"),"【"&amp;AK17&amp;"行目】【整備先・内容】入力不十分、【規格・数量】入力不十分、【単価】未入力、【補助対象区分】未入力"&amp;CHAR(10),
IF(AND(AF17="×",AG17="×",AH17="○",AI17="◎"),"【"&amp;AK17&amp;"行目】【整備先・内容】入力不十分、【規格・数量】入力不十分、【単価】未入力"&amp;CHAR(10),
IF(AND(AF17="×",AG17="×",AH17="×",AI17="○"),"【"&amp;AK17&amp;"行目】【整備先・内容】入力不十分、【規格・数量】入力不十分、【単価】入力不十分、【補助対象区分】未入力"&amp;CHAR(10),
IF(AND(AF17="×",AG17="×",AH17="×",AI17="◎"),"【"&amp;AK17&amp;"行目】【整備先・内容】入力不十分、【規格・数量】入力不十分、【単価】入力不十分"&amp;CHAR(10),
IF(AND(AF17="×",AG17="×",AH17="◎",AI17="○"),"【"&amp;AK17&amp;"行目】【整備先・内容】入力不十分、【規格・数量】入力不十分、【補助対象区分】未入力"&amp;CHAR(10),
IF(AND(AF17="×",AG17="×",AH17="◎",AI17="◎"),"【"&amp;AK17&amp;"行目】【整備先・内容】入力不十分、【規格・数量】入力不十分"&amp;CHAR(10),
IF(AND(AF17="×",AG17="◎",AH17="○",AI17="○"),"【"&amp;AK17&amp;"行目】【整備先・内容】入力不十分、【単価】未入力、【補助対象区分】未入力"&amp;CHAR(10),
IF(AND(AF17="×",AG17="◎",AH17="○",AI17="◎"),"【"&amp;AK17&amp;"行目】【整備先・内容】入力不十分、【単価】未入力"&amp;CHAR(10),
IF(AND(AF17="×",AG17="◎",AH17="×",AI17="○"),"【"&amp;AK17&amp;"行目】【整備先・内容】入力不十分、【単価】入力不十分、【補助対象区分】未入力"&amp;CHAR(10),
IF(AND(AF17="×",AG17="◎",AH17="×",AI17="◎"),"【"&amp;AK17&amp;"行目】【整備先・内容】入力不十分、【単価】入力不十分"&amp;CHAR(10),
IF(AND(AF17="×",AG17="◎",AH17="◎",AI17="○"),"【"&amp;AK17&amp;"行目】【整備先・内容】入力不十分、【補助対象区分】未入力"&amp;CHAR(10),
IF(AND(AF17="×",AG17="◎",AH17="◎",AI17="◎"),"【"&amp;AK17&amp;"行目】【整備先・内容】入力不十分"&amp;CHAR(10),
IF(AND(AF17="◎",AG17="○",AH17="○",AI17="○"),"【"&amp;AK17&amp;"行目】【規格・数量】未入力、【単価】未入力、【補助対象区分】未入力"&amp;CHAR(10),
IF(AND(AF17="◎",AG17="○",AH17="○",AI17="◎"),"【"&amp;AK17&amp;"行目】【規格・数量】未入力、【単価】未入力"&amp;CHAR(10),
IF(AND(AF17="◎",AG17="○",AH17="×",AI17="○"),"【"&amp;AK17&amp;"行目】【規格・数量】未入力、【単価】入力不十分、【補助対象区分】未入力"&amp;CHAR(10),
IF(AND(AF17="◎",AG17="○",AH17="×",AI17="◎"),"【"&amp;AK17&amp;"行目】【規格・数量】未入力、【単価】入力不十分"&amp;CHAR(10),
IF(AND(AF17="◎",AG17="○",AH17="◎",AI17="○"),"【"&amp;AK17&amp;"行目】【規格・数量】未入力、【補助対象区分】未入力"&amp;CHAR(10),
IF(AND(AF17="◎",AG17="○",AH17="◎",AI17="◎"),"【"&amp;AK17&amp;"行目】【規格・数量】未入力"&amp;CHAR(10),
IF(AND(AF17="◎",AG17="×",AH17="○",AI17="○"),"【"&amp;AK17&amp;"行目】【規格・数量】入力不十分、【単価】未入力、【補助対象区分】未入力"&amp;CHAR(10),
IF(AND(AF17="◎",AG17="×",AH17="○",AI17="◎"),"【"&amp;AK17&amp;"行目】【規格・数量】入力不十分、【単価】未入力"&amp;CHAR(10),
IF(AND(AF17="◎",AG17="×",AH17="×",AI17="○"),"【"&amp;AK17&amp;"行目】【規格・数量】入力不十分、【単価】入力不十分、【補助対象区分】未入力"&amp;CHAR(10),
IF(AND(AF17="◎",AG17="×",AH17="×",AI17="◎"),"【"&amp;AK17&amp;"行目】【規格・数量】入力不十分、【単価】入力不十分"&amp;CHAR(10),
IF(AND(AF17="◎",AG17="×",AH17="◎",AI17="○"),"【"&amp;AK17&amp;"行目】【規格・数量】入力不十分、【補助対象区分】未入力"&amp;CHAR(10),
IF(AND(AF17="◎",AG17="×",AH17="◎",AI17="◎"),"【"&amp;AK17&amp;"行目】【規格・数量】入力不十分"&amp;CHAR(10),
IF(AND(AF17="◎",AG17="◎",AH17="○",AI17="○"),"【"&amp;AK17&amp;"行目】【単価】未入力、【補助対象区分】未入力"&amp;CHAR(10),
IF(AND(AF17="◎",AG17="◎",AH17="○",AI17="◎"),"【"&amp;AK17&amp;"行目】【単価】未入力"&amp;CHAR(10),
IF(AND(AF17="◎",AG17="◎",AH17="×",AI17="○"),"【"&amp;AK17&amp;"行目】【単価】入力不十分、【補助対象区分】未入力"&amp;CHAR(10),
IF(AND(AF17="◎",AG17="◎",AH17="×",AI17="◎"),"【"&amp;AK17&amp;"行目】【単価】入力不十分"&amp;CHAR(10),
IF(AND(AF17="◎",AG17="◎",AH17="◎",AI17="○"),"【"&amp;AK17&amp;"行目】【補助対象区分】未入力"&amp;CHAR(10),
IF(AND(AF17="◎",AG17="◎",AH17="◎",AI17="◎"),"",
))))))))))))))))))))))))))))))))))))))))))))))))))))))</f>
        <v/>
      </c>
      <c r="AK17" s="52">
        <v>2</v>
      </c>
    </row>
    <row r="18" spans="1:75" ht="24.95" customHeight="1">
      <c r="A18" s="38">
        <v>3</v>
      </c>
      <c r="B18" s="313"/>
      <c r="C18" s="313"/>
      <c r="D18" s="313"/>
      <c r="E18" s="314"/>
      <c r="F18" s="315"/>
      <c r="G18" s="316"/>
      <c r="H18" s="316"/>
      <c r="I18" s="45">
        <f t="shared" si="0"/>
        <v>0</v>
      </c>
      <c r="J18" s="317"/>
      <c r="K18" s="45">
        <f t="shared" si="1"/>
        <v>0</v>
      </c>
      <c r="L18" s="44" t="str">
        <f>IF(AD18="◎",COUNTIF($AD$16:AD18,"◎"),"")</f>
        <v/>
      </c>
      <c r="W18" s="234" t="str">
        <f>IF(B18="既設病床",はじめに入力してください!$K$12,IF(B18="新設病床",はじめに入力してください!$K$13,IF(B18="共通使用",1,"")))</f>
        <v/>
      </c>
      <c r="AC18" s="49" t="s">
        <v>69</v>
      </c>
      <c r="AD18" s="231" t="str">
        <f t="shared" si="2"/>
        <v>○</v>
      </c>
      <c r="AE18" s="35" t="str">
        <f t="shared" si="3"/>
        <v>申請しない場合は入力不要です。</v>
      </c>
      <c r="AF18" s="234" t="str">
        <f t="shared" si="4"/>
        <v>○</v>
      </c>
      <c r="AG18" s="234" t="str">
        <f t="shared" si="5"/>
        <v>○</v>
      </c>
      <c r="AH18" s="234" t="str">
        <f t="shared" si="6"/>
        <v>○</v>
      </c>
      <c r="AI18" s="231" t="str">
        <f t="shared" si="7"/>
        <v>○</v>
      </c>
      <c r="AJ18" s="14" t="str">
        <f t="shared" si="8"/>
        <v/>
      </c>
      <c r="AK18" s="52">
        <v>3</v>
      </c>
      <c r="AY18" s="823"/>
      <c r="AZ18" s="823"/>
      <c r="BA18" s="823"/>
      <c r="BB18" s="823"/>
      <c r="BC18" s="823"/>
      <c r="BD18" s="823"/>
      <c r="BE18" s="823"/>
      <c r="BF18" s="823"/>
      <c r="BG18" s="823"/>
      <c r="BH18" s="823"/>
      <c r="BI18" s="402"/>
      <c r="BJ18" s="402"/>
      <c r="BK18" s="402"/>
      <c r="BL18" s="402"/>
      <c r="BM18" s="402"/>
      <c r="BN18" s="402"/>
      <c r="BO18" s="223"/>
      <c r="BP18" s="223"/>
      <c r="BQ18" s="223"/>
      <c r="BR18" s="223"/>
      <c r="BS18" s="764"/>
      <c r="BT18" s="764"/>
      <c r="BU18" s="764"/>
      <c r="BV18" s="764"/>
      <c r="BW18" s="764"/>
    </row>
    <row r="19" spans="1:75" ht="24.95" customHeight="1">
      <c r="A19" s="38">
        <v>4</v>
      </c>
      <c r="B19" s="313"/>
      <c r="C19" s="313"/>
      <c r="D19" s="313"/>
      <c r="E19" s="314"/>
      <c r="F19" s="315"/>
      <c r="G19" s="316"/>
      <c r="H19" s="316"/>
      <c r="I19" s="45">
        <f t="shared" si="0"/>
        <v>0</v>
      </c>
      <c r="J19" s="317"/>
      <c r="K19" s="45">
        <f t="shared" si="1"/>
        <v>0</v>
      </c>
      <c r="L19" s="44" t="str">
        <f>IF(AD19="◎",COUNTIF($AD$16:AD19,"◎"),"")</f>
        <v/>
      </c>
      <c r="W19" s="234" t="str">
        <f>IF(B19="既設病床",はじめに入力してください!$K$12,IF(B19="新設病床",はじめに入力してください!$K$13,IF(B19="共通使用",1,"")))</f>
        <v/>
      </c>
      <c r="Y19" s="203"/>
      <c r="AC19" s="49" t="s">
        <v>69</v>
      </c>
      <c r="AD19" s="231" t="str">
        <f t="shared" si="2"/>
        <v>○</v>
      </c>
      <c r="AE19" s="35" t="str">
        <f t="shared" si="3"/>
        <v>申請しない場合は入力不要です。</v>
      </c>
      <c r="AF19" s="234" t="str">
        <f t="shared" si="4"/>
        <v>○</v>
      </c>
      <c r="AG19" s="234" t="str">
        <f t="shared" si="5"/>
        <v>○</v>
      </c>
      <c r="AH19" s="234" t="str">
        <f t="shared" si="6"/>
        <v>○</v>
      </c>
      <c r="AI19" s="231" t="str">
        <f t="shared" si="7"/>
        <v>○</v>
      </c>
      <c r="AJ19" s="14" t="str">
        <f t="shared" si="8"/>
        <v/>
      </c>
      <c r="AK19" s="52">
        <v>4</v>
      </c>
      <c r="AY19" s="824"/>
      <c r="AZ19" s="825"/>
      <c r="BA19" s="825"/>
      <c r="BB19" s="825"/>
      <c r="BC19" s="823"/>
      <c r="BD19" s="825"/>
      <c r="BE19" s="823"/>
      <c r="BF19" s="823"/>
      <c r="BG19" s="823"/>
      <c r="BH19" s="823"/>
      <c r="BI19" s="402"/>
      <c r="BJ19" s="402"/>
      <c r="BK19" s="402"/>
      <c r="BL19" s="402"/>
      <c r="BM19" s="402"/>
      <c r="BN19" s="402"/>
      <c r="BO19" s="402"/>
      <c r="BP19" s="223"/>
      <c r="BQ19" s="823"/>
      <c r="BR19" s="764"/>
      <c r="BS19" s="764"/>
      <c r="BT19" s="764"/>
      <c r="BU19" s="764"/>
      <c r="BV19" s="764"/>
      <c r="BW19" s="764"/>
    </row>
    <row r="20" spans="1:75" ht="24.95" customHeight="1">
      <c r="A20" s="38">
        <v>5</v>
      </c>
      <c r="B20" s="313"/>
      <c r="C20" s="313"/>
      <c r="D20" s="313"/>
      <c r="E20" s="314"/>
      <c r="F20" s="315"/>
      <c r="G20" s="316"/>
      <c r="H20" s="316"/>
      <c r="I20" s="45">
        <f t="shared" si="0"/>
        <v>0</v>
      </c>
      <c r="J20" s="317"/>
      <c r="K20" s="45">
        <f t="shared" si="1"/>
        <v>0</v>
      </c>
      <c r="L20" s="44" t="str">
        <f>IF(AD20="◎",COUNTIF($AD$16:AD20,"◎"),"")</f>
        <v/>
      </c>
      <c r="W20" s="234" t="str">
        <f>IF(B20="既設病床",はじめに入力してください!$K$12,IF(B20="新設病床",はじめに入力してください!$K$13,IF(B20="共通使用",1,"")))</f>
        <v/>
      </c>
      <c r="AC20" s="49" t="s">
        <v>69</v>
      </c>
      <c r="AD20" s="231" t="str">
        <f t="shared" si="2"/>
        <v>○</v>
      </c>
      <c r="AE20" s="35" t="str">
        <f t="shared" si="3"/>
        <v>申請しない場合は入力不要です。</v>
      </c>
      <c r="AF20" s="234" t="str">
        <f t="shared" si="4"/>
        <v>○</v>
      </c>
      <c r="AG20" s="234" t="str">
        <f t="shared" si="5"/>
        <v>○</v>
      </c>
      <c r="AH20" s="234" t="str">
        <f t="shared" si="6"/>
        <v>○</v>
      </c>
      <c r="AI20" s="231" t="str">
        <f t="shared" si="7"/>
        <v>○</v>
      </c>
      <c r="AJ20" s="14" t="str">
        <f t="shared" si="8"/>
        <v/>
      </c>
      <c r="AK20" s="52">
        <v>5</v>
      </c>
      <c r="AY20" s="825"/>
      <c r="AZ20" s="825"/>
      <c r="BA20" s="825"/>
      <c r="BB20" s="825"/>
      <c r="BC20" s="823"/>
      <c r="BD20" s="823"/>
      <c r="BE20" s="823"/>
      <c r="BF20" s="823"/>
      <c r="BG20" s="823"/>
      <c r="BH20" s="823"/>
      <c r="BI20" s="402"/>
      <c r="BJ20" s="402"/>
      <c r="BK20" s="402"/>
      <c r="BL20" s="402"/>
      <c r="BM20" s="402"/>
      <c r="BN20" s="402"/>
      <c r="BO20" s="402"/>
      <c r="BP20" s="223"/>
      <c r="BQ20" s="823"/>
      <c r="BR20" s="764"/>
      <c r="BS20" s="764"/>
      <c r="BT20" s="764"/>
      <c r="BU20" s="764"/>
      <c r="BV20" s="764"/>
      <c r="BW20" s="764"/>
    </row>
    <row r="21" spans="1:75" ht="24.95" customHeight="1">
      <c r="A21" s="38">
        <v>6</v>
      </c>
      <c r="B21" s="313"/>
      <c r="C21" s="313"/>
      <c r="D21" s="313"/>
      <c r="E21" s="314"/>
      <c r="F21" s="315"/>
      <c r="G21" s="316"/>
      <c r="H21" s="316"/>
      <c r="I21" s="45">
        <f t="shared" si="0"/>
        <v>0</v>
      </c>
      <c r="J21" s="317"/>
      <c r="K21" s="45">
        <f t="shared" si="1"/>
        <v>0</v>
      </c>
      <c r="L21" s="44" t="str">
        <f>IF(AD21="◎",COUNTIF($AD$16:AD21,"◎"),"")</f>
        <v/>
      </c>
      <c r="W21" s="234" t="str">
        <f>IF(B21="既設病床",はじめに入力してください!$K$12,IF(B21="新設病床",はじめに入力してください!$K$13,IF(B21="共通使用",1,"")))</f>
        <v/>
      </c>
      <c r="AC21" s="49" t="s">
        <v>69</v>
      </c>
      <c r="AD21" s="231" t="str">
        <f t="shared" si="2"/>
        <v>○</v>
      </c>
      <c r="AE21" s="35" t="str">
        <f t="shared" si="3"/>
        <v>申請しない場合は入力不要です。</v>
      </c>
      <c r="AF21" s="234" t="str">
        <f t="shared" si="4"/>
        <v>○</v>
      </c>
      <c r="AG21" s="234" t="str">
        <f t="shared" si="5"/>
        <v>○</v>
      </c>
      <c r="AH21" s="234" t="str">
        <f t="shared" si="6"/>
        <v>○</v>
      </c>
      <c r="AI21" s="231" t="str">
        <f t="shared" si="7"/>
        <v>○</v>
      </c>
      <c r="AJ21" s="14" t="str">
        <f t="shared" si="8"/>
        <v/>
      </c>
      <c r="AK21" s="52">
        <v>6</v>
      </c>
      <c r="AY21" s="825"/>
      <c r="AZ21" s="825"/>
      <c r="BA21" s="825"/>
      <c r="BB21" s="825"/>
      <c r="BC21" s="823"/>
      <c r="BD21" s="823"/>
      <c r="BE21" s="823"/>
      <c r="BF21" s="823"/>
      <c r="BG21" s="823"/>
      <c r="BH21" s="823"/>
      <c r="BI21" s="402"/>
      <c r="BJ21" s="402"/>
      <c r="BK21" s="402"/>
      <c r="BL21" s="402"/>
      <c r="BM21" s="402"/>
      <c r="BN21" s="402"/>
      <c r="BO21" s="59"/>
      <c r="BP21" s="223"/>
      <c r="BQ21" s="223"/>
      <c r="BR21" s="222"/>
      <c r="BS21" s="222"/>
      <c r="BT21" s="222"/>
      <c r="BU21" s="222"/>
      <c r="BV21" s="222"/>
      <c r="BW21" s="222"/>
    </row>
    <row r="22" spans="1:75" ht="24.95" customHeight="1">
      <c r="A22" s="38">
        <v>7</v>
      </c>
      <c r="B22" s="313"/>
      <c r="C22" s="313"/>
      <c r="D22" s="313"/>
      <c r="E22" s="314"/>
      <c r="F22" s="315"/>
      <c r="G22" s="316"/>
      <c r="H22" s="316"/>
      <c r="I22" s="45">
        <f t="shared" si="0"/>
        <v>0</v>
      </c>
      <c r="J22" s="317"/>
      <c r="K22" s="45">
        <f t="shared" si="1"/>
        <v>0</v>
      </c>
      <c r="L22" s="44" t="str">
        <f>IF(AD22="◎",COUNTIF($AD$16:AD22,"◎"),"")</f>
        <v/>
      </c>
      <c r="W22" s="234" t="str">
        <f>IF(B22="既設病床",はじめに入力してください!$K$12,IF(B22="新設病床",はじめに入力してください!$K$13,IF(B22="共通使用",1,"")))</f>
        <v/>
      </c>
      <c r="AC22" s="49" t="s">
        <v>69</v>
      </c>
      <c r="AD22" s="231" t="str">
        <f t="shared" si="2"/>
        <v>○</v>
      </c>
      <c r="AE22" s="35" t="str">
        <f t="shared" si="3"/>
        <v>申請しない場合は入力不要です。</v>
      </c>
      <c r="AF22" s="234" t="str">
        <f t="shared" si="4"/>
        <v>○</v>
      </c>
      <c r="AG22" s="234" t="str">
        <f t="shared" si="5"/>
        <v>○</v>
      </c>
      <c r="AH22" s="234" t="str">
        <f t="shared" si="6"/>
        <v>○</v>
      </c>
      <c r="AI22" s="231" t="str">
        <f t="shared" si="7"/>
        <v>○</v>
      </c>
      <c r="AJ22" s="14" t="str">
        <f t="shared" si="8"/>
        <v/>
      </c>
      <c r="AK22" s="52">
        <v>7</v>
      </c>
      <c r="AY22" s="823"/>
      <c r="AZ22" s="823"/>
      <c r="BA22" s="823"/>
      <c r="BB22" s="823"/>
      <c r="BC22" s="823"/>
      <c r="BD22" s="823"/>
      <c r="BE22" s="823"/>
      <c r="BF22" s="823"/>
      <c r="BG22" s="823"/>
      <c r="BH22" s="823"/>
      <c r="BI22" s="402"/>
      <c r="BJ22" s="402"/>
      <c r="BK22" s="402"/>
      <c r="BL22" s="402"/>
      <c r="BM22" s="402"/>
      <c r="BN22" s="402"/>
      <c r="BO22" s="402"/>
      <c r="BP22" s="402"/>
      <c r="BQ22" s="402"/>
      <c r="BR22" s="402"/>
      <c r="BS22" s="222"/>
      <c r="BT22" s="222"/>
      <c r="BU22" s="222"/>
      <c r="BV22" s="222"/>
      <c r="BW22" s="222"/>
    </row>
    <row r="23" spans="1:75" ht="24.95" customHeight="1">
      <c r="A23" s="38">
        <v>8</v>
      </c>
      <c r="B23" s="313"/>
      <c r="C23" s="313"/>
      <c r="D23" s="313"/>
      <c r="E23" s="314"/>
      <c r="F23" s="315"/>
      <c r="G23" s="316"/>
      <c r="H23" s="316"/>
      <c r="I23" s="45">
        <f t="shared" si="0"/>
        <v>0</v>
      </c>
      <c r="J23" s="317"/>
      <c r="K23" s="45">
        <f t="shared" si="1"/>
        <v>0</v>
      </c>
      <c r="L23" s="44" t="str">
        <f>IF(AD23="◎",COUNTIF($AD$16:AD23,"◎"),"")</f>
        <v/>
      </c>
      <c r="T23" s="197"/>
      <c r="U23" s="197"/>
      <c r="V23" s="197"/>
      <c r="W23" s="234" t="str">
        <f>IF(B23="既設病床",はじめに入力してください!$K$12,IF(B23="新設病床",はじめに入力してください!$K$13,IF(B23="共通使用",1,"")))</f>
        <v/>
      </c>
      <c r="AC23" s="49" t="s">
        <v>69</v>
      </c>
      <c r="AD23" s="231" t="str">
        <f t="shared" si="2"/>
        <v>○</v>
      </c>
      <c r="AE23" s="35" t="str">
        <f t="shared" si="3"/>
        <v>申請しない場合は入力不要です。</v>
      </c>
      <c r="AF23" s="234" t="str">
        <f t="shared" si="4"/>
        <v>○</v>
      </c>
      <c r="AG23" s="234" t="str">
        <f t="shared" si="5"/>
        <v>○</v>
      </c>
      <c r="AH23" s="234" t="str">
        <f t="shared" si="6"/>
        <v>○</v>
      </c>
      <c r="AI23" s="231" t="str">
        <f t="shared" si="7"/>
        <v>○</v>
      </c>
      <c r="AJ23" s="14" t="str">
        <f t="shared" si="8"/>
        <v/>
      </c>
      <c r="AK23" s="52">
        <v>8</v>
      </c>
      <c r="AY23" s="823"/>
      <c r="AZ23" s="823"/>
      <c r="BA23" s="823"/>
      <c r="BB23" s="823"/>
      <c r="BC23" s="823"/>
      <c r="BD23" s="823"/>
      <c r="BE23" s="823"/>
      <c r="BF23" s="823"/>
      <c r="BG23" s="823"/>
      <c r="BH23" s="823"/>
      <c r="BI23" s="402"/>
      <c r="BJ23" s="402"/>
      <c r="BK23" s="402"/>
      <c r="BL23" s="402"/>
      <c r="BM23" s="402"/>
      <c r="BN23" s="402"/>
      <c r="BO23" s="402"/>
      <c r="BP23" s="402"/>
      <c r="BQ23" s="402"/>
      <c r="BR23" s="402"/>
      <c r="BS23" s="222"/>
      <c r="BT23" s="222"/>
      <c r="BU23" s="222"/>
      <c r="BV23" s="222"/>
      <c r="BW23" s="222"/>
    </row>
    <row r="24" spans="1:75" ht="24.95" customHeight="1">
      <c r="A24" s="38">
        <v>9</v>
      </c>
      <c r="B24" s="313"/>
      <c r="C24" s="313"/>
      <c r="D24" s="313"/>
      <c r="E24" s="314"/>
      <c r="F24" s="315"/>
      <c r="G24" s="316"/>
      <c r="H24" s="316"/>
      <c r="I24" s="45">
        <f t="shared" si="0"/>
        <v>0</v>
      </c>
      <c r="J24" s="317"/>
      <c r="K24" s="45">
        <f t="shared" si="1"/>
        <v>0</v>
      </c>
      <c r="L24" s="44" t="str">
        <f>IF(AD24="◎",COUNTIF($AD$16:AD24,"◎"),"")</f>
        <v/>
      </c>
      <c r="W24" s="234" t="str">
        <f>IF(B24="既設病床",はじめに入力してください!$K$12,IF(B24="新設病床",はじめに入力してください!$K$13,IF(B24="共通使用",1,"")))</f>
        <v/>
      </c>
      <c r="AC24" s="49" t="s">
        <v>69</v>
      </c>
      <c r="AD24" s="231" t="str">
        <f t="shared" si="2"/>
        <v>○</v>
      </c>
      <c r="AE24" s="35" t="str">
        <f t="shared" si="3"/>
        <v>申請しない場合は入力不要です。</v>
      </c>
      <c r="AF24" s="234" t="str">
        <f t="shared" si="4"/>
        <v>○</v>
      </c>
      <c r="AG24" s="234" t="str">
        <f t="shared" si="5"/>
        <v>○</v>
      </c>
      <c r="AH24" s="234" t="str">
        <f t="shared" si="6"/>
        <v>○</v>
      </c>
      <c r="AI24" s="231" t="str">
        <f t="shared" si="7"/>
        <v>○</v>
      </c>
      <c r="AJ24" s="14" t="str">
        <f t="shared" si="8"/>
        <v/>
      </c>
      <c r="AK24" s="52">
        <v>9</v>
      </c>
    </row>
    <row r="25" spans="1:75" ht="24.95" customHeight="1">
      <c r="A25" s="38">
        <v>10</v>
      </c>
      <c r="B25" s="313"/>
      <c r="C25" s="313"/>
      <c r="D25" s="313"/>
      <c r="E25" s="314"/>
      <c r="F25" s="315"/>
      <c r="G25" s="316"/>
      <c r="H25" s="316"/>
      <c r="I25" s="45">
        <f t="shared" si="0"/>
        <v>0</v>
      </c>
      <c r="J25" s="317"/>
      <c r="K25" s="45">
        <f t="shared" si="1"/>
        <v>0</v>
      </c>
      <c r="L25" s="44" t="str">
        <f>IF(AD25="◎",COUNTIF($AD$16:AD25,"◎"),"")</f>
        <v/>
      </c>
      <c r="W25" s="234" t="str">
        <f>IF(B25="既設病床",はじめに入力してください!$K$12,IF(B25="新設病床",はじめに入力してください!$K$13,IF(B25="共通使用",1,"")))</f>
        <v/>
      </c>
      <c r="AC25" s="49" t="s">
        <v>69</v>
      </c>
      <c r="AD25" s="231" t="str">
        <f t="shared" si="2"/>
        <v>○</v>
      </c>
      <c r="AE25" s="35" t="str">
        <f t="shared" si="3"/>
        <v>申請しない場合は入力不要です。</v>
      </c>
      <c r="AF25" s="234" t="str">
        <f t="shared" si="4"/>
        <v>○</v>
      </c>
      <c r="AG25" s="234" t="str">
        <f t="shared" si="5"/>
        <v>○</v>
      </c>
      <c r="AH25" s="234" t="str">
        <f t="shared" si="6"/>
        <v>○</v>
      </c>
      <c r="AI25" s="231" t="str">
        <f t="shared" si="7"/>
        <v>○</v>
      </c>
      <c r="AJ25" s="14" t="str">
        <f t="shared" si="8"/>
        <v/>
      </c>
      <c r="AK25" s="52">
        <v>10</v>
      </c>
    </row>
    <row r="26" spans="1:75" ht="24.95" customHeight="1">
      <c r="A26" s="38">
        <v>11</v>
      </c>
      <c r="B26" s="313"/>
      <c r="C26" s="313"/>
      <c r="D26" s="313"/>
      <c r="E26" s="314"/>
      <c r="F26" s="315"/>
      <c r="G26" s="316"/>
      <c r="H26" s="316"/>
      <c r="I26" s="45">
        <f t="shared" si="0"/>
        <v>0</v>
      </c>
      <c r="J26" s="317"/>
      <c r="K26" s="45">
        <f t="shared" si="1"/>
        <v>0</v>
      </c>
      <c r="L26" s="44" t="str">
        <f>IF(AD26="◎",COUNTIF($AD$16:AD26,"◎"),"")</f>
        <v/>
      </c>
      <c r="W26" s="234" t="str">
        <f>IF(B26="既設病床",はじめに入力してください!$K$12,IF(B26="新設病床",はじめに入力してください!$K$13,IF(B26="共通使用",1,"")))</f>
        <v/>
      </c>
      <c r="AC26" s="49" t="s">
        <v>69</v>
      </c>
      <c r="AD26" s="231" t="str">
        <f t="shared" si="2"/>
        <v>○</v>
      </c>
      <c r="AE26" s="35" t="str">
        <f t="shared" si="3"/>
        <v>申請しない場合は入力不要です。</v>
      </c>
      <c r="AF26" s="234" t="str">
        <f t="shared" si="4"/>
        <v>○</v>
      </c>
      <c r="AG26" s="234" t="str">
        <f t="shared" si="5"/>
        <v>○</v>
      </c>
      <c r="AH26" s="234" t="str">
        <f t="shared" si="6"/>
        <v>○</v>
      </c>
      <c r="AI26" s="231" t="str">
        <f t="shared" si="7"/>
        <v>○</v>
      </c>
      <c r="AJ26" s="14" t="str">
        <f t="shared" si="8"/>
        <v/>
      </c>
      <c r="AK26" s="52">
        <v>11</v>
      </c>
    </row>
    <row r="27" spans="1:75" ht="24.95" customHeight="1">
      <c r="A27" s="38">
        <v>12</v>
      </c>
      <c r="B27" s="313"/>
      <c r="C27" s="313"/>
      <c r="D27" s="313"/>
      <c r="E27" s="314"/>
      <c r="F27" s="315"/>
      <c r="G27" s="316"/>
      <c r="H27" s="316"/>
      <c r="I27" s="45">
        <f t="shared" si="0"/>
        <v>0</v>
      </c>
      <c r="J27" s="317"/>
      <c r="K27" s="45">
        <f t="shared" si="1"/>
        <v>0</v>
      </c>
      <c r="L27" s="44" t="str">
        <f>IF(AD27="◎",COUNTIF($AD$16:AD27,"◎"),"")</f>
        <v/>
      </c>
      <c r="W27" s="234" t="str">
        <f>IF(B27="既設病床",はじめに入力してください!$K$12,IF(B27="新設病床",はじめに入力してください!$K$13,IF(B27="共通使用",1,"")))</f>
        <v/>
      </c>
      <c r="AC27" s="49" t="s">
        <v>69</v>
      </c>
      <c r="AD27" s="231" t="str">
        <f t="shared" si="2"/>
        <v>○</v>
      </c>
      <c r="AE27" s="35" t="str">
        <f t="shared" si="3"/>
        <v>申請しない場合は入力不要です。</v>
      </c>
      <c r="AF27" s="234" t="str">
        <f t="shared" si="4"/>
        <v>○</v>
      </c>
      <c r="AG27" s="234" t="str">
        <f t="shared" si="5"/>
        <v>○</v>
      </c>
      <c r="AH27" s="234" t="str">
        <f t="shared" si="6"/>
        <v>○</v>
      </c>
      <c r="AI27" s="231" t="str">
        <f t="shared" si="7"/>
        <v>○</v>
      </c>
      <c r="AJ27" s="14" t="str">
        <f t="shared" si="8"/>
        <v/>
      </c>
      <c r="AK27" s="52">
        <v>12</v>
      </c>
    </row>
    <row r="28" spans="1:75" ht="24.95" customHeight="1">
      <c r="A28" s="38">
        <v>13</v>
      </c>
      <c r="B28" s="313"/>
      <c r="C28" s="313"/>
      <c r="D28" s="313"/>
      <c r="E28" s="314"/>
      <c r="F28" s="315"/>
      <c r="G28" s="316"/>
      <c r="H28" s="316"/>
      <c r="I28" s="45">
        <f t="shared" si="0"/>
        <v>0</v>
      </c>
      <c r="J28" s="317"/>
      <c r="K28" s="45">
        <f t="shared" si="1"/>
        <v>0</v>
      </c>
      <c r="L28" s="44" t="str">
        <f>IF(AD28="◎",COUNTIF($AD$16:AD28,"◎"),"")</f>
        <v/>
      </c>
      <c r="W28" s="234" t="str">
        <f>IF(B28="既設病床",はじめに入力してください!$K$12,IF(B28="新設病床",はじめに入力してください!$K$13,IF(B28="共通使用",1,"")))</f>
        <v/>
      </c>
      <c r="AC28" s="49" t="s">
        <v>69</v>
      </c>
      <c r="AD28" s="231" t="str">
        <f t="shared" si="2"/>
        <v>○</v>
      </c>
      <c r="AE28" s="35" t="str">
        <f t="shared" si="3"/>
        <v>申請しない場合は入力不要です。</v>
      </c>
      <c r="AF28" s="234" t="str">
        <f t="shared" si="4"/>
        <v>○</v>
      </c>
      <c r="AG28" s="234" t="str">
        <f t="shared" si="5"/>
        <v>○</v>
      </c>
      <c r="AH28" s="234" t="str">
        <f t="shared" si="6"/>
        <v>○</v>
      </c>
      <c r="AI28" s="231" t="str">
        <f t="shared" si="7"/>
        <v>○</v>
      </c>
      <c r="AJ28" s="14" t="str">
        <f t="shared" si="8"/>
        <v/>
      </c>
      <c r="AK28" s="52">
        <v>13</v>
      </c>
    </row>
    <row r="29" spans="1:75" ht="24.95" customHeight="1">
      <c r="A29" s="38">
        <v>14</v>
      </c>
      <c r="B29" s="313"/>
      <c r="C29" s="313"/>
      <c r="D29" s="313"/>
      <c r="E29" s="314"/>
      <c r="F29" s="315"/>
      <c r="G29" s="316"/>
      <c r="H29" s="316"/>
      <c r="I29" s="45">
        <f t="shared" si="0"/>
        <v>0</v>
      </c>
      <c r="J29" s="317"/>
      <c r="K29" s="45">
        <f t="shared" si="1"/>
        <v>0</v>
      </c>
      <c r="L29" s="44" t="str">
        <f>IF(AD29="◎",COUNTIF($AD$16:AD29,"◎"),"")</f>
        <v/>
      </c>
      <c r="W29" s="234" t="str">
        <f>IF(B29="既設病床",はじめに入力してください!$K$12,IF(B29="新設病床",はじめに入力してください!$K$13,IF(B29="共通使用",1,"")))</f>
        <v/>
      </c>
      <c r="AC29" s="49" t="s">
        <v>69</v>
      </c>
      <c r="AD29" s="231" t="str">
        <f t="shared" si="2"/>
        <v>○</v>
      </c>
      <c r="AE29" s="35" t="str">
        <f t="shared" si="3"/>
        <v>申請しない場合は入力不要です。</v>
      </c>
      <c r="AF29" s="234" t="str">
        <f t="shared" si="4"/>
        <v>○</v>
      </c>
      <c r="AG29" s="234" t="str">
        <f t="shared" si="5"/>
        <v>○</v>
      </c>
      <c r="AH29" s="234" t="str">
        <f t="shared" si="6"/>
        <v>○</v>
      </c>
      <c r="AI29" s="231" t="str">
        <f t="shared" si="7"/>
        <v>○</v>
      </c>
      <c r="AJ29" s="14" t="str">
        <f t="shared" si="8"/>
        <v/>
      </c>
      <c r="AK29" s="52">
        <v>14</v>
      </c>
    </row>
    <row r="30" spans="1:75" ht="24.95" customHeight="1">
      <c r="A30" s="38">
        <v>15</v>
      </c>
      <c r="B30" s="313"/>
      <c r="C30" s="313"/>
      <c r="D30" s="313"/>
      <c r="E30" s="314"/>
      <c r="F30" s="315"/>
      <c r="G30" s="316"/>
      <c r="H30" s="316"/>
      <c r="I30" s="45">
        <f t="shared" si="0"/>
        <v>0</v>
      </c>
      <c r="J30" s="317"/>
      <c r="K30" s="45">
        <f t="shared" si="1"/>
        <v>0</v>
      </c>
      <c r="L30" s="44" t="str">
        <f>IF(AD30="◎",COUNTIF($AD$16:AD30,"◎"),"")</f>
        <v/>
      </c>
      <c r="W30" s="234" t="str">
        <f>IF(B30="既設病床",はじめに入力してください!$K$12,IF(B30="新設病床",はじめに入力してください!$K$13,IF(B30="共通使用",1,"")))</f>
        <v/>
      </c>
      <c r="AC30" s="49" t="s">
        <v>69</v>
      </c>
      <c r="AD30" s="231" t="str">
        <f t="shared" si="2"/>
        <v>○</v>
      </c>
      <c r="AE30" s="35" t="str">
        <f t="shared" si="3"/>
        <v>申請しない場合は入力不要です。</v>
      </c>
      <c r="AF30" s="234" t="str">
        <f t="shared" si="4"/>
        <v>○</v>
      </c>
      <c r="AG30" s="234" t="str">
        <f t="shared" si="5"/>
        <v>○</v>
      </c>
      <c r="AH30" s="234" t="str">
        <f t="shared" si="6"/>
        <v>○</v>
      </c>
      <c r="AI30" s="231" t="str">
        <f t="shared" si="7"/>
        <v>○</v>
      </c>
      <c r="AJ30" s="14" t="str">
        <f t="shared" si="8"/>
        <v/>
      </c>
      <c r="AK30" s="52">
        <v>15</v>
      </c>
    </row>
    <row r="31" spans="1:75" ht="24.95" customHeight="1">
      <c r="A31" s="38">
        <v>16</v>
      </c>
      <c r="B31" s="313"/>
      <c r="C31" s="313"/>
      <c r="D31" s="313"/>
      <c r="E31" s="314"/>
      <c r="F31" s="315"/>
      <c r="G31" s="316"/>
      <c r="H31" s="316"/>
      <c r="I31" s="45">
        <f t="shared" si="0"/>
        <v>0</v>
      </c>
      <c r="J31" s="317"/>
      <c r="K31" s="45">
        <f t="shared" si="1"/>
        <v>0</v>
      </c>
      <c r="L31" s="44" t="str">
        <f>IF(AD31="◎",COUNTIF($AD$16:AD31,"◎"),"")</f>
        <v/>
      </c>
      <c r="W31" s="234" t="str">
        <f>IF(B31="既設病床",はじめに入力してください!$K$12,IF(B31="新設病床",はじめに入力してください!$K$13,IF(B31="共通使用",1,"")))</f>
        <v/>
      </c>
      <c r="AC31" s="49" t="s">
        <v>69</v>
      </c>
      <c r="AD31" s="231" t="str">
        <f t="shared" si="2"/>
        <v>○</v>
      </c>
      <c r="AE31" s="35" t="str">
        <f t="shared" si="3"/>
        <v>申請しない場合は入力不要です。</v>
      </c>
      <c r="AF31" s="234" t="str">
        <f t="shared" si="4"/>
        <v>○</v>
      </c>
      <c r="AG31" s="234" t="str">
        <f t="shared" si="5"/>
        <v>○</v>
      </c>
      <c r="AH31" s="234" t="str">
        <f t="shared" si="6"/>
        <v>○</v>
      </c>
      <c r="AI31" s="231" t="str">
        <f t="shared" si="7"/>
        <v>○</v>
      </c>
      <c r="AJ31" s="14" t="str">
        <f t="shared" si="8"/>
        <v/>
      </c>
      <c r="AK31" s="52">
        <v>16</v>
      </c>
    </row>
    <row r="32" spans="1:75" ht="24.95" customHeight="1">
      <c r="A32" s="38">
        <v>17</v>
      </c>
      <c r="B32" s="313"/>
      <c r="C32" s="313"/>
      <c r="D32" s="313"/>
      <c r="E32" s="314"/>
      <c r="F32" s="315"/>
      <c r="G32" s="316"/>
      <c r="H32" s="316"/>
      <c r="I32" s="45">
        <f t="shared" si="0"/>
        <v>0</v>
      </c>
      <c r="J32" s="317"/>
      <c r="K32" s="45">
        <f t="shared" si="1"/>
        <v>0</v>
      </c>
      <c r="L32" s="44" t="str">
        <f>IF(AD32="◎",COUNTIF($AD$16:AD32,"◎"),"")</f>
        <v/>
      </c>
      <c r="W32" s="234" t="str">
        <f>IF(B32="既設病床",はじめに入力してください!$K$12,IF(B32="新設病床",はじめに入力してください!$K$13,IF(B32="共通使用",1,"")))</f>
        <v/>
      </c>
      <c r="AC32" s="49" t="s">
        <v>69</v>
      </c>
      <c r="AD32" s="231" t="str">
        <f t="shared" si="2"/>
        <v>○</v>
      </c>
      <c r="AE32" s="35" t="str">
        <f t="shared" si="3"/>
        <v>申請しない場合は入力不要です。</v>
      </c>
      <c r="AF32" s="234" t="str">
        <f t="shared" si="4"/>
        <v>○</v>
      </c>
      <c r="AG32" s="234" t="str">
        <f t="shared" si="5"/>
        <v>○</v>
      </c>
      <c r="AH32" s="234" t="str">
        <f t="shared" si="6"/>
        <v>○</v>
      </c>
      <c r="AI32" s="231" t="str">
        <f t="shared" si="7"/>
        <v>○</v>
      </c>
      <c r="AJ32" s="14" t="str">
        <f t="shared" si="8"/>
        <v/>
      </c>
      <c r="AK32" s="52">
        <v>17</v>
      </c>
    </row>
    <row r="33" spans="1:37" ht="24.95" customHeight="1">
      <c r="A33" s="38">
        <v>18</v>
      </c>
      <c r="B33" s="313"/>
      <c r="C33" s="313"/>
      <c r="D33" s="313"/>
      <c r="E33" s="314"/>
      <c r="F33" s="315"/>
      <c r="G33" s="316"/>
      <c r="H33" s="316"/>
      <c r="I33" s="45">
        <f t="shared" si="0"/>
        <v>0</v>
      </c>
      <c r="J33" s="317"/>
      <c r="K33" s="45">
        <f t="shared" si="1"/>
        <v>0</v>
      </c>
      <c r="L33" s="44" t="str">
        <f>IF(AD33="◎",COUNTIF($AD$16:AD33,"◎"),"")</f>
        <v/>
      </c>
      <c r="W33" s="234" t="str">
        <f>IF(B33="既設病床",はじめに入力してください!$K$12,IF(B33="新設病床",はじめに入力してください!$K$13,IF(B33="共通使用",1,"")))</f>
        <v/>
      </c>
      <c r="AC33" s="49" t="s">
        <v>69</v>
      </c>
      <c r="AD33" s="231" t="str">
        <f t="shared" si="2"/>
        <v>○</v>
      </c>
      <c r="AE33" s="35" t="str">
        <f t="shared" si="3"/>
        <v>申請しない場合は入力不要です。</v>
      </c>
      <c r="AF33" s="234" t="str">
        <f t="shared" si="4"/>
        <v>○</v>
      </c>
      <c r="AG33" s="234" t="str">
        <f t="shared" si="5"/>
        <v>○</v>
      </c>
      <c r="AH33" s="234" t="str">
        <f t="shared" si="6"/>
        <v>○</v>
      </c>
      <c r="AI33" s="231" t="str">
        <f t="shared" si="7"/>
        <v>○</v>
      </c>
      <c r="AJ33" s="14" t="str">
        <f t="shared" si="8"/>
        <v/>
      </c>
      <c r="AK33" s="52">
        <v>18</v>
      </c>
    </row>
    <row r="34" spans="1:37" ht="24.95" customHeight="1">
      <c r="A34" s="38">
        <v>19</v>
      </c>
      <c r="B34" s="313"/>
      <c r="C34" s="313"/>
      <c r="D34" s="313"/>
      <c r="E34" s="314"/>
      <c r="F34" s="315"/>
      <c r="G34" s="316"/>
      <c r="H34" s="316"/>
      <c r="I34" s="45">
        <f t="shared" si="0"/>
        <v>0</v>
      </c>
      <c r="J34" s="317"/>
      <c r="K34" s="45">
        <f t="shared" si="1"/>
        <v>0</v>
      </c>
      <c r="L34" s="44" t="str">
        <f>IF(AD34="◎",COUNTIF($AD$16:AD34,"◎"),"")</f>
        <v/>
      </c>
      <c r="W34" s="234" t="str">
        <f>IF(B34="既設病床",はじめに入力してください!$K$12,IF(B34="新設病床",はじめに入力してください!$K$13,IF(B34="共通使用",1,"")))</f>
        <v/>
      </c>
      <c r="AC34" s="49" t="s">
        <v>69</v>
      </c>
      <c r="AD34" s="231" t="str">
        <f t="shared" si="2"/>
        <v>○</v>
      </c>
      <c r="AE34" s="35" t="str">
        <f t="shared" si="3"/>
        <v>申請しない場合は入力不要です。</v>
      </c>
      <c r="AF34" s="234" t="str">
        <f t="shared" si="4"/>
        <v>○</v>
      </c>
      <c r="AG34" s="234" t="str">
        <f t="shared" si="5"/>
        <v>○</v>
      </c>
      <c r="AH34" s="234" t="str">
        <f t="shared" si="6"/>
        <v>○</v>
      </c>
      <c r="AI34" s="231" t="str">
        <f t="shared" si="7"/>
        <v>○</v>
      </c>
      <c r="AJ34" s="14" t="str">
        <f t="shared" si="8"/>
        <v/>
      </c>
      <c r="AK34" s="52">
        <v>19</v>
      </c>
    </row>
    <row r="35" spans="1:37" ht="24.95" customHeight="1">
      <c r="A35" s="38">
        <v>20</v>
      </c>
      <c r="B35" s="313"/>
      <c r="C35" s="313"/>
      <c r="D35" s="313"/>
      <c r="E35" s="314"/>
      <c r="F35" s="315"/>
      <c r="G35" s="316"/>
      <c r="H35" s="316"/>
      <c r="I35" s="45">
        <f t="shared" si="0"/>
        <v>0</v>
      </c>
      <c r="J35" s="317"/>
      <c r="K35" s="45">
        <f t="shared" si="1"/>
        <v>0</v>
      </c>
      <c r="L35" s="44" t="str">
        <f>IF(AD35="◎",COUNTIF($AD$16:AD35,"◎"),"")</f>
        <v/>
      </c>
      <c r="W35" s="234" t="str">
        <f>IF(B35="既設病床",はじめに入力してください!$K$12,IF(B35="新設病床",はじめに入力してください!$K$13,IF(B35="共通使用",1,"")))</f>
        <v/>
      </c>
      <c r="AC35" s="49" t="s">
        <v>69</v>
      </c>
      <c r="AD35" s="231" t="str">
        <f t="shared" si="2"/>
        <v>○</v>
      </c>
      <c r="AE35" s="35" t="str">
        <f t="shared" si="3"/>
        <v>申請しない場合は入力不要です。</v>
      </c>
      <c r="AF35" s="234" t="str">
        <f t="shared" si="4"/>
        <v>○</v>
      </c>
      <c r="AG35" s="234" t="str">
        <f t="shared" si="5"/>
        <v>○</v>
      </c>
      <c r="AH35" s="234" t="str">
        <f t="shared" si="6"/>
        <v>○</v>
      </c>
      <c r="AI35" s="231" t="str">
        <f t="shared" si="7"/>
        <v>○</v>
      </c>
      <c r="AJ35" s="14" t="str">
        <f t="shared" si="8"/>
        <v/>
      </c>
      <c r="AK35" s="52">
        <v>20</v>
      </c>
    </row>
    <row r="36" spans="1:37" ht="24.95" customHeight="1">
      <c r="A36" s="38">
        <v>21</v>
      </c>
      <c r="B36" s="313"/>
      <c r="C36" s="313"/>
      <c r="D36" s="313"/>
      <c r="E36" s="314"/>
      <c r="F36" s="315"/>
      <c r="G36" s="316"/>
      <c r="H36" s="316"/>
      <c r="I36" s="45">
        <f t="shared" si="0"/>
        <v>0</v>
      </c>
      <c r="J36" s="317"/>
      <c r="K36" s="45">
        <f t="shared" si="1"/>
        <v>0</v>
      </c>
      <c r="L36" s="44" t="str">
        <f>IF(AD36="◎",COUNTIF($AD$16:AD36,"◎"),"")</f>
        <v/>
      </c>
      <c r="W36" s="234" t="str">
        <f>IF(B36="既設病床",はじめに入力してください!$K$12,IF(B36="新設病床",はじめに入力してください!$K$13,IF(B36="共通使用",1,"")))</f>
        <v/>
      </c>
      <c r="AC36" s="49" t="s">
        <v>69</v>
      </c>
      <c r="AD36" s="231" t="str">
        <f t="shared" si="2"/>
        <v>○</v>
      </c>
      <c r="AE36" s="35" t="str">
        <f t="shared" si="3"/>
        <v>申請しない場合は入力不要です。</v>
      </c>
      <c r="AF36" s="234" t="str">
        <f t="shared" si="4"/>
        <v>○</v>
      </c>
      <c r="AG36" s="234" t="str">
        <f t="shared" si="5"/>
        <v>○</v>
      </c>
      <c r="AH36" s="234" t="str">
        <f t="shared" si="6"/>
        <v>○</v>
      </c>
      <c r="AI36" s="231" t="str">
        <f t="shared" si="7"/>
        <v>○</v>
      </c>
      <c r="AJ36" s="14" t="str">
        <f t="shared" si="8"/>
        <v/>
      </c>
      <c r="AK36" s="52">
        <v>21</v>
      </c>
    </row>
    <row r="37" spans="1:37" ht="24.95" customHeight="1">
      <c r="A37" s="38">
        <v>22</v>
      </c>
      <c r="B37" s="313"/>
      <c r="C37" s="313"/>
      <c r="D37" s="313"/>
      <c r="E37" s="314"/>
      <c r="F37" s="315"/>
      <c r="G37" s="316"/>
      <c r="H37" s="316"/>
      <c r="I37" s="45">
        <f t="shared" si="0"/>
        <v>0</v>
      </c>
      <c r="J37" s="317"/>
      <c r="K37" s="45">
        <f t="shared" si="1"/>
        <v>0</v>
      </c>
      <c r="L37" s="44" t="str">
        <f>IF(AD37="◎",COUNTIF($AD$16:AD37,"◎"),"")</f>
        <v/>
      </c>
      <c r="W37" s="234" t="str">
        <f>IF(B37="既設病床",はじめに入力してください!$K$12,IF(B37="新設病床",はじめに入力してください!$K$13,IF(B37="共通使用",1,"")))</f>
        <v/>
      </c>
      <c r="AC37" s="49" t="s">
        <v>69</v>
      </c>
      <c r="AD37" s="231" t="str">
        <f t="shared" si="2"/>
        <v>○</v>
      </c>
      <c r="AE37" s="35" t="str">
        <f t="shared" si="3"/>
        <v>申請しない場合は入力不要です。</v>
      </c>
      <c r="AF37" s="234" t="str">
        <f t="shared" si="4"/>
        <v>○</v>
      </c>
      <c r="AG37" s="234" t="str">
        <f t="shared" si="5"/>
        <v>○</v>
      </c>
      <c r="AH37" s="234" t="str">
        <f t="shared" si="6"/>
        <v>○</v>
      </c>
      <c r="AI37" s="231" t="str">
        <f t="shared" si="7"/>
        <v>○</v>
      </c>
      <c r="AJ37" s="14" t="str">
        <f t="shared" si="8"/>
        <v/>
      </c>
      <c r="AK37" s="52">
        <v>22</v>
      </c>
    </row>
    <row r="38" spans="1:37" ht="24.95" customHeight="1">
      <c r="A38" s="38">
        <v>23</v>
      </c>
      <c r="B38" s="313"/>
      <c r="C38" s="313"/>
      <c r="D38" s="313"/>
      <c r="E38" s="314"/>
      <c r="F38" s="315"/>
      <c r="G38" s="316"/>
      <c r="H38" s="316"/>
      <c r="I38" s="45">
        <f t="shared" si="0"/>
        <v>0</v>
      </c>
      <c r="J38" s="317"/>
      <c r="K38" s="45">
        <f t="shared" si="1"/>
        <v>0</v>
      </c>
      <c r="L38" s="44" t="str">
        <f>IF(AD38="◎",COUNTIF($AD$16:AD38,"◎"),"")</f>
        <v/>
      </c>
      <c r="W38" s="234" t="str">
        <f>IF(B38="既設病床",はじめに入力してください!$K$12,IF(B38="新設病床",はじめに入力してください!$K$13,IF(B38="共通使用",1,"")))</f>
        <v/>
      </c>
      <c r="AC38" s="49" t="s">
        <v>69</v>
      </c>
      <c r="AD38" s="231" t="str">
        <f t="shared" si="2"/>
        <v>○</v>
      </c>
      <c r="AE38" s="35" t="str">
        <f t="shared" si="3"/>
        <v>申請しない場合は入力不要です。</v>
      </c>
      <c r="AF38" s="234" t="str">
        <f t="shared" si="4"/>
        <v>○</v>
      </c>
      <c r="AG38" s="234" t="str">
        <f t="shared" si="5"/>
        <v>○</v>
      </c>
      <c r="AH38" s="234" t="str">
        <f t="shared" si="6"/>
        <v>○</v>
      </c>
      <c r="AI38" s="231" t="str">
        <f t="shared" si="7"/>
        <v>○</v>
      </c>
      <c r="AJ38" s="14" t="str">
        <f t="shared" si="8"/>
        <v/>
      </c>
      <c r="AK38" s="52">
        <v>23</v>
      </c>
    </row>
    <row r="39" spans="1:37" ht="24.95" customHeight="1">
      <c r="A39" s="38">
        <v>24</v>
      </c>
      <c r="B39" s="313"/>
      <c r="C39" s="313"/>
      <c r="D39" s="313"/>
      <c r="E39" s="314"/>
      <c r="F39" s="315"/>
      <c r="G39" s="316"/>
      <c r="H39" s="316"/>
      <c r="I39" s="45">
        <f t="shared" si="0"/>
        <v>0</v>
      </c>
      <c r="J39" s="317"/>
      <c r="K39" s="45">
        <f t="shared" si="1"/>
        <v>0</v>
      </c>
      <c r="L39" s="44" t="str">
        <f>IF(AD39="◎",COUNTIF($AD$16:AD39,"◎"),"")</f>
        <v/>
      </c>
      <c r="W39" s="234" t="str">
        <f>IF(B39="既設病床",はじめに入力してください!$K$12,IF(B39="新設病床",はじめに入力してください!$K$13,IF(B39="共通使用",1,"")))</f>
        <v/>
      </c>
      <c r="AC39" s="49" t="s">
        <v>69</v>
      </c>
      <c r="AD39" s="231" t="str">
        <f t="shared" si="2"/>
        <v>○</v>
      </c>
      <c r="AE39" s="35" t="str">
        <f t="shared" si="3"/>
        <v>申請しない場合は入力不要です。</v>
      </c>
      <c r="AF39" s="234" t="str">
        <f t="shared" si="4"/>
        <v>○</v>
      </c>
      <c r="AG39" s="234" t="str">
        <f t="shared" si="5"/>
        <v>○</v>
      </c>
      <c r="AH39" s="234" t="str">
        <f t="shared" si="6"/>
        <v>○</v>
      </c>
      <c r="AI39" s="231" t="str">
        <f t="shared" si="7"/>
        <v>○</v>
      </c>
      <c r="AJ39" s="14" t="str">
        <f t="shared" si="8"/>
        <v/>
      </c>
      <c r="AK39" s="52">
        <v>24</v>
      </c>
    </row>
    <row r="40" spans="1:37" ht="24.95" customHeight="1">
      <c r="A40" s="38">
        <v>25</v>
      </c>
      <c r="B40" s="313"/>
      <c r="C40" s="313"/>
      <c r="D40" s="313"/>
      <c r="E40" s="314"/>
      <c r="F40" s="315"/>
      <c r="G40" s="316"/>
      <c r="H40" s="316"/>
      <c r="I40" s="45">
        <f t="shared" si="0"/>
        <v>0</v>
      </c>
      <c r="J40" s="317"/>
      <c r="K40" s="45">
        <f t="shared" si="1"/>
        <v>0</v>
      </c>
      <c r="L40" s="44" t="str">
        <f>IF(AD40="◎",COUNTIF($AD$16:AD40,"◎"),"")</f>
        <v/>
      </c>
      <c r="W40" s="234" t="str">
        <f>IF(B40="既設病床",はじめに入力してください!$K$12,IF(B40="新設病床",はじめに入力してください!$K$13,IF(B40="共通使用",1,"")))</f>
        <v/>
      </c>
      <c r="AC40" s="49" t="s">
        <v>69</v>
      </c>
      <c r="AD40" s="231" t="str">
        <f t="shared" si="2"/>
        <v>○</v>
      </c>
      <c r="AE40" s="35" t="str">
        <f t="shared" si="3"/>
        <v>申請しない場合は入力不要です。</v>
      </c>
      <c r="AF40" s="234" t="str">
        <f t="shared" si="4"/>
        <v>○</v>
      </c>
      <c r="AG40" s="234" t="str">
        <f t="shared" si="5"/>
        <v>○</v>
      </c>
      <c r="AH40" s="234" t="str">
        <f t="shared" si="6"/>
        <v>○</v>
      </c>
      <c r="AI40" s="231" t="str">
        <f t="shared" si="7"/>
        <v>○</v>
      </c>
      <c r="AJ40" s="14" t="str">
        <f t="shared" si="8"/>
        <v/>
      </c>
      <c r="AK40" s="52">
        <v>25</v>
      </c>
    </row>
    <row r="41" spans="1:37" ht="24.95" customHeight="1">
      <c r="A41" s="38">
        <v>26</v>
      </c>
      <c r="B41" s="313"/>
      <c r="C41" s="313"/>
      <c r="D41" s="313"/>
      <c r="E41" s="314"/>
      <c r="F41" s="315"/>
      <c r="G41" s="316"/>
      <c r="H41" s="316"/>
      <c r="I41" s="45">
        <f t="shared" si="0"/>
        <v>0</v>
      </c>
      <c r="J41" s="317"/>
      <c r="K41" s="45">
        <f t="shared" si="1"/>
        <v>0</v>
      </c>
      <c r="L41" s="44" t="str">
        <f>IF(AD41="◎",COUNTIF($AD$16:AD41,"◎"),"")</f>
        <v/>
      </c>
      <c r="W41" s="234" t="str">
        <f>IF(B41="既設病床",はじめに入力してください!$K$12,IF(B41="新設病床",はじめに入力してください!$K$13,IF(B41="共通使用",1,"")))</f>
        <v/>
      </c>
      <c r="AC41" s="49" t="s">
        <v>69</v>
      </c>
      <c r="AD41" s="231" t="str">
        <f t="shared" si="2"/>
        <v>○</v>
      </c>
      <c r="AE41" s="35" t="str">
        <f t="shared" si="3"/>
        <v>申請しない場合は入力不要です。</v>
      </c>
      <c r="AF41" s="234" t="str">
        <f t="shared" si="4"/>
        <v>○</v>
      </c>
      <c r="AG41" s="234" t="str">
        <f t="shared" si="5"/>
        <v>○</v>
      </c>
      <c r="AH41" s="234" t="str">
        <f t="shared" si="6"/>
        <v>○</v>
      </c>
      <c r="AI41" s="231" t="str">
        <f t="shared" si="7"/>
        <v>○</v>
      </c>
      <c r="AJ41" s="14" t="str">
        <f t="shared" si="8"/>
        <v/>
      </c>
      <c r="AK41" s="52">
        <v>26</v>
      </c>
    </row>
    <row r="42" spans="1:37" ht="24.95" customHeight="1">
      <c r="A42" s="38">
        <v>27</v>
      </c>
      <c r="B42" s="313"/>
      <c r="C42" s="313"/>
      <c r="D42" s="313"/>
      <c r="E42" s="314"/>
      <c r="F42" s="315"/>
      <c r="G42" s="316"/>
      <c r="H42" s="316"/>
      <c r="I42" s="45">
        <f t="shared" si="0"/>
        <v>0</v>
      </c>
      <c r="J42" s="317"/>
      <c r="K42" s="45">
        <f t="shared" si="1"/>
        <v>0</v>
      </c>
      <c r="L42" s="44" t="str">
        <f>IF(AD42="◎",COUNTIF($AD$16:AD42,"◎"),"")</f>
        <v/>
      </c>
      <c r="W42" s="234" t="str">
        <f>IF(B42="既設病床",はじめに入力してください!$K$12,IF(B42="新設病床",はじめに入力してください!$K$13,IF(B42="共通使用",1,"")))</f>
        <v/>
      </c>
      <c r="AC42" s="49" t="s">
        <v>69</v>
      </c>
      <c r="AD42" s="231" t="str">
        <f t="shared" si="2"/>
        <v>○</v>
      </c>
      <c r="AE42" s="35" t="str">
        <f t="shared" si="3"/>
        <v>申請しない場合は入力不要です。</v>
      </c>
      <c r="AF42" s="234" t="str">
        <f t="shared" si="4"/>
        <v>○</v>
      </c>
      <c r="AG42" s="234" t="str">
        <f t="shared" si="5"/>
        <v>○</v>
      </c>
      <c r="AH42" s="234" t="str">
        <f t="shared" si="6"/>
        <v>○</v>
      </c>
      <c r="AI42" s="231" t="str">
        <f t="shared" si="7"/>
        <v>○</v>
      </c>
      <c r="AJ42" s="14" t="str">
        <f t="shared" si="8"/>
        <v/>
      </c>
      <c r="AK42" s="52">
        <v>27</v>
      </c>
    </row>
    <row r="43" spans="1:37" ht="24.95" customHeight="1">
      <c r="A43" s="38">
        <v>28</v>
      </c>
      <c r="B43" s="313"/>
      <c r="C43" s="313"/>
      <c r="D43" s="313"/>
      <c r="E43" s="314"/>
      <c r="F43" s="315"/>
      <c r="G43" s="316"/>
      <c r="H43" s="316"/>
      <c r="I43" s="45">
        <f t="shared" si="0"/>
        <v>0</v>
      </c>
      <c r="J43" s="317"/>
      <c r="K43" s="45">
        <f t="shared" si="1"/>
        <v>0</v>
      </c>
      <c r="L43" s="44" t="str">
        <f>IF(AD43="◎",COUNTIF($AD$16:AD43,"◎"),"")</f>
        <v/>
      </c>
      <c r="W43" s="234" t="str">
        <f>IF(B43="既設病床",はじめに入力してください!$K$12,IF(B43="新設病床",はじめに入力してください!$K$13,IF(B43="共通使用",1,"")))</f>
        <v/>
      </c>
      <c r="AC43" s="49" t="s">
        <v>69</v>
      </c>
      <c r="AD43" s="231" t="str">
        <f t="shared" si="2"/>
        <v>○</v>
      </c>
      <c r="AE43" s="35" t="str">
        <f t="shared" si="3"/>
        <v>申請しない場合は入力不要です。</v>
      </c>
      <c r="AF43" s="234" t="str">
        <f t="shared" si="4"/>
        <v>○</v>
      </c>
      <c r="AG43" s="234" t="str">
        <f t="shared" si="5"/>
        <v>○</v>
      </c>
      <c r="AH43" s="234" t="str">
        <f t="shared" si="6"/>
        <v>○</v>
      </c>
      <c r="AI43" s="231" t="str">
        <f t="shared" si="7"/>
        <v>○</v>
      </c>
      <c r="AJ43" s="14" t="str">
        <f t="shared" si="8"/>
        <v/>
      </c>
      <c r="AK43" s="52">
        <v>28</v>
      </c>
    </row>
    <row r="44" spans="1:37" ht="24.95" customHeight="1">
      <c r="A44" s="38">
        <v>29</v>
      </c>
      <c r="B44" s="313"/>
      <c r="C44" s="313"/>
      <c r="D44" s="313"/>
      <c r="E44" s="314"/>
      <c r="F44" s="315"/>
      <c r="G44" s="316"/>
      <c r="H44" s="316"/>
      <c r="I44" s="45">
        <f t="shared" si="0"/>
        <v>0</v>
      </c>
      <c r="J44" s="317"/>
      <c r="K44" s="45">
        <f t="shared" si="1"/>
        <v>0</v>
      </c>
      <c r="L44" s="44" t="str">
        <f>IF(AD44="◎",COUNTIF($AD$16:AD44,"◎"),"")</f>
        <v/>
      </c>
      <c r="W44" s="234" t="str">
        <f>IF(B44="既設病床",はじめに入力してください!$K$12,IF(B44="新設病床",はじめに入力してください!$K$13,IF(B44="共通使用",1,"")))</f>
        <v/>
      </c>
      <c r="AC44" s="49" t="s">
        <v>69</v>
      </c>
      <c r="AD44" s="231" t="str">
        <f t="shared" si="2"/>
        <v>○</v>
      </c>
      <c r="AE44" s="35" t="str">
        <f t="shared" si="3"/>
        <v>申請しない場合は入力不要です。</v>
      </c>
      <c r="AF44" s="234" t="str">
        <f t="shared" si="4"/>
        <v>○</v>
      </c>
      <c r="AG44" s="234" t="str">
        <f t="shared" si="5"/>
        <v>○</v>
      </c>
      <c r="AH44" s="234" t="str">
        <f t="shared" si="6"/>
        <v>○</v>
      </c>
      <c r="AI44" s="231" t="str">
        <f t="shared" si="7"/>
        <v>○</v>
      </c>
      <c r="AJ44" s="14" t="str">
        <f t="shared" si="8"/>
        <v/>
      </c>
      <c r="AK44" s="52">
        <v>29</v>
      </c>
    </row>
    <row r="45" spans="1:37" ht="24.95" customHeight="1">
      <c r="A45" s="38">
        <v>30</v>
      </c>
      <c r="B45" s="313"/>
      <c r="C45" s="313"/>
      <c r="D45" s="313"/>
      <c r="E45" s="314"/>
      <c r="F45" s="315"/>
      <c r="G45" s="316"/>
      <c r="H45" s="316"/>
      <c r="I45" s="45">
        <f t="shared" si="0"/>
        <v>0</v>
      </c>
      <c r="J45" s="317"/>
      <c r="K45" s="45">
        <f t="shared" si="1"/>
        <v>0</v>
      </c>
      <c r="L45" s="44" t="str">
        <f>IF(AD45="◎",COUNTIF($AD$16:AD45,"◎"),"")</f>
        <v/>
      </c>
      <c r="W45" s="234" t="str">
        <f>IF(B45="既設病床",はじめに入力してください!$K$12,IF(B45="新設病床",はじめに入力してください!$K$13,IF(B45="共通使用",1,"")))</f>
        <v/>
      </c>
      <c r="AC45" s="49" t="s">
        <v>69</v>
      </c>
      <c r="AD45" s="231" t="str">
        <f t="shared" si="2"/>
        <v>○</v>
      </c>
      <c r="AE45" s="35" t="str">
        <f t="shared" si="3"/>
        <v>申請しない場合は入力不要です。</v>
      </c>
      <c r="AF45" s="234" t="str">
        <f t="shared" si="4"/>
        <v>○</v>
      </c>
      <c r="AG45" s="234" t="str">
        <f t="shared" si="5"/>
        <v>○</v>
      </c>
      <c r="AH45" s="234" t="str">
        <f t="shared" si="6"/>
        <v>○</v>
      </c>
      <c r="AI45" s="231" t="str">
        <f t="shared" si="7"/>
        <v>○</v>
      </c>
      <c r="AJ45" s="14" t="str">
        <f t="shared" si="8"/>
        <v/>
      </c>
      <c r="AK45" s="52">
        <v>30</v>
      </c>
    </row>
    <row r="46" spans="1:37" ht="24.95" customHeight="1">
      <c r="A46" s="38">
        <v>31</v>
      </c>
      <c r="B46" s="313"/>
      <c r="C46" s="313"/>
      <c r="D46" s="313"/>
      <c r="E46" s="314"/>
      <c r="F46" s="315"/>
      <c r="G46" s="316"/>
      <c r="H46" s="316"/>
      <c r="I46" s="45">
        <f t="shared" si="0"/>
        <v>0</v>
      </c>
      <c r="J46" s="317"/>
      <c r="K46" s="45">
        <f t="shared" si="1"/>
        <v>0</v>
      </c>
      <c r="L46" s="44" t="str">
        <f>IF(AD46="◎",COUNTIF($AD$16:AD46,"◎"),"")</f>
        <v/>
      </c>
      <c r="W46" s="234" t="str">
        <f>IF(B46="既設病床",はじめに入力してください!$K$12,IF(B46="新設病床",はじめに入力してください!$K$13,IF(B46="共通使用",1,"")))</f>
        <v/>
      </c>
      <c r="AC46" s="49" t="s">
        <v>69</v>
      </c>
      <c r="AD46" s="231" t="str">
        <f t="shared" si="2"/>
        <v>○</v>
      </c>
      <c r="AE46" s="35" t="str">
        <f t="shared" si="3"/>
        <v>申請しない場合は入力不要です。</v>
      </c>
      <c r="AF46" s="234" t="str">
        <f t="shared" si="4"/>
        <v>○</v>
      </c>
      <c r="AG46" s="234" t="str">
        <f t="shared" si="5"/>
        <v>○</v>
      </c>
      <c r="AH46" s="234" t="str">
        <f t="shared" si="6"/>
        <v>○</v>
      </c>
      <c r="AI46" s="231" t="str">
        <f t="shared" si="7"/>
        <v>○</v>
      </c>
      <c r="AJ46" s="14" t="str">
        <f t="shared" si="8"/>
        <v/>
      </c>
      <c r="AK46" s="52">
        <v>31</v>
      </c>
    </row>
    <row r="47" spans="1:37" ht="24.95" customHeight="1">
      <c r="A47" s="38">
        <v>32</v>
      </c>
      <c r="B47" s="313"/>
      <c r="C47" s="313"/>
      <c r="D47" s="313"/>
      <c r="E47" s="314"/>
      <c r="F47" s="315"/>
      <c r="G47" s="316"/>
      <c r="H47" s="316"/>
      <c r="I47" s="45">
        <f t="shared" si="0"/>
        <v>0</v>
      </c>
      <c r="J47" s="317"/>
      <c r="K47" s="45">
        <f t="shared" si="1"/>
        <v>0</v>
      </c>
      <c r="L47" s="44" t="str">
        <f>IF(AD47="◎",COUNTIF($AD$16:AD47,"◎"),"")</f>
        <v/>
      </c>
      <c r="W47" s="234" t="str">
        <f>IF(B47="既設病床",はじめに入力してください!$K$12,IF(B47="新設病床",はじめに入力してください!$K$13,IF(B47="共通使用",1,"")))</f>
        <v/>
      </c>
      <c r="AC47" s="49" t="s">
        <v>69</v>
      </c>
      <c r="AD47" s="231" t="str">
        <f t="shared" si="2"/>
        <v>○</v>
      </c>
      <c r="AE47" s="35" t="str">
        <f t="shared" si="3"/>
        <v>申請しない場合は入力不要です。</v>
      </c>
      <c r="AF47" s="234" t="str">
        <f t="shared" si="4"/>
        <v>○</v>
      </c>
      <c r="AG47" s="234" t="str">
        <f t="shared" si="5"/>
        <v>○</v>
      </c>
      <c r="AH47" s="234" t="str">
        <f t="shared" si="6"/>
        <v>○</v>
      </c>
      <c r="AI47" s="231" t="str">
        <f t="shared" si="7"/>
        <v>○</v>
      </c>
      <c r="AJ47" s="14" t="str">
        <f t="shared" si="8"/>
        <v/>
      </c>
      <c r="AK47" s="52">
        <v>32</v>
      </c>
    </row>
    <row r="48" spans="1:37" ht="24.95" customHeight="1">
      <c r="A48" s="38">
        <v>33</v>
      </c>
      <c r="B48" s="313"/>
      <c r="C48" s="313"/>
      <c r="D48" s="313"/>
      <c r="E48" s="314"/>
      <c r="F48" s="315"/>
      <c r="G48" s="316"/>
      <c r="H48" s="316"/>
      <c r="I48" s="45">
        <f t="shared" si="0"/>
        <v>0</v>
      </c>
      <c r="J48" s="317"/>
      <c r="K48" s="45">
        <f t="shared" si="1"/>
        <v>0</v>
      </c>
      <c r="L48" s="44" t="str">
        <f>IF(AD48="◎",COUNTIF($AD$16:AD48,"◎"),"")</f>
        <v/>
      </c>
      <c r="W48" s="234" t="str">
        <f>IF(B48="既設病床",はじめに入力してください!$K$12,IF(B48="新設病床",はじめに入力してください!$K$13,IF(B48="共通使用",1,"")))</f>
        <v/>
      </c>
      <c r="AC48" s="49" t="s">
        <v>69</v>
      </c>
      <c r="AD48" s="231" t="str">
        <f t="shared" si="2"/>
        <v>○</v>
      </c>
      <c r="AE48" s="35" t="str">
        <f t="shared" si="3"/>
        <v>申請しない場合は入力不要です。</v>
      </c>
      <c r="AF48" s="234" t="str">
        <f t="shared" si="4"/>
        <v>○</v>
      </c>
      <c r="AG48" s="234" t="str">
        <f t="shared" si="5"/>
        <v>○</v>
      </c>
      <c r="AH48" s="234" t="str">
        <f t="shared" si="6"/>
        <v>○</v>
      </c>
      <c r="AI48" s="231" t="str">
        <f t="shared" si="7"/>
        <v>○</v>
      </c>
      <c r="AJ48" s="14" t="str">
        <f t="shared" si="8"/>
        <v/>
      </c>
      <c r="AK48" s="52">
        <v>33</v>
      </c>
    </row>
    <row r="49" spans="1:37" ht="24.95" customHeight="1">
      <c r="A49" s="38">
        <v>34</v>
      </c>
      <c r="B49" s="313"/>
      <c r="C49" s="313"/>
      <c r="D49" s="313"/>
      <c r="E49" s="314"/>
      <c r="F49" s="315"/>
      <c r="G49" s="316"/>
      <c r="H49" s="316"/>
      <c r="I49" s="45">
        <f t="shared" si="0"/>
        <v>0</v>
      </c>
      <c r="J49" s="317"/>
      <c r="K49" s="45">
        <f t="shared" si="1"/>
        <v>0</v>
      </c>
      <c r="L49" s="44" t="str">
        <f>IF(AD49="◎",COUNTIF($AD$16:AD49,"◎"),"")</f>
        <v/>
      </c>
      <c r="W49" s="234" t="str">
        <f>IF(B49="既設病床",はじめに入力してください!$K$12,IF(B49="新設病床",はじめに入力してください!$K$13,IF(B49="共通使用",1,"")))</f>
        <v/>
      </c>
      <c r="AC49" s="49" t="s">
        <v>69</v>
      </c>
      <c r="AD49" s="231" t="str">
        <f t="shared" si="2"/>
        <v>○</v>
      </c>
      <c r="AE49" s="35" t="str">
        <f t="shared" si="3"/>
        <v>申請しない場合は入力不要です。</v>
      </c>
      <c r="AF49" s="234" t="str">
        <f t="shared" si="4"/>
        <v>○</v>
      </c>
      <c r="AG49" s="234" t="str">
        <f t="shared" si="5"/>
        <v>○</v>
      </c>
      <c r="AH49" s="234" t="str">
        <f t="shared" si="6"/>
        <v>○</v>
      </c>
      <c r="AI49" s="231" t="str">
        <f t="shared" si="7"/>
        <v>○</v>
      </c>
      <c r="AJ49" s="14" t="str">
        <f t="shared" si="8"/>
        <v/>
      </c>
      <c r="AK49" s="52">
        <v>34</v>
      </c>
    </row>
    <row r="50" spans="1:37" ht="24.95" customHeight="1">
      <c r="A50" s="38">
        <v>35</v>
      </c>
      <c r="B50" s="313"/>
      <c r="C50" s="313"/>
      <c r="D50" s="313"/>
      <c r="E50" s="314"/>
      <c r="F50" s="315"/>
      <c r="G50" s="316"/>
      <c r="H50" s="316"/>
      <c r="I50" s="45">
        <f t="shared" si="0"/>
        <v>0</v>
      </c>
      <c r="J50" s="317"/>
      <c r="K50" s="45">
        <f t="shared" si="1"/>
        <v>0</v>
      </c>
      <c r="L50" s="44" t="str">
        <f>IF(AD50="◎",COUNTIF($AD$16:AD50,"◎"),"")</f>
        <v/>
      </c>
      <c r="W50" s="234" t="str">
        <f>IF(B50="既設病床",はじめに入力してください!$K$12,IF(B50="新設病床",はじめに入力してください!$K$13,IF(B50="共通使用",1,"")))</f>
        <v/>
      </c>
      <c r="AC50" s="49" t="s">
        <v>69</v>
      </c>
      <c r="AD50" s="231" t="str">
        <f t="shared" si="2"/>
        <v>○</v>
      </c>
      <c r="AE50" s="35" t="str">
        <f t="shared" si="3"/>
        <v>申請しない場合は入力不要です。</v>
      </c>
      <c r="AF50" s="234" t="str">
        <f t="shared" si="4"/>
        <v>○</v>
      </c>
      <c r="AG50" s="234" t="str">
        <f t="shared" si="5"/>
        <v>○</v>
      </c>
      <c r="AH50" s="234" t="str">
        <f t="shared" si="6"/>
        <v>○</v>
      </c>
      <c r="AI50" s="231" t="str">
        <f t="shared" si="7"/>
        <v>○</v>
      </c>
      <c r="AJ50" s="14" t="str">
        <f t="shared" si="8"/>
        <v/>
      </c>
      <c r="AK50" s="52">
        <v>35</v>
      </c>
    </row>
  </sheetData>
  <sheetProtection algorithmName="SHA-512" hashValue="/ayiplJ+X+Lp1zgbsR15dVp6d/hOeSi0eJwqRqetXa33EDYrXMa3DbysxRSrqGFejxNZECs4jgjSxJ5y6SBPpw==" saltValue="fMHmQP5nl0ApvqO6tw63rg==" spinCount="100000" sheet="1" insertRows="0"/>
  <mergeCells count="29">
    <mergeCell ref="AD7:AD13"/>
    <mergeCell ref="AE7:AG13"/>
    <mergeCell ref="B8:L8"/>
    <mergeCell ref="B9:C9"/>
    <mergeCell ref="H9:I9"/>
    <mergeCell ref="K9:L9"/>
    <mergeCell ref="B10:C10"/>
    <mergeCell ref="H10:I11"/>
    <mergeCell ref="K10:L11"/>
    <mergeCell ref="B11:C11"/>
    <mergeCell ref="B13:L13"/>
    <mergeCell ref="J10:J11"/>
    <mergeCell ref="F2:G2"/>
    <mergeCell ref="H2:L2"/>
    <mergeCell ref="B3:L6"/>
    <mergeCell ref="AD5:AD6"/>
    <mergeCell ref="AE5:AG6"/>
    <mergeCell ref="B14:D14"/>
    <mergeCell ref="E14:F14"/>
    <mergeCell ref="G14:J14"/>
    <mergeCell ref="K14:K15"/>
    <mergeCell ref="L14:L15"/>
    <mergeCell ref="AY18:BC18"/>
    <mergeCell ref="BD18:BH18"/>
    <mergeCell ref="BS18:BW20"/>
    <mergeCell ref="AY19:BC23"/>
    <mergeCell ref="BD19:BH23"/>
    <mergeCell ref="BQ19:BQ20"/>
    <mergeCell ref="BR19:BR20"/>
  </mergeCells>
  <phoneticPr fontId="1"/>
  <conditionalFormatting sqref="AY19">
    <cfRule type="containsText" dxfId="9" priority="12" operator="containsText" text="（補助対象員数）">
      <formula>NOT(ISERROR(SEARCH("（補助対象員数）",AY19)))</formula>
    </cfRule>
  </conditionalFormatting>
  <conditionalFormatting sqref="BD19:BG23">
    <cfRule type="containsText" dxfId="8" priority="9" operator="containsText" text="要修正">
      <formula>NOT(ISERROR(SEARCH("要修正",BD19)))</formula>
    </cfRule>
  </conditionalFormatting>
  <conditionalFormatting sqref="AY19:BC23">
    <cfRule type="containsText" dxfId="7" priority="8" operator="containsText" text="【未入力有】">
      <formula>NOT(ISERROR(SEARCH("【未入力有】",AY19)))</formula>
    </cfRule>
  </conditionalFormatting>
  <conditionalFormatting sqref="BP19:BQ20">
    <cfRule type="containsText" dxfId="6" priority="7" operator="containsText" text="×">
      <formula>NOT(ISERROR(SEARCH("×",BP19)))</formula>
    </cfRule>
  </conditionalFormatting>
  <conditionalFormatting sqref="BR19:BR20">
    <cfRule type="containsText" dxfId="5" priority="6" operator="containsText" text="要修正">
      <formula>NOT(ISERROR(SEARCH("要修正",BR19)))</formula>
    </cfRule>
  </conditionalFormatting>
  <conditionalFormatting sqref="AD7:AD13">
    <cfRule type="containsText" dxfId="4" priority="5" operator="containsText" text="×">
      <formula>NOT(ISERROR(SEARCH("×",AD7)))</formula>
    </cfRule>
  </conditionalFormatting>
  <conditionalFormatting sqref="AE7:AE13">
    <cfRule type="containsText" dxfId="3" priority="4" operator="containsText" text="要修正">
      <formula>NOT(ISERROR(SEARCH("要修正",AE7)))</formula>
    </cfRule>
  </conditionalFormatting>
  <conditionalFormatting sqref="AF16:AF50">
    <cfRule type="containsText" dxfId="2" priority="3" operator="containsText" text="【不備の点】">
      <formula>NOT(ISERROR(SEARCH("【不備の点】",AF16)))</formula>
    </cfRule>
  </conditionalFormatting>
  <conditionalFormatting sqref="AE16:AE50">
    <cfRule type="containsText" dxfId="1" priority="2" operator="containsText" text="【不備の点】">
      <formula>NOT(ISERROR(SEARCH("【不備の点】",AE16)))</formula>
    </cfRule>
  </conditionalFormatting>
  <conditionalFormatting sqref="AD16:AD50">
    <cfRule type="containsText" dxfId="0" priority="1" operator="containsText" text="×">
      <formula>NOT(ISERROR(SEARCH("×",AD16)))</formula>
    </cfRule>
  </conditionalFormatting>
  <dataValidations xWindow="182" yWindow="537" count="8">
    <dataValidation type="list" allowBlank="1" showInputMessage="1" showErrorMessage="1" promptTitle="補助対象の該当非該当" prompt="新生児モニタの設備整備に係る経費が対象となります。_x000a_医療用消耗品等のランニングコストといった新生児自体の整備と直接に関係しないものは補助対象外なので「対象外」を選択してください。_x000a_審査において確認、対象外と認めたものについては対象外として補正をお願いする場合があります。" sqref="J16:J50">
      <formula1>"補助対象,補助対象外"</formula1>
    </dataValidation>
    <dataValidation allowBlank="1" showInputMessage="1" showErrorMessage="1" promptTitle="金額の表示" prompt="数式が入力されているため、自動計算されます。" sqref="K16:K50 I16:I50"/>
    <dataValidation allowBlank="1" showInputMessage="1" showErrorMessage="1" promptTitle="添付書類番号" prompt="種類、規格、数量、単価が全て適切に入力され、右の「判定」が「◎」と表示されると自動で番号が表示されます。" sqref="L16:L50"/>
    <dataValidation allowBlank="1" showInputMessage="1" showErrorMessage="1" promptTitle="単価の入力" prompt="税抜額または税込額のいずれかを入力してください。_x000a_入力しない方は「0」は入力せず、空欄としてください。" sqref="G16:H50"/>
    <dataValidation allowBlank="1" showInputMessage="1" showErrorMessage="1" promptTitle="規格及び数量の入力" prompt="補助対象経費を計上する際、いずれも入力してください。" sqref="E16:F50"/>
    <dataValidation type="list" allowBlank="1" showInputMessage="1" showErrorMessage="1" promptTitle="装置、付属備品の別を選択" prompt="当該行に記載する品目が_x000a_・「装置」_x000a_・「付帯備品」（加温加湿器等）_x000a_の別をプルダウンから選択してください。" sqref="D16:D50">
      <formula1>"装置,付属備品"</formula1>
    </dataValidation>
    <dataValidation allowBlank="1" showInputMessage="1" showErrorMessage="1" promptTitle="補助対象金額" prompt="見積書金額×（見積書金額-割引額）/見積書金額_x000a_で算出されます。" sqref="K10:L11"/>
    <dataValidation allowBlank="1" showInputMessage="1" showErrorMessage="1" promptTitle="割引額がある場合は入力" prompt="割引がない場合は「0円」のままとしてください。" sqref="J10:J11"/>
  </dataValidations>
  <printOptions horizontalCentered="1"/>
  <pageMargins left="0.59055118110236227" right="0.39370078740157483" top="0.39370078740157483" bottom="0.39370078740157483" header="0.31496062992125984" footer="0.31496062992125984"/>
  <pageSetup paperSize="9" scale="53" fitToWidth="0" orientation="portrait" r:id="rId1"/>
  <drawing r:id="rId2"/>
  <legacyDrawing r:id="rId3"/>
  <extLst>
    <ext xmlns:x14="http://schemas.microsoft.com/office/spreadsheetml/2009/9/main" uri="{CCE6A557-97BC-4b89-ADB6-D9C93CAAB3DF}">
      <x14:dataValidations xmlns:xm="http://schemas.microsoft.com/office/excel/2006/main" xWindow="182" yWindow="537" count="2">
        <x14:dataValidation type="list" allowBlank="1" showInputMessage="1" showErrorMessage="1" promptTitle="配備する病床の「新設」「既設」の別を選択" prompt="ベッドに必ずしも紐付けるものではありませんが、１病床１台で紐付けした場合、配備する病床が_x000a_・令和３年度までにコロナ対応病床として指定済のものか_x000a_・令和４年度に指定を受けた・指定予定か_x000a_いずれかを選択してください。">
          <x14:formula1>
            <xm:f>はじめに入力してください!$AO$41:$AO$43</xm:f>
          </x14:formula1>
          <xm:sqref>B16:B50</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不足する病床に番号付けをした場合の番号を選択してください。_x000a_（例）_x000a_　既存の設備２台_x000a_　既設病床２床、新設病床３床の場合_x000a_→既存の設備２台は、既設病床１～２に配備_x000a_　３台申請する場合は「新設病床１」～「新設病床３」を選択して品目等必要情報を入力">
          <x14:formula1>
            <xm:f>OFFSET( はじめに入力してください!$AO$41, 0, MATCH(B16,はじめに入力してください!$AP$40:$AR$40,0), COUNTA(OFFSET(はじめに入力してください!$AO$41,0,MATCH(B16,はじめに入力してください!$AP$40:$AR$40,0),W16,1)),1)</xm:f>
          </x14:formula1>
          <xm:sqref>C16:C50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EB134"/>
  <sheetViews>
    <sheetView view="pageBreakPreview" zoomScale="60" zoomScaleNormal="90" workbookViewId="0">
      <pane xSplit="2" ySplit="2" topLeftCell="AV21" activePane="bottomRight" state="frozen"/>
      <selection pane="topRight" activeCell="C1" sqref="C1"/>
      <selection pane="bottomLeft" activeCell="A3" sqref="A3"/>
      <selection pane="bottomRight" activeCell="BL35" sqref="BL35"/>
    </sheetView>
  </sheetViews>
  <sheetFormatPr defaultRowHeight="18.75"/>
  <cols>
    <col min="1" max="1" width="3.625" customWidth="1"/>
    <col min="123" max="125" width="5.625" customWidth="1"/>
    <col min="126" max="128" width="9" style="17"/>
  </cols>
  <sheetData>
    <row r="1" spans="1:128">
      <c r="A1" s="17"/>
      <c r="B1" s="17"/>
      <c r="C1" s="17" t="s">
        <v>636</v>
      </c>
      <c r="D1" s="17"/>
      <c r="E1" s="17"/>
      <c r="F1" s="17"/>
      <c r="G1" s="17"/>
      <c r="H1" s="17"/>
      <c r="I1" s="17"/>
      <c r="J1" s="17"/>
      <c r="K1" s="17" t="s">
        <v>637</v>
      </c>
      <c r="L1" s="17"/>
      <c r="M1" s="17"/>
      <c r="N1" s="17"/>
      <c r="O1" s="17"/>
      <c r="P1" s="17"/>
      <c r="Q1" s="17"/>
      <c r="R1" s="17"/>
      <c r="S1" s="17" t="s">
        <v>638</v>
      </c>
      <c r="T1" s="17"/>
      <c r="U1" s="17"/>
      <c r="V1" s="17"/>
      <c r="W1" s="17"/>
      <c r="X1" s="17"/>
      <c r="Y1" s="17"/>
      <c r="Z1" s="17"/>
      <c r="AA1" s="17" t="s">
        <v>639</v>
      </c>
      <c r="AB1" s="17"/>
      <c r="AC1" s="17"/>
      <c r="AD1" s="17"/>
      <c r="AE1" s="17"/>
      <c r="AF1" s="17"/>
      <c r="AG1" s="17"/>
      <c r="AH1" s="17"/>
      <c r="AI1" s="17" t="s">
        <v>640</v>
      </c>
      <c r="AJ1" s="17"/>
      <c r="AK1" s="17"/>
      <c r="AL1" s="17"/>
      <c r="AM1" s="17"/>
      <c r="AN1" s="17"/>
      <c r="AO1" s="17"/>
      <c r="AP1" s="17"/>
      <c r="AQ1" s="17" t="s">
        <v>641</v>
      </c>
      <c r="AR1" s="17"/>
      <c r="AS1" s="17"/>
      <c r="AT1" s="17"/>
      <c r="AU1" s="17"/>
      <c r="AV1" s="17"/>
      <c r="AW1" s="17"/>
      <c r="AX1" s="17"/>
      <c r="AY1" s="17" t="s">
        <v>642</v>
      </c>
      <c r="AZ1" s="17"/>
      <c r="BA1" s="17"/>
      <c r="BB1" s="17"/>
      <c r="BC1" s="17"/>
      <c r="BD1" s="17"/>
      <c r="BE1" s="17"/>
      <c r="BF1" s="17"/>
      <c r="BG1" s="17" t="s">
        <v>643</v>
      </c>
      <c r="BH1" s="17"/>
      <c r="BI1" s="17"/>
      <c r="BJ1" s="17"/>
      <c r="BK1" s="17"/>
      <c r="BL1" s="17"/>
      <c r="BM1" s="17"/>
      <c r="BN1" s="17"/>
      <c r="BO1" s="17" t="s">
        <v>644</v>
      </c>
      <c r="BP1" s="17"/>
      <c r="BQ1" s="17"/>
      <c r="BR1" s="17"/>
      <c r="BS1" s="17"/>
      <c r="BT1" s="17"/>
      <c r="BU1" s="17"/>
      <c r="BV1" s="17"/>
      <c r="BW1" s="17" t="s">
        <v>645</v>
      </c>
      <c r="BX1" s="17"/>
      <c r="BY1" s="17"/>
      <c r="BZ1" s="17"/>
      <c r="CA1" s="17"/>
      <c r="CB1" s="17"/>
      <c r="CC1" s="17"/>
      <c r="CD1" s="17"/>
      <c r="CE1" s="17" t="s">
        <v>646</v>
      </c>
      <c r="CF1" s="17"/>
      <c r="CG1" s="17"/>
      <c r="CH1" s="17"/>
      <c r="CI1" s="17"/>
      <c r="CJ1" s="17"/>
      <c r="CK1" s="17"/>
      <c r="CL1" s="17"/>
      <c r="CM1" s="17" t="s">
        <v>647</v>
      </c>
      <c r="CN1" s="17"/>
      <c r="CO1" s="17"/>
      <c r="CP1" s="17"/>
      <c r="CQ1" s="17"/>
      <c r="CR1" s="17"/>
      <c r="CS1" s="17"/>
      <c r="CT1" s="17"/>
      <c r="CU1" s="17" t="s">
        <v>648</v>
      </c>
      <c r="CV1" s="17"/>
      <c r="CW1" s="17"/>
      <c r="CX1" s="17"/>
      <c r="CY1" s="17"/>
      <c r="CZ1" s="17"/>
      <c r="DA1" s="17"/>
      <c r="DB1" s="17"/>
      <c r="DC1" s="17" t="s">
        <v>649</v>
      </c>
      <c r="DD1" s="17"/>
      <c r="DE1" s="17"/>
      <c r="DF1" s="17"/>
      <c r="DG1" s="17"/>
      <c r="DH1" s="17"/>
      <c r="DI1" s="17"/>
      <c r="DJ1" s="17"/>
      <c r="DK1" s="17" t="s">
        <v>650</v>
      </c>
      <c r="DL1" s="17"/>
      <c r="DM1" s="17"/>
      <c r="DN1" s="17"/>
      <c r="DO1" s="17"/>
      <c r="DP1" s="17"/>
      <c r="DQ1" s="17"/>
      <c r="DR1" s="17"/>
    </row>
    <row r="2" spans="1:128">
      <c r="A2" s="348" t="s">
        <v>651</v>
      </c>
      <c r="B2" s="348" t="s">
        <v>652</v>
      </c>
      <c r="C2" s="348" t="s">
        <v>653</v>
      </c>
      <c r="D2" s="348" t="s">
        <v>654</v>
      </c>
      <c r="E2" s="348" t="s">
        <v>655</v>
      </c>
      <c r="F2" s="348" t="s">
        <v>656</v>
      </c>
      <c r="G2" s="348" t="s">
        <v>657</v>
      </c>
      <c r="H2" s="348" t="s">
        <v>658</v>
      </c>
      <c r="I2" s="348" t="s">
        <v>659</v>
      </c>
      <c r="J2" s="348" t="s">
        <v>660</v>
      </c>
      <c r="K2" s="348" t="s">
        <v>653</v>
      </c>
      <c r="L2" s="348" t="s">
        <v>654</v>
      </c>
      <c r="M2" s="348" t="s">
        <v>655</v>
      </c>
      <c r="N2" s="348" t="s">
        <v>656</v>
      </c>
      <c r="O2" s="348" t="s">
        <v>657</v>
      </c>
      <c r="P2" s="348" t="s">
        <v>658</v>
      </c>
      <c r="Q2" s="348" t="s">
        <v>659</v>
      </c>
      <c r="R2" s="348" t="s">
        <v>660</v>
      </c>
      <c r="S2" s="348" t="s">
        <v>653</v>
      </c>
      <c r="T2" s="348" t="s">
        <v>654</v>
      </c>
      <c r="U2" s="348" t="s">
        <v>655</v>
      </c>
      <c r="V2" s="348" t="s">
        <v>656</v>
      </c>
      <c r="W2" s="348" t="s">
        <v>657</v>
      </c>
      <c r="X2" s="348" t="s">
        <v>658</v>
      </c>
      <c r="Y2" s="348" t="s">
        <v>659</v>
      </c>
      <c r="Z2" s="348" t="s">
        <v>660</v>
      </c>
      <c r="AA2" s="348" t="s">
        <v>653</v>
      </c>
      <c r="AB2" s="348" t="s">
        <v>654</v>
      </c>
      <c r="AC2" s="348" t="s">
        <v>655</v>
      </c>
      <c r="AD2" s="348" t="s">
        <v>656</v>
      </c>
      <c r="AE2" s="348" t="s">
        <v>657</v>
      </c>
      <c r="AF2" s="348" t="s">
        <v>658</v>
      </c>
      <c r="AG2" s="348" t="s">
        <v>659</v>
      </c>
      <c r="AH2" s="348" t="s">
        <v>660</v>
      </c>
      <c r="AI2" s="348" t="s">
        <v>653</v>
      </c>
      <c r="AJ2" s="348" t="s">
        <v>654</v>
      </c>
      <c r="AK2" s="348" t="s">
        <v>655</v>
      </c>
      <c r="AL2" s="348" t="s">
        <v>656</v>
      </c>
      <c r="AM2" s="348" t="s">
        <v>657</v>
      </c>
      <c r="AN2" s="348" t="s">
        <v>658</v>
      </c>
      <c r="AO2" s="348" t="s">
        <v>659</v>
      </c>
      <c r="AP2" s="348" t="s">
        <v>660</v>
      </c>
      <c r="AQ2" s="348" t="s">
        <v>653</v>
      </c>
      <c r="AR2" s="348" t="s">
        <v>654</v>
      </c>
      <c r="AS2" s="348" t="s">
        <v>655</v>
      </c>
      <c r="AT2" s="348" t="s">
        <v>656</v>
      </c>
      <c r="AU2" s="348" t="s">
        <v>657</v>
      </c>
      <c r="AV2" s="348" t="s">
        <v>658</v>
      </c>
      <c r="AW2" s="348" t="s">
        <v>659</v>
      </c>
      <c r="AX2" s="348" t="s">
        <v>660</v>
      </c>
      <c r="AY2" s="348" t="s">
        <v>653</v>
      </c>
      <c r="AZ2" s="348" t="s">
        <v>654</v>
      </c>
      <c r="BA2" s="348" t="s">
        <v>655</v>
      </c>
      <c r="BB2" s="348" t="s">
        <v>656</v>
      </c>
      <c r="BC2" s="348" t="s">
        <v>657</v>
      </c>
      <c r="BD2" s="348" t="s">
        <v>658</v>
      </c>
      <c r="BE2" s="348" t="s">
        <v>659</v>
      </c>
      <c r="BF2" s="348" t="s">
        <v>660</v>
      </c>
      <c r="BG2" s="348" t="s">
        <v>653</v>
      </c>
      <c r="BH2" s="348" t="s">
        <v>654</v>
      </c>
      <c r="BI2" s="348" t="s">
        <v>655</v>
      </c>
      <c r="BJ2" s="348" t="s">
        <v>656</v>
      </c>
      <c r="BK2" s="348" t="s">
        <v>657</v>
      </c>
      <c r="BL2" s="348" t="s">
        <v>658</v>
      </c>
      <c r="BM2" s="348" t="s">
        <v>659</v>
      </c>
      <c r="BN2" s="348" t="s">
        <v>660</v>
      </c>
      <c r="BO2" s="348" t="s">
        <v>653</v>
      </c>
      <c r="BP2" s="348" t="s">
        <v>654</v>
      </c>
      <c r="BQ2" s="348" t="s">
        <v>655</v>
      </c>
      <c r="BR2" s="348" t="s">
        <v>656</v>
      </c>
      <c r="BS2" s="348" t="s">
        <v>657</v>
      </c>
      <c r="BT2" s="348" t="s">
        <v>658</v>
      </c>
      <c r="BU2" s="348" t="s">
        <v>659</v>
      </c>
      <c r="BV2" s="348" t="s">
        <v>660</v>
      </c>
      <c r="BW2" s="348" t="s">
        <v>653</v>
      </c>
      <c r="BX2" s="348" t="s">
        <v>654</v>
      </c>
      <c r="BY2" s="348" t="s">
        <v>655</v>
      </c>
      <c r="BZ2" s="348" t="s">
        <v>656</v>
      </c>
      <c r="CA2" s="348" t="s">
        <v>657</v>
      </c>
      <c r="CB2" s="348" t="s">
        <v>658</v>
      </c>
      <c r="CC2" s="348" t="s">
        <v>659</v>
      </c>
      <c r="CD2" s="348" t="s">
        <v>660</v>
      </c>
      <c r="CE2" s="348" t="s">
        <v>653</v>
      </c>
      <c r="CF2" s="348" t="s">
        <v>654</v>
      </c>
      <c r="CG2" s="348" t="s">
        <v>655</v>
      </c>
      <c r="CH2" s="348" t="s">
        <v>656</v>
      </c>
      <c r="CI2" s="348" t="s">
        <v>657</v>
      </c>
      <c r="CJ2" s="348" t="s">
        <v>658</v>
      </c>
      <c r="CK2" s="348" t="s">
        <v>659</v>
      </c>
      <c r="CL2" s="348" t="s">
        <v>660</v>
      </c>
      <c r="CM2" s="348" t="s">
        <v>653</v>
      </c>
      <c r="CN2" s="348" t="s">
        <v>654</v>
      </c>
      <c r="CO2" s="348" t="s">
        <v>655</v>
      </c>
      <c r="CP2" s="348" t="s">
        <v>656</v>
      </c>
      <c r="CQ2" s="348" t="s">
        <v>657</v>
      </c>
      <c r="CR2" s="348" t="s">
        <v>658</v>
      </c>
      <c r="CS2" s="348" t="s">
        <v>659</v>
      </c>
      <c r="CT2" s="348" t="s">
        <v>660</v>
      </c>
      <c r="CU2" s="348" t="s">
        <v>653</v>
      </c>
      <c r="CV2" s="348" t="s">
        <v>654</v>
      </c>
      <c r="CW2" s="348" t="s">
        <v>655</v>
      </c>
      <c r="CX2" s="348" t="s">
        <v>656</v>
      </c>
      <c r="CY2" s="348" t="s">
        <v>657</v>
      </c>
      <c r="CZ2" s="348" t="s">
        <v>658</v>
      </c>
      <c r="DA2" s="348" t="s">
        <v>659</v>
      </c>
      <c r="DB2" s="348" t="s">
        <v>660</v>
      </c>
      <c r="DC2" s="348" t="s">
        <v>653</v>
      </c>
      <c r="DD2" s="348" t="s">
        <v>654</v>
      </c>
      <c r="DE2" s="348" t="s">
        <v>655</v>
      </c>
      <c r="DF2" s="348" t="s">
        <v>656</v>
      </c>
      <c r="DG2" s="348" t="s">
        <v>657</v>
      </c>
      <c r="DH2" s="348" t="s">
        <v>658</v>
      </c>
      <c r="DI2" s="348" t="s">
        <v>659</v>
      </c>
      <c r="DJ2" s="348" t="s">
        <v>660</v>
      </c>
      <c r="DK2" s="348" t="s">
        <v>653</v>
      </c>
      <c r="DL2" s="348" t="s">
        <v>654</v>
      </c>
      <c r="DM2" s="348" t="s">
        <v>655</v>
      </c>
      <c r="DN2" s="348" t="s">
        <v>656</v>
      </c>
      <c r="DO2" s="348" t="s">
        <v>657</v>
      </c>
      <c r="DP2" s="348" t="s">
        <v>658</v>
      </c>
      <c r="DQ2" s="348" t="s">
        <v>659</v>
      </c>
      <c r="DR2" s="348" t="s">
        <v>660</v>
      </c>
      <c r="DS2" s="353" t="s">
        <v>81</v>
      </c>
      <c r="DT2" s="353" t="s">
        <v>41</v>
      </c>
      <c r="DU2" s="353" t="s">
        <v>42</v>
      </c>
      <c r="DV2" s="354"/>
      <c r="DW2" s="354"/>
      <c r="DX2" s="354"/>
    </row>
    <row r="3" spans="1:128">
      <c r="A3" s="355">
        <v>1</v>
      </c>
      <c r="B3" s="348">
        <v>5929000</v>
      </c>
      <c r="C3" s="348">
        <v>0</v>
      </c>
      <c r="D3" s="348">
        <v>0</v>
      </c>
      <c r="E3" s="348">
        <v>0</v>
      </c>
      <c r="F3" s="348">
        <v>0</v>
      </c>
      <c r="G3" s="348">
        <v>0</v>
      </c>
      <c r="H3" s="348">
        <v>0</v>
      </c>
      <c r="I3" s="348">
        <v>0</v>
      </c>
      <c r="J3" s="348">
        <v>0</v>
      </c>
      <c r="K3" s="348">
        <v>0</v>
      </c>
      <c r="L3" s="348">
        <v>0</v>
      </c>
      <c r="M3" s="348">
        <v>0</v>
      </c>
      <c r="N3" s="348">
        <v>0</v>
      </c>
      <c r="O3" s="348">
        <v>0</v>
      </c>
      <c r="P3" s="348">
        <v>0</v>
      </c>
      <c r="Q3" s="348">
        <v>0</v>
      </c>
      <c r="R3" s="348">
        <v>0</v>
      </c>
      <c r="S3" s="348">
        <v>25729545</v>
      </c>
      <c r="T3" s="348">
        <v>0</v>
      </c>
      <c r="U3" s="348">
        <v>25729545</v>
      </c>
      <c r="V3" s="348">
        <v>25729545</v>
      </c>
      <c r="W3" s="348">
        <v>5929200</v>
      </c>
      <c r="X3" s="348">
        <v>5929200</v>
      </c>
      <c r="Y3" s="348">
        <v>5929200</v>
      </c>
      <c r="Z3" s="348">
        <v>5929000</v>
      </c>
      <c r="AA3" s="348">
        <v>0</v>
      </c>
      <c r="AB3" s="348">
        <v>0</v>
      </c>
      <c r="AC3" s="348">
        <v>0</v>
      </c>
      <c r="AD3" s="348">
        <v>0</v>
      </c>
      <c r="AE3" s="348">
        <v>0</v>
      </c>
      <c r="AF3" s="348">
        <v>0</v>
      </c>
      <c r="AG3" s="348">
        <v>0</v>
      </c>
      <c r="AH3" s="348">
        <v>0</v>
      </c>
      <c r="AI3" s="348">
        <v>0</v>
      </c>
      <c r="AJ3" s="348">
        <v>0</v>
      </c>
      <c r="AK3" s="348">
        <v>0</v>
      </c>
      <c r="AL3" s="348">
        <v>0</v>
      </c>
      <c r="AM3" s="348">
        <v>0</v>
      </c>
      <c r="AN3" s="348">
        <v>0</v>
      </c>
      <c r="AO3" s="348">
        <v>0</v>
      </c>
      <c r="AP3" s="348">
        <v>0</v>
      </c>
      <c r="AQ3" s="348">
        <v>0</v>
      </c>
      <c r="AR3" s="348">
        <v>0</v>
      </c>
      <c r="AS3" s="348">
        <v>0</v>
      </c>
      <c r="AT3" s="348">
        <v>0</v>
      </c>
      <c r="AU3" s="348">
        <v>0</v>
      </c>
      <c r="AV3" s="348">
        <v>0</v>
      </c>
      <c r="AW3" s="348">
        <v>0</v>
      </c>
      <c r="AX3" s="348">
        <v>0</v>
      </c>
      <c r="AY3" s="348">
        <v>0</v>
      </c>
      <c r="AZ3" s="348">
        <v>0</v>
      </c>
      <c r="BA3" s="348">
        <v>0</v>
      </c>
      <c r="BB3" s="348">
        <v>0</v>
      </c>
      <c r="BC3" s="348">
        <v>0</v>
      </c>
      <c r="BD3" s="348">
        <v>0</v>
      </c>
      <c r="BE3" s="348">
        <v>0</v>
      </c>
      <c r="BF3" s="348">
        <v>0</v>
      </c>
      <c r="BG3" s="348">
        <v>0</v>
      </c>
      <c r="BH3" s="348">
        <v>0</v>
      </c>
      <c r="BI3" s="348">
        <v>0</v>
      </c>
      <c r="BJ3" s="348">
        <v>0</v>
      </c>
      <c r="BK3" s="348">
        <v>0</v>
      </c>
      <c r="BL3" s="348">
        <v>0</v>
      </c>
      <c r="BM3" s="348">
        <v>0</v>
      </c>
      <c r="BN3" s="348">
        <v>0</v>
      </c>
      <c r="BO3" s="348">
        <v>0</v>
      </c>
      <c r="BP3" s="348">
        <v>0</v>
      </c>
      <c r="BQ3" s="348">
        <v>0</v>
      </c>
      <c r="BR3" s="348">
        <v>0</v>
      </c>
      <c r="BS3" s="348">
        <v>0</v>
      </c>
      <c r="BT3" s="348">
        <v>0</v>
      </c>
      <c r="BU3" s="348">
        <v>0</v>
      </c>
      <c r="BV3" s="348">
        <v>0</v>
      </c>
      <c r="BW3" s="348">
        <v>0</v>
      </c>
      <c r="BX3" s="348">
        <v>0</v>
      </c>
      <c r="BY3" s="348">
        <v>0</v>
      </c>
      <c r="BZ3" s="348">
        <v>0</v>
      </c>
      <c r="CA3" s="348">
        <v>0</v>
      </c>
      <c r="CB3" s="348">
        <v>0</v>
      </c>
      <c r="CC3" s="348">
        <v>0</v>
      </c>
      <c r="CD3" s="348">
        <v>0</v>
      </c>
      <c r="CE3" s="348">
        <v>0</v>
      </c>
      <c r="CF3" s="348">
        <v>0</v>
      </c>
      <c r="CG3" s="348">
        <v>0</v>
      </c>
      <c r="CH3" s="348">
        <v>0</v>
      </c>
      <c r="CI3" s="348">
        <v>0</v>
      </c>
      <c r="CJ3" s="348">
        <v>0</v>
      </c>
      <c r="CK3" s="348">
        <v>0</v>
      </c>
      <c r="CL3" s="348">
        <v>0</v>
      </c>
      <c r="CM3" s="348">
        <v>0</v>
      </c>
      <c r="CN3" s="348">
        <v>0</v>
      </c>
      <c r="CO3" s="348">
        <v>0</v>
      </c>
      <c r="CP3" s="348">
        <v>0</v>
      </c>
      <c r="CQ3" s="348">
        <v>0</v>
      </c>
      <c r="CR3" s="348">
        <v>0</v>
      </c>
      <c r="CS3" s="348">
        <v>0</v>
      </c>
      <c r="CT3" s="348">
        <v>0</v>
      </c>
      <c r="CU3" s="348">
        <v>0</v>
      </c>
      <c r="CV3" s="348">
        <v>0</v>
      </c>
      <c r="CW3" s="348">
        <v>0</v>
      </c>
      <c r="CX3" s="348">
        <v>0</v>
      </c>
      <c r="CY3" s="348">
        <v>0</v>
      </c>
      <c r="CZ3" s="348">
        <v>0</v>
      </c>
      <c r="DA3" s="348">
        <v>0</v>
      </c>
      <c r="DB3" s="348">
        <v>0</v>
      </c>
      <c r="DC3" s="348">
        <v>0</v>
      </c>
      <c r="DD3" s="348">
        <v>0</v>
      </c>
      <c r="DE3" s="348">
        <v>0</v>
      </c>
      <c r="DF3" s="348">
        <v>0</v>
      </c>
      <c r="DG3" s="348">
        <v>0</v>
      </c>
      <c r="DH3" s="348">
        <v>0</v>
      </c>
      <c r="DI3" s="348">
        <v>0</v>
      </c>
      <c r="DJ3" s="348">
        <v>0</v>
      </c>
      <c r="DK3" s="348">
        <v>0</v>
      </c>
      <c r="DL3" s="348">
        <v>0</v>
      </c>
      <c r="DM3" s="348">
        <v>0</v>
      </c>
      <c r="DN3" s="348">
        <v>0</v>
      </c>
      <c r="DO3" s="348">
        <v>0</v>
      </c>
      <c r="DP3" s="348">
        <v>0</v>
      </c>
      <c r="DQ3" s="348">
        <v>0</v>
      </c>
      <c r="DR3" s="348">
        <v>0</v>
      </c>
      <c r="DS3" s="354">
        <v>2022</v>
      </c>
      <c r="DT3" s="354">
        <v>7</v>
      </c>
      <c r="DU3" s="354">
        <v>27</v>
      </c>
      <c r="DV3" s="345" t="s">
        <v>671</v>
      </c>
      <c r="DW3" s="345" t="s">
        <v>672</v>
      </c>
      <c r="DX3" s="345" t="s">
        <v>735</v>
      </c>
    </row>
    <row r="4" spans="1:128">
      <c r="A4" s="355">
        <v>2</v>
      </c>
      <c r="B4" s="348">
        <v>5223000</v>
      </c>
      <c r="C4" s="348">
        <v>0</v>
      </c>
      <c r="D4" s="348">
        <v>0</v>
      </c>
      <c r="E4" s="348">
        <v>0</v>
      </c>
      <c r="F4" s="348">
        <v>0</v>
      </c>
      <c r="G4" s="348">
        <v>0</v>
      </c>
      <c r="H4" s="348">
        <v>0</v>
      </c>
      <c r="I4" s="348">
        <v>0</v>
      </c>
      <c r="J4" s="348">
        <v>0</v>
      </c>
      <c r="K4" s="348">
        <v>0</v>
      </c>
      <c r="L4" s="348">
        <v>0</v>
      </c>
      <c r="M4" s="348">
        <v>0</v>
      </c>
      <c r="N4" s="348">
        <v>0</v>
      </c>
      <c r="O4" s="348">
        <v>0</v>
      </c>
      <c r="P4" s="348">
        <v>0</v>
      </c>
      <c r="Q4" s="348">
        <v>0</v>
      </c>
      <c r="R4" s="348">
        <v>0</v>
      </c>
      <c r="S4" s="348">
        <v>5223284</v>
      </c>
      <c r="T4" s="348">
        <v>0</v>
      </c>
      <c r="U4" s="348">
        <v>5223284</v>
      </c>
      <c r="V4" s="348">
        <v>5223284</v>
      </c>
      <c r="W4" s="348">
        <v>6588000</v>
      </c>
      <c r="X4" s="348">
        <v>5223284</v>
      </c>
      <c r="Y4" s="348">
        <v>5223284</v>
      </c>
      <c r="Z4" s="348">
        <v>5223000</v>
      </c>
      <c r="AA4" s="348">
        <v>0</v>
      </c>
      <c r="AB4" s="348">
        <v>0</v>
      </c>
      <c r="AC4" s="348">
        <v>0</v>
      </c>
      <c r="AD4" s="348">
        <v>0</v>
      </c>
      <c r="AE4" s="348">
        <v>0</v>
      </c>
      <c r="AF4" s="348">
        <v>0</v>
      </c>
      <c r="AG4" s="348">
        <v>0</v>
      </c>
      <c r="AH4" s="348">
        <v>0</v>
      </c>
      <c r="AI4" s="348">
        <v>0</v>
      </c>
      <c r="AJ4" s="348">
        <v>0</v>
      </c>
      <c r="AK4" s="348">
        <v>0</v>
      </c>
      <c r="AL4" s="348">
        <v>0</v>
      </c>
      <c r="AM4" s="348">
        <v>0</v>
      </c>
      <c r="AN4" s="348">
        <v>0</v>
      </c>
      <c r="AO4" s="348">
        <v>0</v>
      </c>
      <c r="AP4" s="348">
        <v>0</v>
      </c>
      <c r="AQ4" s="348">
        <v>0</v>
      </c>
      <c r="AR4" s="348">
        <v>0</v>
      </c>
      <c r="AS4" s="348">
        <v>0</v>
      </c>
      <c r="AT4" s="348">
        <v>0</v>
      </c>
      <c r="AU4" s="348">
        <v>0</v>
      </c>
      <c r="AV4" s="348">
        <v>0</v>
      </c>
      <c r="AW4" s="348">
        <v>0</v>
      </c>
      <c r="AX4" s="348">
        <v>0</v>
      </c>
      <c r="AY4" s="348">
        <v>0</v>
      </c>
      <c r="AZ4" s="348">
        <v>0</v>
      </c>
      <c r="BA4" s="348">
        <v>0</v>
      </c>
      <c r="BB4" s="348">
        <v>0</v>
      </c>
      <c r="BC4" s="348">
        <v>0</v>
      </c>
      <c r="BD4" s="348">
        <v>0</v>
      </c>
      <c r="BE4" s="348">
        <v>0</v>
      </c>
      <c r="BF4" s="348">
        <v>0</v>
      </c>
      <c r="BG4" s="348">
        <v>0</v>
      </c>
      <c r="BH4" s="348">
        <v>0</v>
      </c>
      <c r="BI4" s="348">
        <v>0</v>
      </c>
      <c r="BJ4" s="348">
        <v>0</v>
      </c>
      <c r="BK4" s="348">
        <v>0</v>
      </c>
      <c r="BL4" s="348">
        <v>0</v>
      </c>
      <c r="BM4" s="348">
        <v>0</v>
      </c>
      <c r="BN4" s="348">
        <v>0</v>
      </c>
      <c r="BO4" s="348">
        <v>0</v>
      </c>
      <c r="BP4" s="348">
        <v>0</v>
      </c>
      <c r="BQ4" s="348">
        <v>0</v>
      </c>
      <c r="BR4" s="348">
        <v>0</v>
      </c>
      <c r="BS4" s="348">
        <v>0</v>
      </c>
      <c r="BT4" s="348">
        <v>0</v>
      </c>
      <c r="BU4" s="348">
        <v>0</v>
      </c>
      <c r="BV4" s="348">
        <v>0</v>
      </c>
      <c r="BW4" s="348">
        <v>0</v>
      </c>
      <c r="BX4" s="348">
        <v>0</v>
      </c>
      <c r="BY4" s="348">
        <v>0</v>
      </c>
      <c r="BZ4" s="348">
        <v>0</v>
      </c>
      <c r="CA4" s="348">
        <v>0</v>
      </c>
      <c r="CB4" s="348">
        <v>0</v>
      </c>
      <c r="CC4" s="348">
        <v>0</v>
      </c>
      <c r="CD4" s="348">
        <v>0</v>
      </c>
      <c r="CE4" s="348">
        <v>0</v>
      </c>
      <c r="CF4" s="348">
        <v>0</v>
      </c>
      <c r="CG4" s="348">
        <v>0</v>
      </c>
      <c r="CH4" s="348">
        <v>0</v>
      </c>
      <c r="CI4" s="348">
        <v>0</v>
      </c>
      <c r="CJ4" s="348">
        <v>0</v>
      </c>
      <c r="CK4" s="348">
        <v>0</v>
      </c>
      <c r="CL4" s="348">
        <v>0</v>
      </c>
      <c r="CM4" s="348">
        <v>0</v>
      </c>
      <c r="CN4" s="348">
        <v>0</v>
      </c>
      <c r="CO4" s="348">
        <v>0</v>
      </c>
      <c r="CP4" s="348">
        <v>0</v>
      </c>
      <c r="CQ4" s="348">
        <v>0</v>
      </c>
      <c r="CR4" s="348">
        <v>0</v>
      </c>
      <c r="CS4" s="348">
        <v>0</v>
      </c>
      <c r="CT4" s="348">
        <v>0</v>
      </c>
      <c r="CU4" s="348">
        <v>0</v>
      </c>
      <c r="CV4" s="348">
        <v>0</v>
      </c>
      <c r="CW4" s="348">
        <v>0</v>
      </c>
      <c r="CX4" s="348">
        <v>0</v>
      </c>
      <c r="CY4" s="348">
        <v>0</v>
      </c>
      <c r="CZ4" s="348">
        <v>0</v>
      </c>
      <c r="DA4" s="348">
        <v>0</v>
      </c>
      <c r="DB4" s="348">
        <v>0</v>
      </c>
      <c r="DC4" s="348">
        <v>0</v>
      </c>
      <c r="DD4" s="348">
        <v>0</v>
      </c>
      <c r="DE4" s="348">
        <v>0</v>
      </c>
      <c r="DF4" s="348">
        <v>0</v>
      </c>
      <c r="DG4" s="348">
        <v>0</v>
      </c>
      <c r="DH4" s="348">
        <v>0</v>
      </c>
      <c r="DI4" s="348">
        <v>0</v>
      </c>
      <c r="DJ4" s="348">
        <v>0</v>
      </c>
      <c r="DK4" s="348">
        <v>0</v>
      </c>
      <c r="DL4" s="348">
        <v>0</v>
      </c>
      <c r="DM4" s="348">
        <v>0</v>
      </c>
      <c r="DN4" s="348">
        <v>0</v>
      </c>
      <c r="DO4" s="348">
        <v>0</v>
      </c>
      <c r="DP4" s="348">
        <v>0</v>
      </c>
      <c r="DQ4" s="348">
        <v>0</v>
      </c>
      <c r="DR4" s="348">
        <v>0</v>
      </c>
      <c r="DS4" s="354">
        <v>2022</v>
      </c>
      <c r="DT4" s="354">
        <v>7</v>
      </c>
      <c r="DU4" s="354">
        <v>27</v>
      </c>
      <c r="DV4" s="345" t="s">
        <v>673</v>
      </c>
      <c r="DW4" s="345" t="s">
        <v>674</v>
      </c>
      <c r="DX4" s="345" t="s">
        <v>735</v>
      </c>
    </row>
    <row r="5" spans="1:128">
      <c r="A5" s="355">
        <v>3</v>
      </c>
      <c r="B5" s="348">
        <v>5429000</v>
      </c>
      <c r="C5" s="348">
        <v>0</v>
      </c>
      <c r="D5" s="348">
        <v>0</v>
      </c>
      <c r="E5" s="348">
        <v>0</v>
      </c>
      <c r="F5" s="348">
        <v>0</v>
      </c>
      <c r="G5" s="348">
        <v>0</v>
      </c>
      <c r="H5" s="348">
        <v>0</v>
      </c>
      <c r="I5" s="348">
        <v>0</v>
      </c>
      <c r="J5" s="348">
        <v>0</v>
      </c>
      <c r="K5" s="348">
        <v>0</v>
      </c>
      <c r="L5" s="348">
        <v>0</v>
      </c>
      <c r="M5" s="348">
        <v>0</v>
      </c>
      <c r="N5" s="348">
        <v>0</v>
      </c>
      <c r="O5" s="348">
        <v>0</v>
      </c>
      <c r="P5" s="348">
        <v>0</v>
      </c>
      <c r="Q5" s="348">
        <v>0</v>
      </c>
      <c r="R5" s="348">
        <v>0</v>
      </c>
      <c r="S5" s="348">
        <v>5429336</v>
      </c>
      <c r="T5" s="348">
        <v>0</v>
      </c>
      <c r="U5" s="348">
        <v>5429336</v>
      </c>
      <c r="V5" s="348">
        <v>5429336</v>
      </c>
      <c r="W5" s="348">
        <v>11858400</v>
      </c>
      <c r="X5" s="348">
        <v>5429336</v>
      </c>
      <c r="Y5" s="348">
        <v>5429336</v>
      </c>
      <c r="Z5" s="348">
        <v>5429000</v>
      </c>
      <c r="AA5" s="348">
        <v>0</v>
      </c>
      <c r="AB5" s="348">
        <v>0</v>
      </c>
      <c r="AC5" s="348">
        <v>0</v>
      </c>
      <c r="AD5" s="348">
        <v>0</v>
      </c>
      <c r="AE5" s="348">
        <v>0</v>
      </c>
      <c r="AF5" s="348">
        <v>0</v>
      </c>
      <c r="AG5" s="348">
        <v>0</v>
      </c>
      <c r="AH5" s="348">
        <v>0</v>
      </c>
      <c r="AI5" s="348">
        <v>0</v>
      </c>
      <c r="AJ5" s="348">
        <v>0</v>
      </c>
      <c r="AK5" s="348">
        <v>0</v>
      </c>
      <c r="AL5" s="348">
        <v>0</v>
      </c>
      <c r="AM5" s="348">
        <v>0</v>
      </c>
      <c r="AN5" s="348">
        <v>0</v>
      </c>
      <c r="AO5" s="348">
        <v>0</v>
      </c>
      <c r="AP5" s="348">
        <v>0</v>
      </c>
      <c r="AQ5" s="348">
        <v>0</v>
      </c>
      <c r="AR5" s="348">
        <v>0</v>
      </c>
      <c r="AS5" s="348">
        <v>0</v>
      </c>
      <c r="AT5" s="348">
        <v>0</v>
      </c>
      <c r="AU5" s="348">
        <v>0</v>
      </c>
      <c r="AV5" s="348">
        <v>0</v>
      </c>
      <c r="AW5" s="348">
        <v>0</v>
      </c>
      <c r="AX5" s="348">
        <v>0</v>
      </c>
      <c r="AY5" s="348">
        <v>0</v>
      </c>
      <c r="AZ5" s="348">
        <v>0</v>
      </c>
      <c r="BA5" s="348">
        <v>0</v>
      </c>
      <c r="BB5" s="348">
        <v>0</v>
      </c>
      <c r="BC5" s="348">
        <v>0</v>
      </c>
      <c r="BD5" s="348">
        <v>0</v>
      </c>
      <c r="BE5" s="348">
        <v>0</v>
      </c>
      <c r="BF5" s="348">
        <v>0</v>
      </c>
      <c r="BG5" s="348">
        <v>0</v>
      </c>
      <c r="BH5" s="348">
        <v>0</v>
      </c>
      <c r="BI5" s="348">
        <v>0</v>
      </c>
      <c r="BJ5" s="348">
        <v>0</v>
      </c>
      <c r="BK5" s="348">
        <v>0</v>
      </c>
      <c r="BL5" s="348">
        <v>0</v>
      </c>
      <c r="BM5" s="348">
        <v>0</v>
      </c>
      <c r="BN5" s="348">
        <v>0</v>
      </c>
      <c r="BO5" s="348">
        <v>0</v>
      </c>
      <c r="BP5" s="348">
        <v>0</v>
      </c>
      <c r="BQ5" s="348">
        <v>0</v>
      </c>
      <c r="BR5" s="348">
        <v>0</v>
      </c>
      <c r="BS5" s="348">
        <v>0</v>
      </c>
      <c r="BT5" s="348">
        <v>0</v>
      </c>
      <c r="BU5" s="348">
        <v>0</v>
      </c>
      <c r="BV5" s="348">
        <v>0</v>
      </c>
      <c r="BW5" s="348">
        <v>0</v>
      </c>
      <c r="BX5" s="348">
        <v>0</v>
      </c>
      <c r="BY5" s="348">
        <v>0</v>
      </c>
      <c r="BZ5" s="348">
        <v>0</v>
      </c>
      <c r="CA5" s="348">
        <v>0</v>
      </c>
      <c r="CB5" s="348">
        <v>0</v>
      </c>
      <c r="CC5" s="348">
        <v>0</v>
      </c>
      <c r="CD5" s="348">
        <v>0</v>
      </c>
      <c r="CE5" s="348">
        <v>0</v>
      </c>
      <c r="CF5" s="348">
        <v>0</v>
      </c>
      <c r="CG5" s="348">
        <v>0</v>
      </c>
      <c r="CH5" s="348">
        <v>0</v>
      </c>
      <c r="CI5" s="348">
        <v>0</v>
      </c>
      <c r="CJ5" s="348">
        <v>0</v>
      </c>
      <c r="CK5" s="348">
        <v>0</v>
      </c>
      <c r="CL5" s="348">
        <v>0</v>
      </c>
      <c r="CM5" s="348">
        <v>0</v>
      </c>
      <c r="CN5" s="348">
        <v>0</v>
      </c>
      <c r="CO5" s="348">
        <v>0</v>
      </c>
      <c r="CP5" s="348">
        <v>0</v>
      </c>
      <c r="CQ5" s="348">
        <v>0</v>
      </c>
      <c r="CR5" s="348">
        <v>0</v>
      </c>
      <c r="CS5" s="348">
        <v>0</v>
      </c>
      <c r="CT5" s="348">
        <v>0</v>
      </c>
      <c r="CU5" s="348">
        <v>0</v>
      </c>
      <c r="CV5" s="348">
        <v>0</v>
      </c>
      <c r="CW5" s="348">
        <v>0</v>
      </c>
      <c r="CX5" s="348">
        <v>0</v>
      </c>
      <c r="CY5" s="348">
        <v>0</v>
      </c>
      <c r="CZ5" s="348">
        <v>0</v>
      </c>
      <c r="DA5" s="348">
        <v>0</v>
      </c>
      <c r="DB5" s="348">
        <v>0</v>
      </c>
      <c r="DC5" s="348">
        <v>0</v>
      </c>
      <c r="DD5" s="348">
        <v>0</v>
      </c>
      <c r="DE5" s="348">
        <v>0</v>
      </c>
      <c r="DF5" s="348">
        <v>0</v>
      </c>
      <c r="DG5" s="348">
        <v>0</v>
      </c>
      <c r="DH5" s="348">
        <v>0</v>
      </c>
      <c r="DI5" s="348">
        <v>0</v>
      </c>
      <c r="DJ5" s="348">
        <v>0</v>
      </c>
      <c r="DK5" s="348">
        <v>0</v>
      </c>
      <c r="DL5" s="348">
        <v>0</v>
      </c>
      <c r="DM5" s="348">
        <v>0</v>
      </c>
      <c r="DN5" s="348">
        <v>0</v>
      </c>
      <c r="DO5" s="348">
        <v>0</v>
      </c>
      <c r="DP5" s="348">
        <v>0</v>
      </c>
      <c r="DQ5" s="348">
        <v>0</v>
      </c>
      <c r="DR5" s="348">
        <v>0</v>
      </c>
      <c r="DS5" s="354">
        <v>2022</v>
      </c>
      <c r="DT5" s="354">
        <v>7</v>
      </c>
      <c r="DU5" s="354">
        <v>27</v>
      </c>
      <c r="DV5" s="345" t="s">
        <v>675</v>
      </c>
      <c r="DW5" s="345" t="s">
        <v>676</v>
      </c>
      <c r="DX5" s="345" t="s">
        <v>735</v>
      </c>
    </row>
    <row r="6" spans="1:128">
      <c r="A6" s="355">
        <v>4</v>
      </c>
      <c r="B6" s="348">
        <v>1328000</v>
      </c>
      <c r="C6" s="348">
        <v>0</v>
      </c>
      <c r="D6" s="348">
        <v>0</v>
      </c>
      <c r="E6" s="348">
        <v>0</v>
      </c>
      <c r="F6" s="348">
        <v>0</v>
      </c>
      <c r="G6" s="348">
        <v>0</v>
      </c>
      <c r="H6" s="348">
        <v>0</v>
      </c>
      <c r="I6" s="348">
        <v>0</v>
      </c>
      <c r="J6" s="348">
        <v>0</v>
      </c>
      <c r="K6" s="348">
        <v>0</v>
      </c>
      <c r="L6" s="348">
        <v>0</v>
      </c>
      <c r="M6" s="348">
        <v>0</v>
      </c>
      <c r="N6" s="348">
        <v>0</v>
      </c>
      <c r="O6" s="348">
        <v>0</v>
      </c>
      <c r="P6" s="348">
        <v>0</v>
      </c>
      <c r="Q6" s="348">
        <v>0</v>
      </c>
      <c r="R6" s="348">
        <v>0</v>
      </c>
      <c r="S6" s="348">
        <v>2868947.4</v>
      </c>
      <c r="T6" s="348">
        <v>0</v>
      </c>
      <c r="U6" s="348">
        <v>2868947.4</v>
      </c>
      <c r="V6" s="348">
        <v>2868947.4</v>
      </c>
      <c r="W6" s="348">
        <v>1328400</v>
      </c>
      <c r="X6" s="348">
        <v>1328400</v>
      </c>
      <c r="Y6" s="348">
        <v>1328400</v>
      </c>
      <c r="Z6" s="348">
        <v>1328000</v>
      </c>
      <c r="AA6" s="348">
        <v>0</v>
      </c>
      <c r="AB6" s="348">
        <v>0</v>
      </c>
      <c r="AC6" s="348">
        <v>0</v>
      </c>
      <c r="AD6" s="348">
        <v>0</v>
      </c>
      <c r="AE6" s="348">
        <v>0</v>
      </c>
      <c r="AF6" s="348">
        <v>0</v>
      </c>
      <c r="AG6" s="348">
        <v>0</v>
      </c>
      <c r="AH6" s="348">
        <v>0</v>
      </c>
      <c r="AI6" s="348">
        <v>0</v>
      </c>
      <c r="AJ6" s="348">
        <v>0</v>
      </c>
      <c r="AK6" s="348">
        <v>0</v>
      </c>
      <c r="AL6" s="348">
        <v>0</v>
      </c>
      <c r="AM6" s="348">
        <v>0</v>
      </c>
      <c r="AN6" s="348">
        <v>0</v>
      </c>
      <c r="AO6" s="348">
        <v>0</v>
      </c>
      <c r="AP6" s="348">
        <v>0</v>
      </c>
      <c r="AQ6" s="348">
        <v>0</v>
      </c>
      <c r="AR6" s="348">
        <v>0</v>
      </c>
      <c r="AS6" s="348">
        <v>0</v>
      </c>
      <c r="AT6" s="348">
        <v>0</v>
      </c>
      <c r="AU6" s="348">
        <v>0</v>
      </c>
      <c r="AV6" s="348">
        <v>0</v>
      </c>
      <c r="AW6" s="348">
        <v>0</v>
      </c>
      <c r="AX6" s="348">
        <v>0</v>
      </c>
      <c r="AY6" s="348">
        <v>0</v>
      </c>
      <c r="AZ6" s="348">
        <v>0</v>
      </c>
      <c r="BA6" s="348">
        <v>0</v>
      </c>
      <c r="BB6" s="348">
        <v>0</v>
      </c>
      <c r="BC6" s="348">
        <v>0</v>
      </c>
      <c r="BD6" s="348">
        <v>0</v>
      </c>
      <c r="BE6" s="348">
        <v>0</v>
      </c>
      <c r="BF6" s="348">
        <v>0</v>
      </c>
      <c r="BG6" s="348">
        <v>0</v>
      </c>
      <c r="BH6" s="348">
        <v>0</v>
      </c>
      <c r="BI6" s="348">
        <v>0</v>
      </c>
      <c r="BJ6" s="348">
        <v>0</v>
      </c>
      <c r="BK6" s="348">
        <v>0</v>
      </c>
      <c r="BL6" s="348">
        <v>0</v>
      </c>
      <c r="BM6" s="348">
        <v>0</v>
      </c>
      <c r="BN6" s="348">
        <v>0</v>
      </c>
      <c r="BO6" s="348">
        <v>0</v>
      </c>
      <c r="BP6" s="348">
        <v>0</v>
      </c>
      <c r="BQ6" s="348">
        <v>0</v>
      </c>
      <c r="BR6" s="348">
        <v>0</v>
      </c>
      <c r="BS6" s="348">
        <v>0</v>
      </c>
      <c r="BT6" s="348">
        <v>0</v>
      </c>
      <c r="BU6" s="348">
        <v>0</v>
      </c>
      <c r="BV6" s="348">
        <v>0</v>
      </c>
      <c r="BW6" s="348">
        <v>0</v>
      </c>
      <c r="BX6" s="348">
        <v>0</v>
      </c>
      <c r="BY6" s="348">
        <v>0</v>
      </c>
      <c r="BZ6" s="348">
        <v>0</v>
      </c>
      <c r="CA6" s="348">
        <v>0</v>
      </c>
      <c r="CB6" s="348">
        <v>0</v>
      </c>
      <c r="CC6" s="348">
        <v>0</v>
      </c>
      <c r="CD6" s="348">
        <v>0</v>
      </c>
      <c r="CE6" s="348">
        <v>0</v>
      </c>
      <c r="CF6" s="348">
        <v>0</v>
      </c>
      <c r="CG6" s="348">
        <v>0</v>
      </c>
      <c r="CH6" s="348">
        <v>0</v>
      </c>
      <c r="CI6" s="348">
        <v>0</v>
      </c>
      <c r="CJ6" s="348">
        <v>0</v>
      </c>
      <c r="CK6" s="348">
        <v>0</v>
      </c>
      <c r="CL6" s="348">
        <v>0</v>
      </c>
      <c r="CM6" s="348">
        <v>0</v>
      </c>
      <c r="CN6" s="348">
        <v>0</v>
      </c>
      <c r="CO6" s="348">
        <v>0</v>
      </c>
      <c r="CP6" s="348">
        <v>0</v>
      </c>
      <c r="CQ6" s="348">
        <v>0</v>
      </c>
      <c r="CR6" s="348">
        <v>0</v>
      </c>
      <c r="CS6" s="348">
        <v>0</v>
      </c>
      <c r="CT6" s="348">
        <v>0</v>
      </c>
      <c r="CU6" s="348">
        <v>0</v>
      </c>
      <c r="CV6" s="348">
        <v>0</v>
      </c>
      <c r="CW6" s="348">
        <v>0</v>
      </c>
      <c r="CX6" s="348">
        <v>0</v>
      </c>
      <c r="CY6" s="348">
        <v>0</v>
      </c>
      <c r="CZ6" s="348">
        <v>0</v>
      </c>
      <c r="DA6" s="348">
        <v>0</v>
      </c>
      <c r="DB6" s="348">
        <v>0</v>
      </c>
      <c r="DC6" s="348">
        <v>0</v>
      </c>
      <c r="DD6" s="348">
        <v>0</v>
      </c>
      <c r="DE6" s="348">
        <v>0</v>
      </c>
      <c r="DF6" s="348">
        <v>0</v>
      </c>
      <c r="DG6" s="348">
        <v>0</v>
      </c>
      <c r="DH6" s="348">
        <v>0</v>
      </c>
      <c r="DI6" s="348">
        <v>0</v>
      </c>
      <c r="DJ6" s="348">
        <v>0</v>
      </c>
      <c r="DK6" s="348">
        <v>0</v>
      </c>
      <c r="DL6" s="348">
        <v>0</v>
      </c>
      <c r="DM6" s="348">
        <v>0</v>
      </c>
      <c r="DN6" s="348">
        <v>0</v>
      </c>
      <c r="DO6" s="348">
        <v>0</v>
      </c>
      <c r="DP6" s="348">
        <v>0</v>
      </c>
      <c r="DQ6" s="348">
        <v>0</v>
      </c>
      <c r="DR6" s="348">
        <v>0</v>
      </c>
      <c r="DS6" s="354">
        <v>2022</v>
      </c>
      <c r="DT6" s="354">
        <v>7</v>
      </c>
      <c r="DU6" s="354">
        <v>27</v>
      </c>
      <c r="DV6" s="345" t="s">
        <v>677</v>
      </c>
      <c r="DW6" s="345" t="s">
        <v>678</v>
      </c>
      <c r="DX6" s="345" t="s">
        <v>735</v>
      </c>
    </row>
    <row r="7" spans="1:128">
      <c r="A7" s="355">
        <v>6</v>
      </c>
      <c r="B7" s="348">
        <v>2160000</v>
      </c>
      <c r="C7" s="348">
        <v>0</v>
      </c>
      <c r="D7" s="348">
        <v>0</v>
      </c>
      <c r="E7" s="348">
        <v>0</v>
      </c>
      <c r="F7" s="348">
        <v>0</v>
      </c>
      <c r="G7" s="348">
        <v>0</v>
      </c>
      <c r="H7" s="348">
        <v>0</v>
      </c>
      <c r="I7" s="348">
        <v>0</v>
      </c>
      <c r="J7" s="348">
        <v>0</v>
      </c>
      <c r="K7" s="348">
        <v>0</v>
      </c>
      <c r="L7" s="348">
        <v>0</v>
      </c>
      <c r="M7" s="348">
        <v>0</v>
      </c>
      <c r="N7" s="348">
        <v>0</v>
      </c>
      <c r="O7" s="348">
        <v>0</v>
      </c>
      <c r="P7" s="348">
        <v>0</v>
      </c>
      <c r="Q7" s="348">
        <v>0</v>
      </c>
      <c r="R7" s="348">
        <v>0</v>
      </c>
      <c r="S7" s="348">
        <v>2160430</v>
      </c>
      <c r="T7" s="348">
        <v>0</v>
      </c>
      <c r="U7" s="348">
        <v>2160430</v>
      </c>
      <c r="V7" s="348">
        <v>2160430</v>
      </c>
      <c r="W7" s="348">
        <v>10540800</v>
      </c>
      <c r="X7" s="348">
        <v>2160430</v>
      </c>
      <c r="Y7" s="348">
        <v>2160430</v>
      </c>
      <c r="Z7" s="348">
        <v>2160000</v>
      </c>
      <c r="AA7" s="348">
        <v>0</v>
      </c>
      <c r="AB7" s="348">
        <v>0</v>
      </c>
      <c r="AC7" s="348">
        <v>0</v>
      </c>
      <c r="AD7" s="348">
        <v>0</v>
      </c>
      <c r="AE7" s="348">
        <v>0</v>
      </c>
      <c r="AF7" s="348">
        <v>0</v>
      </c>
      <c r="AG7" s="348">
        <v>0</v>
      </c>
      <c r="AH7" s="348">
        <v>0</v>
      </c>
      <c r="AI7" s="348">
        <v>0</v>
      </c>
      <c r="AJ7" s="348">
        <v>0</v>
      </c>
      <c r="AK7" s="348">
        <v>0</v>
      </c>
      <c r="AL7" s="348">
        <v>0</v>
      </c>
      <c r="AM7" s="348">
        <v>0</v>
      </c>
      <c r="AN7" s="348">
        <v>0</v>
      </c>
      <c r="AO7" s="348">
        <v>0</v>
      </c>
      <c r="AP7" s="348">
        <v>0</v>
      </c>
      <c r="AQ7" s="348">
        <v>0</v>
      </c>
      <c r="AR7" s="348">
        <v>0</v>
      </c>
      <c r="AS7" s="348">
        <v>0</v>
      </c>
      <c r="AT7" s="348">
        <v>0</v>
      </c>
      <c r="AU7" s="348">
        <v>0</v>
      </c>
      <c r="AV7" s="348">
        <v>0</v>
      </c>
      <c r="AW7" s="348">
        <v>0</v>
      </c>
      <c r="AX7" s="348">
        <v>0</v>
      </c>
      <c r="AY7" s="348">
        <v>0</v>
      </c>
      <c r="AZ7" s="348">
        <v>0</v>
      </c>
      <c r="BA7" s="348">
        <v>0</v>
      </c>
      <c r="BB7" s="348">
        <v>0</v>
      </c>
      <c r="BC7" s="348">
        <v>0</v>
      </c>
      <c r="BD7" s="348">
        <v>0</v>
      </c>
      <c r="BE7" s="348">
        <v>0</v>
      </c>
      <c r="BF7" s="348">
        <v>0</v>
      </c>
      <c r="BG7" s="348">
        <v>0</v>
      </c>
      <c r="BH7" s="348">
        <v>0</v>
      </c>
      <c r="BI7" s="348">
        <v>0</v>
      </c>
      <c r="BJ7" s="348">
        <v>0</v>
      </c>
      <c r="BK7" s="348">
        <v>0</v>
      </c>
      <c r="BL7" s="348">
        <v>0</v>
      </c>
      <c r="BM7" s="348">
        <v>0</v>
      </c>
      <c r="BN7" s="348">
        <v>0</v>
      </c>
      <c r="BO7" s="348">
        <v>0</v>
      </c>
      <c r="BP7" s="348">
        <v>0</v>
      </c>
      <c r="BQ7" s="348">
        <v>0</v>
      </c>
      <c r="BR7" s="348">
        <v>0</v>
      </c>
      <c r="BS7" s="348">
        <v>0</v>
      </c>
      <c r="BT7" s="348">
        <v>0</v>
      </c>
      <c r="BU7" s="348">
        <v>0</v>
      </c>
      <c r="BV7" s="348">
        <v>0</v>
      </c>
      <c r="BW7" s="348">
        <v>0</v>
      </c>
      <c r="BX7" s="348">
        <v>0</v>
      </c>
      <c r="BY7" s="348">
        <v>0</v>
      </c>
      <c r="BZ7" s="348">
        <v>0</v>
      </c>
      <c r="CA7" s="348">
        <v>0</v>
      </c>
      <c r="CB7" s="348">
        <v>0</v>
      </c>
      <c r="CC7" s="348">
        <v>0</v>
      </c>
      <c r="CD7" s="348">
        <v>0</v>
      </c>
      <c r="CE7" s="348">
        <v>0</v>
      </c>
      <c r="CF7" s="348">
        <v>0</v>
      </c>
      <c r="CG7" s="348">
        <v>0</v>
      </c>
      <c r="CH7" s="348">
        <v>0</v>
      </c>
      <c r="CI7" s="348">
        <v>0</v>
      </c>
      <c r="CJ7" s="348">
        <v>0</v>
      </c>
      <c r="CK7" s="348">
        <v>0</v>
      </c>
      <c r="CL7" s="348">
        <v>0</v>
      </c>
      <c r="CM7" s="348">
        <v>0</v>
      </c>
      <c r="CN7" s="348">
        <v>0</v>
      </c>
      <c r="CO7" s="348">
        <v>0</v>
      </c>
      <c r="CP7" s="348">
        <v>0</v>
      </c>
      <c r="CQ7" s="348">
        <v>0</v>
      </c>
      <c r="CR7" s="348">
        <v>0</v>
      </c>
      <c r="CS7" s="348">
        <v>0</v>
      </c>
      <c r="CT7" s="348">
        <v>0</v>
      </c>
      <c r="CU7" s="348">
        <v>0</v>
      </c>
      <c r="CV7" s="348">
        <v>0</v>
      </c>
      <c r="CW7" s="348">
        <v>0</v>
      </c>
      <c r="CX7" s="348">
        <v>0</v>
      </c>
      <c r="CY7" s="348">
        <v>0</v>
      </c>
      <c r="CZ7" s="348">
        <v>0</v>
      </c>
      <c r="DA7" s="348">
        <v>0</v>
      </c>
      <c r="DB7" s="348">
        <v>0</v>
      </c>
      <c r="DC7" s="348">
        <v>0</v>
      </c>
      <c r="DD7" s="348">
        <v>0</v>
      </c>
      <c r="DE7" s="348">
        <v>0</v>
      </c>
      <c r="DF7" s="348">
        <v>0</v>
      </c>
      <c r="DG7" s="348">
        <v>0</v>
      </c>
      <c r="DH7" s="348">
        <v>0</v>
      </c>
      <c r="DI7" s="348">
        <v>0</v>
      </c>
      <c r="DJ7" s="348">
        <v>0</v>
      </c>
      <c r="DK7" s="348">
        <v>0</v>
      </c>
      <c r="DL7" s="348">
        <v>0</v>
      </c>
      <c r="DM7" s="348">
        <v>0</v>
      </c>
      <c r="DN7" s="348">
        <v>0</v>
      </c>
      <c r="DO7" s="348">
        <v>0</v>
      </c>
      <c r="DP7" s="348">
        <v>0</v>
      </c>
      <c r="DQ7" s="348">
        <v>0</v>
      </c>
      <c r="DR7" s="348">
        <v>0</v>
      </c>
      <c r="DS7" s="354">
        <v>2022</v>
      </c>
      <c r="DT7" s="354">
        <v>7</v>
      </c>
      <c r="DU7" s="354">
        <v>27</v>
      </c>
      <c r="DV7" s="345" t="s">
        <v>679</v>
      </c>
      <c r="DW7" s="345" t="s">
        <v>734</v>
      </c>
      <c r="DX7" s="345" t="s">
        <v>735</v>
      </c>
    </row>
    <row r="8" spans="1:128">
      <c r="A8" s="355">
        <v>7</v>
      </c>
      <c r="B8" s="348">
        <v>4073000</v>
      </c>
      <c r="C8" s="348">
        <v>0</v>
      </c>
      <c r="D8" s="348">
        <v>0</v>
      </c>
      <c r="E8" s="348">
        <v>0</v>
      </c>
      <c r="F8" s="348">
        <v>0</v>
      </c>
      <c r="G8" s="348">
        <v>0</v>
      </c>
      <c r="H8" s="348">
        <v>0</v>
      </c>
      <c r="I8" s="348">
        <v>0</v>
      </c>
      <c r="J8" s="348">
        <v>0</v>
      </c>
      <c r="K8" s="348">
        <v>0</v>
      </c>
      <c r="L8" s="348">
        <v>0</v>
      </c>
      <c r="M8" s="348">
        <v>0</v>
      </c>
      <c r="N8" s="348">
        <v>0</v>
      </c>
      <c r="O8" s="348">
        <v>0</v>
      </c>
      <c r="P8" s="348">
        <v>0</v>
      </c>
      <c r="Q8" s="348">
        <v>0</v>
      </c>
      <c r="R8" s="348">
        <v>0</v>
      </c>
      <c r="S8" s="348">
        <v>4073778</v>
      </c>
      <c r="T8" s="348">
        <v>0</v>
      </c>
      <c r="U8" s="348">
        <v>4073778</v>
      </c>
      <c r="V8" s="348">
        <v>4073778</v>
      </c>
      <c r="W8" s="348">
        <v>24375600</v>
      </c>
      <c r="X8" s="348">
        <v>4073778</v>
      </c>
      <c r="Y8" s="348">
        <v>4073778</v>
      </c>
      <c r="Z8" s="348">
        <v>4073000</v>
      </c>
      <c r="AA8" s="348">
        <v>0</v>
      </c>
      <c r="AB8" s="348">
        <v>0</v>
      </c>
      <c r="AC8" s="348">
        <v>0</v>
      </c>
      <c r="AD8" s="348">
        <v>0</v>
      </c>
      <c r="AE8" s="348">
        <v>0</v>
      </c>
      <c r="AF8" s="348">
        <v>0</v>
      </c>
      <c r="AG8" s="348">
        <v>0</v>
      </c>
      <c r="AH8" s="348">
        <v>0</v>
      </c>
      <c r="AI8" s="348">
        <v>0</v>
      </c>
      <c r="AJ8" s="348">
        <v>0</v>
      </c>
      <c r="AK8" s="348">
        <v>0</v>
      </c>
      <c r="AL8" s="348">
        <v>0</v>
      </c>
      <c r="AM8" s="348">
        <v>0</v>
      </c>
      <c r="AN8" s="348">
        <v>0</v>
      </c>
      <c r="AO8" s="348">
        <v>0</v>
      </c>
      <c r="AP8" s="348">
        <v>0</v>
      </c>
      <c r="AQ8" s="348">
        <v>0</v>
      </c>
      <c r="AR8" s="348">
        <v>0</v>
      </c>
      <c r="AS8" s="348">
        <v>0</v>
      </c>
      <c r="AT8" s="348">
        <v>0</v>
      </c>
      <c r="AU8" s="348">
        <v>0</v>
      </c>
      <c r="AV8" s="348">
        <v>0</v>
      </c>
      <c r="AW8" s="348">
        <v>0</v>
      </c>
      <c r="AX8" s="348">
        <v>0</v>
      </c>
      <c r="AY8" s="348">
        <v>0</v>
      </c>
      <c r="AZ8" s="348">
        <v>0</v>
      </c>
      <c r="BA8" s="348">
        <v>0</v>
      </c>
      <c r="BB8" s="348">
        <v>0</v>
      </c>
      <c r="BC8" s="348">
        <v>0</v>
      </c>
      <c r="BD8" s="348">
        <v>0</v>
      </c>
      <c r="BE8" s="348">
        <v>0</v>
      </c>
      <c r="BF8" s="348">
        <v>0</v>
      </c>
      <c r="BG8" s="348">
        <v>0</v>
      </c>
      <c r="BH8" s="348">
        <v>0</v>
      </c>
      <c r="BI8" s="348">
        <v>0</v>
      </c>
      <c r="BJ8" s="348">
        <v>0</v>
      </c>
      <c r="BK8" s="348">
        <v>0</v>
      </c>
      <c r="BL8" s="348">
        <v>0</v>
      </c>
      <c r="BM8" s="348">
        <v>0</v>
      </c>
      <c r="BN8" s="348">
        <v>0</v>
      </c>
      <c r="BO8" s="348">
        <v>0</v>
      </c>
      <c r="BP8" s="348">
        <v>0</v>
      </c>
      <c r="BQ8" s="348">
        <v>0</v>
      </c>
      <c r="BR8" s="348">
        <v>0</v>
      </c>
      <c r="BS8" s="348">
        <v>0</v>
      </c>
      <c r="BT8" s="348">
        <v>0</v>
      </c>
      <c r="BU8" s="348">
        <v>0</v>
      </c>
      <c r="BV8" s="348">
        <v>0</v>
      </c>
      <c r="BW8" s="348">
        <v>0</v>
      </c>
      <c r="BX8" s="348">
        <v>0</v>
      </c>
      <c r="BY8" s="348">
        <v>0</v>
      </c>
      <c r="BZ8" s="348">
        <v>0</v>
      </c>
      <c r="CA8" s="348">
        <v>0</v>
      </c>
      <c r="CB8" s="348">
        <v>0</v>
      </c>
      <c r="CC8" s="348">
        <v>0</v>
      </c>
      <c r="CD8" s="348">
        <v>0</v>
      </c>
      <c r="CE8" s="348">
        <v>0</v>
      </c>
      <c r="CF8" s="348">
        <v>0</v>
      </c>
      <c r="CG8" s="348">
        <v>0</v>
      </c>
      <c r="CH8" s="348">
        <v>0</v>
      </c>
      <c r="CI8" s="348">
        <v>0</v>
      </c>
      <c r="CJ8" s="348">
        <v>0</v>
      </c>
      <c r="CK8" s="348">
        <v>0</v>
      </c>
      <c r="CL8" s="348">
        <v>0</v>
      </c>
      <c r="CM8" s="348">
        <v>0</v>
      </c>
      <c r="CN8" s="348">
        <v>0</v>
      </c>
      <c r="CO8" s="348">
        <v>0</v>
      </c>
      <c r="CP8" s="348">
        <v>0</v>
      </c>
      <c r="CQ8" s="348">
        <v>0</v>
      </c>
      <c r="CR8" s="348">
        <v>0</v>
      </c>
      <c r="CS8" s="348">
        <v>0</v>
      </c>
      <c r="CT8" s="348">
        <v>0</v>
      </c>
      <c r="CU8" s="348">
        <v>0</v>
      </c>
      <c r="CV8" s="348">
        <v>0</v>
      </c>
      <c r="CW8" s="348">
        <v>0</v>
      </c>
      <c r="CX8" s="348">
        <v>0</v>
      </c>
      <c r="CY8" s="348">
        <v>0</v>
      </c>
      <c r="CZ8" s="348">
        <v>0</v>
      </c>
      <c r="DA8" s="348">
        <v>0</v>
      </c>
      <c r="DB8" s="348">
        <v>0</v>
      </c>
      <c r="DC8" s="348">
        <v>0</v>
      </c>
      <c r="DD8" s="348">
        <v>0</v>
      </c>
      <c r="DE8" s="348">
        <v>0</v>
      </c>
      <c r="DF8" s="348">
        <v>0</v>
      </c>
      <c r="DG8" s="348">
        <v>0</v>
      </c>
      <c r="DH8" s="348">
        <v>0</v>
      </c>
      <c r="DI8" s="348">
        <v>0</v>
      </c>
      <c r="DJ8" s="348">
        <v>0</v>
      </c>
      <c r="DK8" s="348">
        <v>0</v>
      </c>
      <c r="DL8" s="348">
        <v>0</v>
      </c>
      <c r="DM8" s="348">
        <v>0</v>
      </c>
      <c r="DN8" s="348">
        <v>0</v>
      </c>
      <c r="DO8" s="348">
        <v>0</v>
      </c>
      <c r="DP8" s="348">
        <v>0</v>
      </c>
      <c r="DQ8" s="348">
        <v>0</v>
      </c>
      <c r="DR8" s="348">
        <v>0</v>
      </c>
      <c r="DS8" s="354">
        <v>2022</v>
      </c>
      <c r="DT8" s="354">
        <v>7</v>
      </c>
      <c r="DU8" s="354">
        <v>27</v>
      </c>
      <c r="DV8" s="345" t="s">
        <v>680</v>
      </c>
      <c r="DW8" s="345" t="s">
        <v>681</v>
      </c>
      <c r="DX8" s="345" t="s">
        <v>735</v>
      </c>
    </row>
    <row r="9" spans="1:128">
      <c r="A9" s="355">
        <v>8</v>
      </c>
      <c r="B9" s="348">
        <v>996000</v>
      </c>
      <c r="C9" s="348">
        <v>0</v>
      </c>
      <c r="D9" s="348">
        <v>0</v>
      </c>
      <c r="E9" s="348">
        <v>0</v>
      </c>
      <c r="F9" s="348">
        <v>0</v>
      </c>
      <c r="G9" s="348">
        <v>0</v>
      </c>
      <c r="H9" s="348">
        <v>0</v>
      </c>
      <c r="I9" s="348">
        <v>0</v>
      </c>
      <c r="J9" s="348">
        <v>0</v>
      </c>
      <c r="K9" s="348">
        <v>0</v>
      </c>
      <c r="L9" s="348">
        <v>0</v>
      </c>
      <c r="M9" s="348">
        <v>0</v>
      </c>
      <c r="N9" s="348">
        <v>0</v>
      </c>
      <c r="O9" s="348">
        <v>0</v>
      </c>
      <c r="P9" s="348">
        <v>0</v>
      </c>
      <c r="Q9" s="348">
        <v>0</v>
      </c>
      <c r="R9" s="348">
        <v>0</v>
      </c>
      <c r="S9" s="348">
        <v>996050</v>
      </c>
      <c r="T9" s="348">
        <v>0</v>
      </c>
      <c r="U9" s="348">
        <v>996050</v>
      </c>
      <c r="V9" s="348">
        <v>996050</v>
      </c>
      <c r="W9" s="348">
        <v>11012400</v>
      </c>
      <c r="X9" s="348">
        <v>996050</v>
      </c>
      <c r="Y9" s="348">
        <v>996050</v>
      </c>
      <c r="Z9" s="348">
        <v>996000</v>
      </c>
      <c r="AA9" s="348">
        <v>0</v>
      </c>
      <c r="AB9" s="348">
        <v>0</v>
      </c>
      <c r="AC9" s="348">
        <v>0</v>
      </c>
      <c r="AD9" s="348">
        <v>0</v>
      </c>
      <c r="AE9" s="348">
        <v>0</v>
      </c>
      <c r="AF9" s="348">
        <v>0</v>
      </c>
      <c r="AG9" s="348">
        <v>0</v>
      </c>
      <c r="AH9" s="348">
        <v>0</v>
      </c>
      <c r="AI9" s="348">
        <v>0</v>
      </c>
      <c r="AJ9" s="348">
        <v>0</v>
      </c>
      <c r="AK9" s="348">
        <v>0</v>
      </c>
      <c r="AL9" s="348">
        <v>0</v>
      </c>
      <c r="AM9" s="348">
        <v>0</v>
      </c>
      <c r="AN9" s="348">
        <v>0</v>
      </c>
      <c r="AO9" s="348">
        <v>0</v>
      </c>
      <c r="AP9" s="348">
        <v>0</v>
      </c>
      <c r="AQ9" s="348">
        <v>0</v>
      </c>
      <c r="AR9" s="348">
        <v>0</v>
      </c>
      <c r="AS9" s="348">
        <v>0</v>
      </c>
      <c r="AT9" s="348">
        <v>0</v>
      </c>
      <c r="AU9" s="348">
        <v>0</v>
      </c>
      <c r="AV9" s="348">
        <v>0</v>
      </c>
      <c r="AW9" s="348">
        <v>0</v>
      </c>
      <c r="AX9" s="348">
        <v>0</v>
      </c>
      <c r="AY9" s="348">
        <v>0</v>
      </c>
      <c r="AZ9" s="348">
        <v>0</v>
      </c>
      <c r="BA9" s="348">
        <v>0</v>
      </c>
      <c r="BB9" s="348">
        <v>0</v>
      </c>
      <c r="BC9" s="348">
        <v>0</v>
      </c>
      <c r="BD9" s="348">
        <v>0</v>
      </c>
      <c r="BE9" s="348">
        <v>0</v>
      </c>
      <c r="BF9" s="348">
        <v>0</v>
      </c>
      <c r="BG9" s="348">
        <v>0</v>
      </c>
      <c r="BH9" s="348">
        <v>0</v>
      </c>
      <c r="BI9" s="348">
        <v>0</v>
      </c>
      <c r="BJ9" s="348">
        <v>0</v>
      </c>
      <c r="BK9" s="348">
        <v>0</v>
      </c>
      <c r="BL9" s="348">
        <v>0</v>
      </c>
      <c r="BM9" s="348">
        <v>0</v>
      </c>
      <c r="BN9" s="348">
        <v>0</v>
      </c>
      <c r="BO9" s="348">
        <v>0</v>
      </c>
      <c r="BP9" s="348">
        <v>0</v>
      </c>
      <c r="BQ9" s="348">
        <v>0</v>
      </c>
      <c r="BR9" s="348">
        <v>0</v>
      </c>
      <c r="BS9" s="348">
        <v>0</v>
      </c>
      <c r="BT9" s="348">
        <v>0</v>
      </c>
      <c r="BU9" s="348">
        <v>0</v>
      </c>
      <c r="BV9" s="348">
        <v>0</v>
      </c>
      <c r="BW9" s="348">
        <v>0</v>
      </c>
      <c r="BX9" s="348">
        <v>0</v>
      </c>
      <c r="BY9" s="348">
        <v>0</v>
      </c>
      <c r="BZ9" s="348">
        <v>0</v>
      </c>
      <c r="CA9" s="348">
        <v>0</v>
      </c>
      <c r="CB9" s="348">
        <v>0</v>
      </c>
      <c r="CC9" s="348">
        <v>0</v>
      </c>
      <c r="CD9" s="348">
        <v>0</v>
      </c>
      <c r="CE9" s="348">
        <v>0</v>
      </c>
      <c r="CF9" s="348">
        <v>0</v>
      </c>
      <c r="CG9" s="348">
        <v>0</v>
      </c>
      <c r="CH9" s="348">
        <v>0</v>
      </c>
      <c r="CI9" s="348">
        <v>0</v>
      </c>
      <c r="CJ9" s="348">
        <v>0</v>
      </c>
      <c r="CK9" s="348">
        <v>0</v>
      </c>
      <c r="CL9" s="348">
        <v>0</v>
      </c>
      <c r="CM9" s="348">
        <v>0</v>
      </c>
      <c r="CN9" s="348">
        <v>0</v>
      </c>
      <c r="CO9" s="348">
        <v>0</v>
      </c>
      <c r="CP9" s="348">
        <v>0</v>
      </c>
      <c r="CQ9" s="348">
        <v>0</v>
      </c>
      <c r="CR9" s="348">
        <v>0</v>
      </c>
      <c r="CS9" s="348">
        <v>0</v>
      </c>
      <c r="CT9" s="348">
        <v>0</v>
      </c>
      <c r="CU9" s="348">
        <v>0</v>
      </c>
      <c r="CV9" s="348">
        <v>0</v>
      </c>
      <c r="CW9" s="348">
        <v>0</v>
      </c>
      <c r="CX9" s="348">
        <v>0</v>
      </c>
      <c r="CY9" s="348">
        <v>0</v>
      </c>
      <c r="CZ9" s="348">
        <v>0</v>
      </c>
      <c r="DA9" s="348">
        <v>0</v>
      </c>
      <c r="DB9" s="348">
        <v>0</v>
      </c>
      <c r="DC9" s="348">
        <v>0</v>
      </c>
      <c r="DD9" s="348">
        <v>0</v>
      </c>
      <c r="DE9" s="348">
        <v>0</v>
      </c>
      <c r="DF9" s="348">
        <v>0</v>
      </c>
      <c r="DG9" s="348">
        <v>0</v>
      </c>
      <c r="DH9" s="348">
        <v>0</v>
      </c>
      <c r="DI9" s="348">
        <v>0</v>
      </c>
      <c r="DJ9" s="348">
        <v>0</v>
      </c>
      <c r="DK9" s="348">
        <v>0</v>
      </c>
      <c r="DL9" s="348">
        <v>0</v>
      </c>
      <c r="DM9" s="348">
        <v>0</v>
      </c>
      <c r="DN9" s="348">
        <v>0</v>
      </c>
      <c r="DO9" s="348">
        <v>0</v>
      </c>
      <c r="DP9" s="348">
        <v>0</v>
      </c>
      <c r="DQ9" s="348">
        <v>0</v>
      </c>
      <c r="DR9" s="348">
        <v>0</v>
      </c>
      <c r="DS9" s="354">
        <v>2022</v>
      </c>
      <c r="DT9" s="354">
        <v>7</v>
      </c>
      <c r="DU9" s="354">
        <v>27</v>
      </c>
      <c r="DV9" s="345" t="s">
        <v>675</v>
      </c>
      <c r="DW9" s="345" t="s">
        <v>682</v>
      </c>
      <c r="DX9" s="345" t="s">
        <v>735</v>
      </c>
    </row>
    <row r="10" spans="1:128">
      <c r="A10" s="355">
        <v>9</v>
      </c>
      <c r="B10" s="348">
        <v>6588000</v>
      </c>
      <c r="C10" s="348">
        <v>0</v>
      </c>
      <c r="D10" s="348">
        <v>0</v>
      </c>
      <c r="E10" s="348">
        <v>0</v>
      </c>
      <c r="F10" s="348">
        <v>0</v>
      </c>
      <c r="G10" s="348">
        <v>0</v>
      </c>
      <c r="H10" s="348">
        <v>0</v>
      </c>
      <c r="I10" s="348">
        <v>0</v>
      </c>
      <c r="J10" s="348">
        <v>0</v>
      </c>
      <c r="K10" s="348">
        <v>0</v>
      </c>
      <c r="L10" s="348">
        <v>0</v>
      </c>
      <c r="M10" s="348">
        <v>0</v>
      </c>
      <c r="N10" s="348">
        <v>0</v>
      </c>
      <c r="O10" s="348">
        <v>0</v>
      </c>
      <c r="P10" s="348">
        <v>0</v>
      </c>
      <c r="Q10" s="348">
        <v>0</v>
      </c>
      <c r="R10" s="348">
        <v>0</v>
      </c>
      <c r="S10" s="348">
        <v>6650600</v>
      </c>
      <c r="T10" s="348">
        <v>0</v>
      </c>
      <c r="U10" s="348">
        <v>6650600</v>
      </c>
      <c r="V10" s="348">
        <v>6650600</v>
      </c>
      <c r="W10" s="348">
        <v>6588000</v>
      </c>
      <c r="X10" s="348">
        <v>6588000</v>
      </c>
      <c r="Y10" s="348">
        <v>6588000</v>
      </c>
      <c r="Z10" s="348">
        <v>6588000</v>
      </c>
      <c r="AA10" s="348">
        <v>0</v>
      </c>
      <c r="AB10" s="348">
        <v>0</v>
      </c>
      <c r="AC10" s="348">
        <v>0</v>
      </c>
      <c r="AD10" s="348">
        <v>0</v>
      </c>
      <c r="AE10" s="348">
        <v>0</v>
      </c>
      <c r="AF10" s="348">
        <v>0</v>
      </c>
      <c r="AG10" s="348">
        <v>0</v>
      </c>
      <c r="AH10" s="348">
        <v>0</v>
      </c>
      <c r="AI10" s="348">
        <v>0</v>
      </c>
      <c r="AJ10" s="348">
        <v>0</v>
      </c>
      <c r="AK10" s="348">
        <v>0</v>
      </c>
      <c r="AL10" s="348">
        <v>0</v>
      </c>
      <c r="AM10" s="348">
        <v>0</v>
      </c>
      <c r="AN10" s="348">
        <v>0</v>
      </c>
      <c r="AO10" s="348">
        <v>0</v>
      </c>
      <c r="AP10" s="348">
        <v>0</v>
      </c>
      <c r="AQ10" s="348">
        <v>0</v>
      </c>
      <c r="AR10" s="348">
        <v>0</v>
      </c>
      <c r="AS10" s="348">
        <v>0</v>
      </c>
      <c r="AT10" s="348">
        <v>0</v>
      </c>
      <c r="AU10" s="348">
        <v>0</v>
      </c>
      <c r="AV10" s="348">
        <v>0</v>
      </c>
      <c r="AW10" s="348">
        <v>0</v>
      </c>
      <c r="AX10" s="348">
        <v>0</v>
      </c>
      <c r="AY10" s="348">
        <v>0</v>
      </c>
      <c r="AZ10" s="348">
        <v>0</v>
      </c>
      <c r="BA10" s="348">
        <v>0</v>
      </c>
      <c r="BB10" s="348">
        <v>0</v>
      </c>
      <c r="BC10" s="348">
        <v>0</v>
      </c>
      <c r="BD10" s="348">
        <v>0</v>
      </c>
      <c r="BE10" s="348">
        <v>0</v>
      </c>
      <c r="BF10" s="348">
        <v>0</v>
      </c>
      <c r="BG10" s="348">
        <v>0</v>
      </c>
      <c r="BH10" s="348">
        <v>0</v>
      </c>
      <c r="BI10" s="348">
        <v>0</v>
      </c>
      <c r="BJ10" s="348">
        <v>0</v>
      </c>
      <c r="BK10" s="348">
        <v>0</v>
      </c>
      <c r="BL10" s="348">
        <v>0</v>
      </c>
      <c r="BM10" s="348">
        <v>0</v>
      </c>
      <c r="BN10" s="348">
        <v>0</v>
      </c>
      <c r="BO10" s="348">
        <v>0</v>
      </c>
      <c r="BP10" s="348">
        <v>0</v>
      </c>
      <c r="BQ10" s="348">
        <v>0</v>
      </c>
      <c r="BR10" s="348">
        <v>0</v>
      </c>
      <c r="BS10" s="348">
        <v>0</v>
      </c>
      <c r="BT10" s="348">
        <v>0</v>
      </c>
      <c r="BU10" s="348">
        <v>0</v>
      </c>
      <c r="BV10" s="348">
        <v>0</v>
      </c>
      <c r="BW10" s="348">
        <v>0</v>
      </c>
      <c r="BX10" s="348">
        <v>0</v>
      </c>
      <c r="BY10" s="348">
        <v>0</v>
      </c>
      <c r="BZ10" s="348">
        <v>0</v>
      </c>
      <c r="CA10" s="348">
        <v>0</v>
      </c>
      <c r="CB10" s="348">
        <v>0</v>
      </c>
      <c r="CC10" s="348">
        <v>0</v>
      </c>
      <c r="CD10" s="348">
        <v>0</v>
      </c>
      <c r="CE10" s="348">
        <v>0</v>
      </c>
      <c r="CF10" s="348">
        <v>0</v>
      </c>
      <c r="CG10" s="348">
        <v>0</v>
      </c>
      <c r="CH10" s="348">
        <v>0</v>
      </c>
      <c r="CI10" s="348">
        <v>0</v>
      </c>
      <c r="CJ10" s="348">
        <v>0</v>
      </c>
      <c r="CK10" s="348">
        <v>0</v>
      </c>
      <c r="CL10" s="348">
        <v>0</v>
      </c>
      <c r="CM10" s="348">
        <v>0</v>
      </c>
      <c r="CN10" s="348">
        <v>0</v>
      </c>
      <c r="CO10" s="348">
        <v>0</v>
      </c>
      <c r="CP10" s="348">
        <v>0</v>
      </c>
      <c r="CQ10" s="348">
        <v>0</v>
      </c>
      <c r="CR10" s="348">
        <v>0</v>
      </c>
      <c r="CS10" s="348">
        <v>0</v>
      </c>
      <c r="CT10" s="348">
        <v>0</v>
      </c>
      <c r="CU10" s="348">
        <v>0</v>
      </c>
      <c r="CV10" s="348">
        <v>0</v>
      </c>
      <c r="CW10" s="348">
        <v>0</v>
      </c>
      <c r="CX10" s="348">
        <v>0</v>
      </c>
      <c r="CY10" s="348">
        <v>0</v>
      </c>
      <c r="CZ10" s="348">
        <v>0</v>
      </c>
      <c r="DA10" s="348">
        <v>0</v>
      </c>
      <c r="DB10" s="348">
        <v>0</v>
      </c>
      <c r="DC10" s="348">
        <v>0</v>
      </c>
      <c r="DD10" s="348">
        <v>0</v>
      </c>
      <c r="DE10" s="348">
        <v>0</v>
      </c>
      <c r="DF10" s="348">
        <v>0</v>
      </c>
      <c r="DG10" s="348">
        <v>0</v>
      </c>
      <c r="DH10" s="348">
        <v>0</v>
      </c>
      <c r="DI10" s="348">
        <v>0</v>
      </c>
      <c r="DJ10" s="348">
        <v>0</v>
      </c>
      <c r="DK10" s="348">
        <v>0</v>
      </c>
      <c r="DL10" s="348">
        <v>0</v>
      </c>
      <c r="DM10" s="348">
        <v>0</v>
      </c>
      <c r="DN10" s="348">
        <v>0</v>
      </c>
      <c r="DO10" s="348">
        <v>0</v>
      </c>
      <c r="DP10" s="348">
        <v>0</v>
      </c>
      <c r="DQ10" s="348">
        <v>0</v>
      </c>
      <c r="DR10" s="348">
        <v>0</v>
      </c>
      <c r="DS10" s="354">
        <v>2022</v>
      </c>
      <c r="DT10" s="354">
        <v>7</v>
      </c>
      <c r="DU10" s="354">
        <v>27</v>
      </c>
      <c r="DV10" s="345" t="s">
        <v>683</v>
      </c>
      <c r="DW10" s="345" t="s">
        <v>684</v>
      </c>
      <c r="DX10" s="345" t="s">
        <v>735</v>
      </c>
    </row>
    <row r="11" spans="1:128">
      <c r="A11" s="355">
        <v>10</v>
      </c>
      <c r="B11" s="348">
        <v>1065000</v>
      </c>
      <c r="C11" s="348">
        <v>0</v>
      </c>
      <c r="D11" s="348">
        <v>0</v>
      </c>
      <c r="E11" s="348">
        <v>0</v>
      </c>
      <c r="F11" s="348">
        <v>0</v>
      </c>
      <c r="G11" s="348">
        <v>0</v>
      </c>
      <c r="H11" s="348">
        <v>0</v>
      </c>
      <c r="I11" s="348">
        <v>0</v>
      </c>
      <c r="J11" s="348">
        <v>0</v>
      </c>
      <c r="K11" s="348">
        <v>0</v>
      </c>
      <c r="L11" s="348">
        <v>0</v>
      </c>
      <c r="M11" s="348">
        <v>0</v>
      </c>
      <c r="N11" s="348">
        <v>0</v>
      </c>
      <c r="O11" s="348">
        <v>0</v>
      </c>
      <c r="P11" s="348">
        <v>0</v>
      </c>
      <c r="Q11" s="348">
        <v>0</v>
      </c>
      <c r="R11" s="348">
        <v>0</v>
      </c>
      <c r="S11" s="348">
        <v>1273250</v>
      </c>
      <c r="T11" s="348">
        <v>0</v>
      </c>
      <c r="U11" s="348">
        <v>1273250</v>
      </c>
      <c r="V11" s="348">
        <v>1273250</v>
      </c>
      <c r="W11" s="348">
        <v>1065600</v>
      </c>
      <c r="X11" s="348">
        <v>1065600</v>
      </c>
      <c r="Y11" s="348">
        <v>1065600</v>
      </c>
      <c r="Z11" s="348">
        <v>1065000</v>
      </c>
      <c r="AA11" s="348">
        <v>0</v>
      </c>
      <c r="AB11" s="348">
        <v>0</v>
      </c>
      <c r="AC11" s="348">
        <v>0</v>
      </c>
      <c r="AD11" s="348">
        <v>0</v>
      </c>
      <c r="AE11" s="348">
        <v>0</v>
      </c>
      <c r="AF11" s="348">
        <v>0</v>
      </c>
      <c r="AG11" s="348">
        <v>0</v>
      </c>
      <c r="AH11" s="348">
        <v>0</v>
      </c>
      <c r="AI11" s="348">
        <v>0</v>
      </c>
      <c r="AJ11" s="348">
        <v>0</v>
      </c>
      <c r="AK11" s="348">
        <v>0</v>
      </c>
      <c r="AL11" s="348">
        <v>0</v>
      </c>
      <c r="AM11" s="348">
        <v>0</v>
      </c>
      <c r="AN11" s="348">
        <v>0</v>
      </c>
      <c r="AO11" s="348">
        <v>0</v>
      </c>
      <c r="AP11" s="348">
        <v>0</v>
      </c>
      <c r="AQ11" s="348">
        <v>0</v>
      </c>
      <c r="AR11" s="348">
        <v>0</v>
      </c>
      <c r="AS11" s="348">
        <v>0</v>
      </c>
      <c r="AT11" s="348">
        <v>0</v>
      </c>
      <c r="AU11" s="348">
        <v>0</v>
      </c>
      <c r="AV11" s="348">
        <v>0</v>
      </c>
      <c r="AW11" s="348">
        <v>0</v>
      </c>
      <c r="AX11" s="348">
        <v>0</v>
      </c>
      <c r="AY11" s="348">
        <v>0</v>
      </c>
      <c r="AZ11" s="348">
        <v>0</v>
      </c>
      <c r="BA11" s="348">
        <v>0</v>
      </c>
      <c r="BB11" s="348">
        <v>0</v>
      </c>
      <c r="BC11" s="348">
        <v>0</v>
      </c>
      <c r="BD11" s="348">
        <v>0</v>
      </c>
      <c r="BE11" s="348">
        <v>0</v>
      </c>
      <c r="BF11" s="348">
        <v>0</v>
      </c>
      <c r="BG11" s="348">
        <v>0</v>
      </c>
      <c r="BH11" s="348">
        <v>0</v>
      </c>
      <c r="BI11" s="348">
        <v>0</v>
      </c>
      <c r="BJ11" s="348">
        <v>0</v>
      </c>
      <c r="BK11" s="348">
        <v>0</v>
      </c>
      <c r="BL11" s="348">
        <v>0</v>
      </c>
      <c r="BM11" s="348">
        <v>0</v>
      </c>
      <c r="BN11" s="348">
        <v>0</v>
      </c>
      <c r="BO11" s="348">
        <v>0</v>
      </c>
      <c r="BP11" s="348">
        <v>0</v>
      </c>
      <c r="BQ11" s="348">
        <v>0</v>
      </c>
      <c r="BR11" s="348">
        <v>0</v>
      </c>
      <c r="BS11" s="348">
        <v>0</v>
      </c>
      <c r="BT11" s="348">
        <v>0</v>
      </c>
      <c r="BU11" s="348">
        <v>0</v>
      </c>
      <c r="BV11" s="348">
        <v>0</v>
      </c>
      <c r="BW11" s="348">
        <v>0</v>
      </c>
      <c r="BX11" s="348">
        <v>0</v>
      </c>
      <c r="BY11" s="348">
        <v>0</v>
      </c>
      <c r="BZ11" s="348">
        <v>0</v>
      </c>
      <c r="CA11" s="348">
        <v>0</v>
      </c>
      <c r="CB11" s="348">
        <v>0</v>
      </c>
      <c r="CC11" s="348">
        <v>0</v>
      </c>
      <c r="CD11" s="348">
        <v>0</v>
      </c>
      <c r="CE11" s="348">
        <v>0</v>
      </c>
      <c r="CF11" s="348">
        <v>0</v>
      </c>
      <c r="CG11" s="348">
        <v>0</v>
      </c>
      <c r="CH11" s="348">
        <v>0</v>
      </c>
      <c r="CI11" s="348">
        <v>0</v>
      </c>
      <c r="CJ11" s="348">
        <v>0</v>
      </c>
      <c r="CK11" s="348">
        <v>0</v>
      </c>
      <c r="CL11" s="348">
        <v>0</v>
      </c>
      <c r="CM11" s="348">
        <v>0</v>
      </c>
      <c r="CN11" s="348">
        <v>0</v>
      </c>
      <c r="CO11" s="348">
        <v>0</v>
      </c>
      <c r="CP11" s="348">
        <v>0</v>
      </c>
      <c r="CQ11" s="348">
        <v>0</v>
      </c>
      <c r="CR11" s="348">
        <v>0</v>
      </c>
      <c r="CS11" s="348">
        <v>0</v>
      </c>
      <c r="CT11" s="348">
        <v>0</v>
      </c>
      <c r="CU11" s="348">
        <v>0</v>
      </c>
      <c r="CV11" s="348">
        <v>0</v>
      </c>
      <c r="CW11" s="348">
        <v>0</v>
      </c>
      <c r="CX11" s="348">
        <v>0</v>
      </c>
      <c r="CY11" s="348">
        <v>0</v>
      </c>
      <c r="CZ11" s="348">
        <v>0</v>
      </c>
      <c r="DA11" s="348">
        <v>0</v>
      </c>
      <c r="DB11" s="348">
        <v>0</v>
      </c>
      <c r="DC11" s="348">
        <v>0</v>
      </c>
      <c r="DD11" s="348">
        <v>0</v>
      </c>
      <c r="DE11" s="348">
        <v>0</v>
      </c>
      <c r="DF11" s="348">
        <v>0</v>
      </c>
      <c r="DG11" s="348">
        <v>0</v>
      </c>
      <c r="DH11" s="348">
        <v>0</v>
      </c>
      <c r="DI11" s="348">
        <v>0</v>
      </c>
      <c r="DJ11" s="348">
        <v>0</v>
      </c>
      <c r="DK11" s="348">
        <v>0</v>
      </c>
      <c r="DL11" s="348">
        <v>0</v>
      </c>
      <c r="DM11" s="348">
        <v>0</v>
      </c>
      <c r="DN11" s="348">
        <v>0</v>
      </c>
      <c r="DO11" s="348">
        <v>0</v>
      </c>
      <c r="DP11" s="348">
        <v>0</v>
      </c>
      <c r="DQ11" s="348">
        <v>0</v>
      </c>
      <c r="DR11" s="348">
        <v>0</v>
      </c>
      <c r="DS11" s="354">
        <v>2022</v>
      </c>
      <c r="DT11" s="354">
        <v>7</v>
      </c>
      <c r="DU11" s="354">
        <v>27</v>
      </c>
      <c r="DV11" s="345" t="s">
        <v>675</v>
      </c>
      <c r="DW11" s="345" t="s">
        <v>685</v>
      </c>
      <c r="DX11" s="345" t="s">
        <v>735</v>
      </c>
    </row>
    <row r="12" spans="1:128">
      <c r="A12" s="355">
        <v>11</v>
      </c>
      <c r="B12" s="348">
        <v>1609000</v>
      </c>
      <c r="C12" s="348">
        <v>0</v>
      </c>
      <c r="D12" s="348">
        <v>0</v>
      </c>
      <c r="E12" s="348">
        <v>0</v>
      </c>
      <c r="F12" s="348">
        <v>0</v>
      </c>
      <c r="G12" s="348">
        <v>0</v>
      </c>
      <c r="H12" s="348">
        <v>0</v>
      </c>
      <c r="I12" s="348">
        <v>0</v>
      </c>
      <c r="J12" s="348">
        <v>0</v>
      </c>
      <c r="K12" s="348">
        <v>0</v>
      </c>
      <c r="L12" s="348">
        <v>0</v>
      </c>
      <c r="M12" s="348">
        <v>0</v>
      </c>
      <c r="N12" s="348">
        <v>0</v>
      </c>
      <c r="O12" s="348">
        <v>0</v>
      </c>
      <c r="P12" s="348">
        <v>0</v>
      </c>
      <c r="Q12" s="348">
        <v>0</v>
      </c>
      <c r="R12" s="348">
        <v>0</v>
      </c>
      <c r="S12" s="348">
        <v>1609300</v>
      </c>
      <c r="T12" s="348">
        <v>0</v>
      </c>
      <c r="U12" s="348">
        <v>1609300</v>
      </c>
      <c r="V12" s="348">
        <v>1609300</v>
      </c>
      <c r="W12" s="348">
        <v>3294000</v>
      </c>
      <c r="X12" s="348">
        <v>1609300</v>
      </c>
      <c r="Y12" s="348">
        <v>1609300</v>
      </c>
      <c r="Z12" s="348">
        <v>1609000</v>
      </c>
      <c r="AA12" s="348">
        <v>0</v>
      </c>
      <c r="AB12" s="348">
        <v>0</v>
      </c>
      <c r="AC12" s="348">
        <v>0</v>
      </c>
      <c r="AD12" s="348">
        <v>0</v>
      </c>
      <c r="AE12" s="348">
        <v>0</v>
      </c>
      <c r="AF12" s="348">
        <v>0</v>
      </c>
      <c r="AG12" s="348">
        <v>0</v>
      </c>
      <c r="AH12" s="348">
        <v>0</v>
      </c>
      <c r="AI12" s="348">
        <v>0</v>
      </c>
      <c r="AJ12" s="348">
        <v>0</v>
      </c>
      <c r="AK12" s="348">
        <v>0</v>
      </c>
      <c r="AL12" s="348">
        <v>0</v>
      </c>
      <c r="AM12" s="348">
        <v>0</v>
      </c>
      <c r="AN12" s="348">
        <v>0</v>
      </c>
      <c r="AO12" s="348">
        <v>0</v>
      </c>
      <c r="AP12" s="348">
        <v>0</v>
      </c>
      <c r="AQ12" s="348">
        <v>0</v>
      </c>
      <c r="AR12" s="348">
        <v>0</v>
      </c>
      <c r="AS12" s="348">
        <v>0</v>
      </c>
      <c r="AT12" s="348">
        <v>0</v>
      </c>
      <c r="AU12" s="348">
        <v>0</v>
      </c>
      <c r="AV12" s="348">
        <v>0</v>
      </c>
      <c r="AW12" s="348">
        <v>0</v>
      </c>
      <c r="AX12" s="348">
        <v>0</v>
      </c>
      <c r="AY12" s="348">
        <v>0</v>
      </c>
      <c r="AZ12" s="348">
        <v>0</v>
      </c>
      <c r="BA12" s="348">
        <v>0</v>
      </c>
      <c r="BB12" s="348">
        <v>0</v>
      </c>
      <c r="BC12" s="348">
        <v>0</v>
      </c>
      <c r="BD12" s="348">
        <v>0</v>
      </c>
      <c r="BE12" s="348">
        <v>0</v>
      </c>
      <c r="BF12" s="348">
        <v>0</v>
      </c>
      <c r="BG12" s="348">
        <v>0</v>
      </c>
      <c r="BH12" s="348">
        <v>0</v>
      </c>
      <c r="BI12" s="348">
        <v>0</v>
      </c>
      <c r="BJ12" s="348">
        <v>0</v>
      </c>
      <c r="BK12" s="348">
        <v>0</v>
      </c>
      <c r="BL12" s="348">
        <v>0</v>
      </c>
      <c r="BM12" s="348">
        <v>0</v>
      </c>
      <c r="BN12" s="348">
        <v>0</v>
      </c>
      <c r="BO12" s="348">
        <v>0</v>
      </c>
      <c r="BP12" s="348">
        <v>0</v>
      </c>
      <c r="BQ12" s="348">
        <v>0</v>
      </c>
      <c r="BR12" s="348">
        <v>0</v>
      </c>
      <c r="BS12" s="348">
        <v>0</v>
      </c>
      <c r="BT12" s="348">
        <v>0</v>
      </c>
      <c r="BU12" s="348">
        <v>0</v>
      </c>
      <c r="BV12" s="348">
        <v>0</v>
      </c>
      <c r="BW12" s="348">
        <v>0</v>
      </c>
      <c r="BX12" s="348">
        <v>0</v>
      </c>
      <c r="BY12" s="348">
        <v>0</v>
      </c>
      <c r="BZ12" s="348">
        <v>0</v>
      </c>
      <c r="CA12" s="348">
        <v>0</v>
      </c>
      <c r="CB12" s="348">
        <v>0</v>
      </c>
      <c r="CC12" s="348">
        <v>0</v>
      </c>
      <c r="CD12" s="348">
        <v>0</v>
      </c>
      <c r="CE12" s="348">
        <v>0</v>
      </c>
      <c r="CF12" s="348">
        <v>0</v>
      </c>
      <c r="CG12" s="348">
        <v>0</v>
      </c>
      <c r="CH12" s="348">
        <v>0</v>
      </c>
      <c r="CI12" s="348">
        <v>0</v>
      </c>
      <c r="CJ12" s="348">
        <v>0</v>
      </c>
      <c r="CK12" s="348">
        <v>0</v>
      </c>
      <c r="CL12" s="348">
        <v>0</v>
      </c>
      <c r="CM12" s="348">
        <v>0</v>
      </c>
      <c r="CN12" s="348">
        <v>0</v>
      </c>
      <c r="CO12" s="348">
        <v>0</v>
      </c>
      <c r="CP12" s="348">
        <v>0</v>
      </c>
      <c r="CQ12" s="348">
        <v>0</v>
      </c>
      <c r="CR12" s="348">
        <v>0</v>
      </c>
      <c r="CS12" s="348">
        <v>0</v>
      </c>
      <c r="CT12" s="348">
        <v>0</v>
      </c>
      <c r="CU12" s="348">
        <v>0</v>
      </c>
      <c r="CV12" s="348">
        <v>0</v>
      </c>
      <c r="CW12" s="348">
        <v>0</v>
      </c>
      <c r="CX12" s="348">
        <v>0</v>
      </c>
      <c r="CY12" s="348">
        <v>0</v>
      </c>
      <c r="CZ12" s="348">
        <v>0</v>
      </c>
      <c r="DA12" s="348">
        <v>0</v>
      </c>
      <c r="DB12" s="348">
        <v>0</v>
      </c>
      <c r="DC12" s="348">
        <v>0</v>
      </c>
      <c r="DD12" s="348">
        <v>0</v>
      </c>
      <c r="DE12" s="348">
        <v>0</v>
      </c>
      <c r="DF12" s="348">
        <v>0</v>
      </c>
      <c r="DG12" s="348">
        <v>0</v>
      </c>
      <c r="DH12" s="348">
        <v>0</v>
      </c>
      <c r="DI12" s="348">
        <v>0</v>
      </c>
      <c r="DJ12" s="348">
        <v>0</v>
      </c>
      <c r="DK12" s="348">
        <v>0</v>
      </c>
      <c r="DL12" s="348">
        <v>0</v>
      </c>
      <c r="DM12" s="348">
        <v>0</v>
      </c>
      <c r="DN12" s="348">
        <v>0</v>
      </c>
      <c r="DO12" s="348">
        <v>0</v>
      </c>
      <c r="DP12" s="348">
        <v>0</v>
      </c>
      <c r="DQ12" s="348">
        <v>0</v>
      </c>
      <c r="DR12" s="348">
        <v>0</v>
      </c>
      <c r="DS12" s="354">
        <v>2022</v>
      </c>
      <c r="DT12" s="354">
        <v>7</v>
      </c>
      <c r="DU12" s="354">
        <v>27</v>
      </c>
      <c r="DV12" s="345" t="s">
        <v>686</v>
      </c>
      <c r="DW12" s="345" t="s">
        <v>687</v>
      </c>
      <c r="DX12" s="345" t="s">
        <v>735</v>
      </c>
    </row>
    <row r="13" spans="1:128">
      <c r="A13" s="355">
        <v>12</v>
      </c>
      <c r="B13" s="348">
        <v>253000</v>
      </c>
      <c r="C13" s="348">
        <v>0</v>
      </c>
      <c r="D13" s="348">
        <v>0</v>
      </c>
      <c r="E13" s="348">
        <v>0</v>
      </c>
      <c r="F13" s="348">
        <v>0</v>
      </c>
      <c r="G13" s="348">
        <v>0</v>
      </c>
      <c r="H13" s="348">
        <v>0</v>
      </c>
      <c r="I13" s="348">
        <v>0</v>
      </c>
      <c r="J13" s="348">
        <v>0</v>
      </c>
      <c r="K13" s="348">
        <v>0</v>
      </c>
      <c r="L13" s="348">
        <v>0</v>
      </c>
      <c r="M13" s="348">
        <v>0</v>
      </c>
      <c r="N13" s="348">
        <v>0</v>
      </c>
      <c r="O13" s="348">
        <v>0</v>
      </c>
      <c r="P13" s="348">
        <v>0</v>
      </c>
      <c r="Q13" s="348">
        <v>0</v>
      </c>
      <c r="R13" s="348">
        <v>0</v>
      </c>
      <c r="S13" s="348">
        <v>253242</v>
      </c>
      <c r="T13" s="348">
        <v>0</v>
      </c>
      <c r="U13" s="348">
        <v>253242</v>
      </c>
      <c r="V13" s="348">
        <v>253242</v>
      </c>
      <c r="W13" s="348">
        <v>2635200</v>
      </c>
      <c r="X13" s="348">
        <v>253242</v>
      </c>
      <c r="Y13" s="348">
        <v>253242</v>
      </c>
      <c r="Z13" s="348">
        <v>253000</v>
      </c>
      <c r="AA13" s="348">
        <v>0</v>
      </c>
      <c r="AB13" s="348">
        <v>0</v>
      </c>
      <c r="AC13" s="348">
        <v>0</v>
      </c>
      <c r="AD13" s="348">
        <v>0</v>
      </c>
      <c r="AE13" s="348">
        <v>0</v>
      </c>
      <c r="AF13" s="348">
        <v>0</v>
      </c>
      <c r="AG13" s="348">
        <v>0</v>
      </c>
      <c r="AH13" s="348">
        <v>0</v>
      </c>
      <c r="AI13" s="348">
        <v>0</v>
      </c>
      <c r="AJ13" s="348">
        <v>0</v>
      </c>
      <c r="AK13" s="348">
        <v>0</v>
      </c>
      <c r="AL13" s="348">
        <v>0</v>
      </c>
      <c r="AM13" s="348">
        <v>0</v>
      </c>
      <c r="AN13" s="348">
        <v>0</v>
      </c>
      <c r="AO13" s="348">
        <v>0</v>
      </c>
      <c r="AP13" s="348">
        <v>0</v>
      </c>
      <c r="AQ13" s="348">
        <v>0</v>
      </c>
      <c r="AR13" s="348">
        <v>0</v>
      </c>
      <c r="AS13" s="348">
        <v>0</v>
      </c>
      <c r="AT13" s="348">
        <v>0</v>
      </c>
      <c r="AU13" s="348">
        <v>0</v>
      </c>
      <c r="AV13" s="348">
        <v>0</v>
      </c>
      <c r="AW13" s="348">
        <v>0</v>
      </c>
      <c r="AX13" s="348">
        <v>0</v>
      </c>
      <c r="AY13" s="348">
        <v>0</v>
      </c>
      <c r="AZ13" s="348">
        <v>0</v>
      </c>
      <c r="BA13" s="348">
        <v>0</v>
      </c>
      <c r="BB13" s="348">
        <v>0</v>
      </c>
      <c r="BC13" s="348">
        <v>0</v>
      </c>
      <c r="BD13" s="348">
        <v>0</v>
      </c>
      <c r="BE13" s="348">
        <v>0</v>
      </c>
      <c r="BF13" s="348">
        <v>0</v>
      </c>
      <c r="BG13" s="348">
        <v>0</v>
      </c>
      <c r="BH13" s="348">
        <v>0</v>
      </c>
      <c r="BI13" s="348">
        <v>0</v>
      </c>
      <c r="BJ13" s="348">
        <v>0</v>
      </c>
      <c r="BK13" s="348">
        <v>0</v>
      </c>
      <c r="BL13" s="348">
        <v>0</v>
      </c>
      <c r="BM13" s="348">
        <v>0</v>
      </c>
      <c r="BN13" s="348">
        <v>0</v>
      </c>
      <c r="BO13" s="348">
        <v>0</v>
      </c>
      <c r="BP13" s="348">
        <v>0</v>
      </c>
      <c r="BQ13" s="348">
        <v>0</v>
      </c>
      <c r="BR13" s="348">
        <v>0</v>
      </c>
      <c r="BS13" s="348">
        <v>0</v>
      </c>
      <c r="BT13" s="348">
        <v>0</v>
      </c>
      <c r="BU13" s="348">
        <v>0</v>
      </c>
      <c r="BV13" s="348">
        <v>0</v>
      </c>
      <c r="BW13" s="348">
        <v>0</v>
      </c>
      <c r="BX13" s="348">
        <v>0</v>
      </c>
      <c r="BY13" s="348">
        <v>0</v>
      </c>
      <c r="BZ13" s="348">
        <v>0</v>
      </c>
      <c r="CA13" s="348">
        <v>0</v>
      </c>
      <c r="CB13" s="348">
        <v>0</v>
      </c>
      <c r="CC13" s="348">
        <v>0</v>
      </c>
      <c r="CD13" s="348">
        <v>0</v>
      </c>
      <c r="CE13" s="348">
        <v>0</v>
      </c>
      <c r="CF13" s="348">
        <v>0</v>
      </c>
      <c r="CG13" s="348">
        <v>0</v>
      </c>
      <c r="CH13" s="348">
        <v>0</v>
      </c>
      <c r="CI13" s="348">
        <v>0</v>
      </c>
      <c r="CJ13" s="348">
        <v>0</v>
      </c>
      <c r="CK13" s="348">
        <v>0</v>
      </c>
      <c r="CL13" s="348">
        <v>0</v>
      </c>
      <c r="CM13" s="348">
        <v>0</v>
      </c>
      <c r="CN13" s="348">
        <v>0</v>
      </c>
      <c r="CO13" s="348">
        <v>0</v>
      </c>
      <c r="CP13" s="348">
        <v>0</v>
      </c>
      <c r="CQ13" s="348">
        <v>0</v>
      </c>
      <c r="CR13" s="348">
        <v>0</v>
      </c>
      <c r="CS13" s="348">
        <v>0</v>
      </c>
      <c r="CT13" s="348">
        <v>0</v>
      </c>
      <c r="CU13" s="348">
        <v>0</v>
      </c>
      <c r="CV13" s="348">
        <v>0</v>
      </c>
      <c r="CW13" s="348">
        <v>0</v>
      </c>
      <c r="CX13" s="348">
        <v>0</v>
      </c>
      <c r="CY13" s="348">
        <v>0</v>
      </c>
      <c r="CZ13" s="348">
        <v>0</v>
      </c>
      <c r="DA13" s="348">
        <v>0</v>
      </c>
      <c r="DB13" s="348">
        <v>0</v>
      </c>
      <c r="DC13" s="348">
        <v>0</v>
      </c>
      <c r="DD13" s="348">
        <v>0</v>
      </c>
      <c r="DE13" s="348">
        <v>0</v>
      </c>
      <c r="DF13" s="348">
        <v>0</v>
      </c>
      <c r="DG13" s="348">
        <v>0</v>
      </c>
      <c r="DH13" s="348">
        <v>0</v>
      </c>
      <c r="DI13" s="348">
        <v>0</v>
      </c>
      <c r="DJ13" s="348">
        <v>0</v>
      </c>
      <c r="DK13" s="348">
        <v>0</v>
      </c>
      <c r="DL13" s="348">
        <v>0</v>
      </c>
      <c r="DM13" s="348">
        <v>0</v>
      </c>
      <c r="DN13" s="348">
        <v>0</v>
      </c>
      <c r="DO13" s="348">
        <v>0</v>
      </c>
      <c r="DP13" s="348">
        <v>0</v>
      </c>
      <c r="DQ13" s="348">
        <v>0</v>
      </c>
      <c r="DR13" s="348">
        <v>0</v>
      </c>
      <c r="DS13" s="354">
        <v>2022</v>
      </c>
      <c r="DT13" s="354">
        <v>7</v>
      </c>
      <c r="DU13" s="354">
        <v>27</v>
      </c>
      <c r="DV13" s="345" t="s">
        <v>688</v>
      </c>
      <c r="DW13" s="345" t="s">
        <v>689</v>
      </c>
      <c r="DX13" s="345" t="s">
        <v>735</v>
      </c>
    </row>
    <row r="14" spans="1:128">
      <c r="A14" s="355">
        <v>13</v>
      </c>
      <c r="B14" s="348">
        <v>5499000</v>
      </c>
      <c r="C14" s="348">
        <v>0</v>
      </c>
      <c r="D14" s="348">
        <v>0</v>
      </c>
      <c r="E14" s="348">
        <v>0</v>
      </c>
      <c r="F14" s="348">
        <v>0</v>
      </c>
      <c r="G14" s="348">
        <v>0</v>
      </c>
      <c r="H14" s="348">
        <v>0</v>
      </c>
      <c r="I14" s="348">
        <v>0</v>
      </c>
      <c r="J14" s="348">
        <v>0</v>
      </c>
      <c r="K14" s="348">
        <v>0</v>
      </c>
      <c r="L14" s="348">
        <v>0</v>
      </c>
      <c r="M14" s="348">
        <v>0</v>
      </c>
      <c r="N14" s="348">
        <v>0</v>
      </c>
      <c r="O14" s="348">
        <v>0</v>
      </c>
      <c r="P14" s="348">
        <v>0</v>
      </c>
      <c r="Q14" s="348">
        <v>0</v>
      </c>
      <c r="R14" s="348">
        <v>0</v>
      </c>
      <c r="S14" s="348">
        <v>5499890</v>
      </c>
      <c r="T14" s="348">
        <v>0</v>
      </c>
      <c r="U14" s="348">
        <v>5499890</v>
      </c>
      <c r="V14" s="348">
        <v>5499890</v>
      </c>
      <c r="W14" s="348">
        <v>6588000</v>
      </c>
      <c r="X14" s="348">
        <v>5499890</v>
      </c>
      <c r="Y14" s="348">
        <v>5499890</v>
      </c>
      <c r="Z14" s="348">
        <v>5499000</v>
      </c>
      <c r="AA14" s="348">
        <v>0</v>
      </c>
      <c r="AB14" s="348">
        <v>0</v>
      </c>
      <c r="AC14" s="348">
        <v>0</v>
      </c>
      <c r="AD14" s="348">
        <v>0</v>
      </c>
      <c r="AE14" s="348">
        <v>0</v>
      </c>
      <c r="AF14" s="348">
        <v>0</v>
      </c>
      <c r="AG14" s="348">
        <v>0</v>
      </c>
      <c r="AH14" s="348">
        <v>0</v>
      </c>
      <c r="AI14" s="348">
        <v>0</v>
      </c>
      <c r="AJ14" s="348">
        <v>0</v>
      </c>
      <c r="AK14" s="348">
        <v>0</v>
      </c>
      <c r="AL14" s="348">
        <v>0</v>
      </c>
      <c r="AM14" s="348">
        <v>0</v>
      </c>
      <c r="AN14" s="348">
        <v>0</v>
      </c>
      <c r="AO14" s="348">
        <v>0</v>
      </c>
      <c r="AP14" s="348">
        <v>0</v>
      </c>
      <c r="AQ14" s="348">
        <v>0</v>
      </c>
      <c r="AR14" s="348">
        <v>0</v>
      </c>
      <c r="AS14" s="348">
        <v>0</v>
      </c>
      <c r="AT14" s="348">
        <v>0</v>
      </c>
      <c r="AU14" s="348">
        <v>0</v>
      </c>
      <c r="AV14" s="348">
        <v>0</v>
      </c>
      <c r="AW14" s="348">
        <v>0</v>
      </c>
      <c r="AX14" s="348">
        <v>0</v>
      </c>
      <c r="AY14" s="348">
        <v>0</v>
      </c>
      <c r="AZ14" s="348">
        <v>0</v>
      </c>
      <c r="BA14" s="348">
        <v>0</v>
      </c>
      <c r="BB14" s="348">
        <v>0</v>
      </c>
      <c r="BC14" s="348">
        <v>0</v>
      </c>
      <c r="BD14" s="348">
        <v>0</v>
      </c>
      <c r="BE14" s="348">
        <v>0</v>
      </c>
      <c r="BF14" s="348">
        <v>0</v>
      </c>
      <c r="BG14" s="348">
        <v>0</v>
      </c>
      <c r="BH14" s="348">
        <v>0</v>
      </c>
      <c r="BI14" s="348">
        <v>0</v>
      </c>
      <c r="BJ14" s="348">
        <v>0</v>
      </c>
      <c r="BK14" s="348">
        <v>0</v>
      </c>
      <c r="BL14" s="348">
        <v>0</v>
      </c>
      <c r="BM14" s="348">
        <v>0</v>
      </c>
      <c r="BN14" s="348">
        <v>0</v>
      </c>
      <c r="BO14" s="348">
        <v>0</v>
      </c>
      <c r="BP14" s="348">
        <v>0</v>
      </c>
      <c r="BQ14" s="348">
        <v>0</v>
      </c>
      <c r="BR14" s="348">
        <v>0</v>
      </c>
      <c r="BS14" s="348">
        <v>0</v>
      </c>
      <c r="BT14" s="348">
        <v>0</v>
      </c>
      <c r="BU14" s="348">
        <v>0</v>
      </c>
      <c r="BV14" s="348">
        <v>0</v>
      </c>
      <c r="BW14" s="348">
        <v>0</v>
      </c>
      <c r="BX14" s="348">
        <v>0</v>
      </c>
      <c r="BY14" s="348">
        <v>0</v>
      </c>
      <c r="BZ14" s="348">
        <v>0</v>
      </c>
      <c r="CA14" s="348">
        <v>0</v>
      </c>
      <c r="CB14" s="348">
        <v>0</v>
      </c>
      <c r="CC14" s="348">
        <v>0</v>
      </c>
      <c r="CD14" s="348">
        <v>0</v>
      </c>
      <c r="CE14" s="348">
        <v>0</v>
      </c>
      <c r="CF14" s="348">
        <v>0</v>
      </c>
      <c r="CG14" s="348">
        <v>0</v>
      </c>
      <c r="CH14" s="348">
        <v>0</v>
      </c>
      <c r="CI14" s="348">
        <v>0</v>
      </c>
      <c r="CJ14" s="348">
        <v>0</v>
      </c>
      <c r="CK14" s="348">
        <v>0</v>
      </c>
      <c r="CL14" s="348">
        <v>0</v>
      </c>
      <c r="CM14" s="348">
        <v>0</v>
      </c>
      <c r="CN14" s="348">
        <v>0</v>
      </c>
      <c r="CO14" s="348">
        <v>0</v>
      </c>
      <c r="CP14" s="348">
        <v>0</v>
      </c>
      <c r="CQ14" s="348">
        <v>0</v>
      </c>
      <c r="CR14" s="348">
        <v>0</v>
      </c>
      <c r="CS14" s="348">
        <v>0</v>
      </c>
      <c r="CT14" s="348">
        <v>0</v>
      </c>
      <c r="CU14" s="348">
        <v>0</v>
      </c>
      <c r="CV14" s="348">
        <v>0</v>
      </c>
      <c r="CW14" s="348">
        <v>0</v>
      </c>
      <c r="CX14" s="348">
        <v>0</v>
      </c>
      <c r="CY14" s="348">
        <v>0</v>
      </c>
      <c r="CZ14" s="348">
        <v>0</v>
      </c>
      <c r="DA14" s="348">
        <v>0</v>
      </c>
      <c r="DB14" s="348">
        <v>0</v>
      </c>
      <c r="DC14" s="348">
        <v>0</v>
      </c>
      <c r="DD14" s="348">
        <v>0</v>
      </c>
      <c r="DE14" s="348">
        <v>0</v>
      </c>
      <c r="DF14" s="348">
        <v>0</v>
      </c>
      <c r="DG14" s="348">
        <v>0</v>
      </c>
      <c r="DH14" s="348">
        <v>0</v>
      </c>
      <c r="DI14" s="348">
        <v>0</v>
      </c>
      <c r="DJ14" s="348">
        <v>0</v>
      </c>
      <c r="DK14" s="348">
        <v>0</v>
      </c>
      <c r="DL14" s="348">
        <v>0</v>
      </c>
      <c r="DM14" s="348">
        <v>0</v>
      </c>
      <c r="DN14" s="348">
        <v>0</v>
      </c>
      <c r="DO14" s="348">
        <v>0</v>
      </c>
      <c r="DP14" s="348">
        <v>0</v>
      </c>
      <c r="DQ14" s="348">
        <v>0</v>
      </c>
      <c r="DR14" s="348">
        <v>0</v>
      </c>
      <c r="DS14" s="354">
        <v>2022</v>
      </c>
      <c r="DT14" s="354">
        <v>7</v>
      </c>
      <c r="DU14" s="354">
        <v>27</v>
      </c>
      <c r="DV14" s="345" t="s">
        <v>675</v>
      </c>
      <c r="DW14" s="345" t="s">
        <v>690</v>
      </c>
      <c r="DX14" s="345" t="s">
        <v>736</v>
      </c>
    </row>
    <row r="15" spans="1:128">
      <c r="A15" s="355">
        <v>14</v>
      </c>
      <c r="B15" s="348">
        <v>664000</v>
      </c>
      <c r="C15" s="348">
        <v>0</v>
      </c>
      <c r="D15" s="348">
        <v>0</v>
      </c>
      <c r="E15" s="348">
        <v>0</v>
      </c>
      <c r="F15" s="348">
        <v>0</v>
      </c>
      <c r="G15" s="348">
        <v>0</v>
      </c>
      <c r="H15" s="348">
        <v>0</v>
      </c>
      <c r="I15" s="348">
        <v>0</v>
      </c>
      <c r="J15" s="348">
        <v>0</v>
      </c>
      <c r="K15" s="348">
        <v>0</v>
      </c>
      <c r="L15" s="348">
        <v>0</v>
      </c>
      <c r="M15" s="348">
        <v>0</v>
      </c>
      <c r="N15" s="348">
        <v>0</v>
      </c>
      <c r="O15" s="348">
        <v>0</v>
      </c>
      <c r="P15" s="348">
        <v>0</v>
      </c>
      <c r="Q15" s="348">
        <v>0</v>
      </c>
      <c r="R15" s="348">
        <v>0</v>
      </c>
      <c r="S15" s="348">
        <v>664616</v>
      </c>
      <c r="T15" s="348">
        <v>0</v>
      </c>
      <c r="U15" s="348">
        <v>664616</v>
      </c>
      <c r="V15" s="348">
        <v>664616</v>
      </c>
      <c r="W15" s="348">
        <v>11199600</v>
      </c>
      <c r="X15" s="348">
        <v>664616</v>
      </c>
      <c r="Y15" s="348">
        <v>664616</v>
      </c>
      <c r="Z15" s="348">
        <v>664000</v>
      </c>
      <c r="AA15" s="348">
        <v>0</v>
      </c>
      <c r="AB15" s="348">
        <v>0</v>
      </c>
      <c r="AC15" s="348">
        <v>0</v>
      </c>
      <c r="AD15" s="348">
        <v>0</v>
      </c>
      <c r="AE15" s="348">
        <v>0</v>
      </c>
      <c r="AF15" s="348">
        <v>0</v>
      </c>
      <c r="AG15" s="348">
        <v>0</v>
      </c>
      <c r="AH15" s="348">
        <v>0</v>
      </c>
      <c r="AI15" s="348">
        <v>0</v>
      </c>
      <c r="AJ15" s="348">
        <v>0</v>
      </c>
      <c r="AK15" s="348">
        <v>0</v>
      </c>
      <c r="AL15" s="348">
        <v>0</v>
      </c>
      <c r="AM15" s="348">
        <v>0</v>
      </c>
      <c r="AN15" s="348">
        <v>0</v>
      </c>
      <c r="AO15" s="348">
        <v>0</v>
      </c>
      <c r="AP15" s="348">
        <v>0</v>
      </c>
      <c r="AQ15" s="348">
        <v>0</v>
      </c>
      <c r="AR15" s="348">
        <v>0</v>
      </c>
      <c r="AS15" s="348">
        <v>0</v>
      </c>
      <c r="AT15" s="348">
        <v>0</v>
      </c>
      <c r="AU15" s="348">
        <v>0</v>
      </c>
      <c r="AV15" s="348">
        <v>0</v>
      </c>
      <c r="AW15" s="348">
        <v>0</v>
      </c>
      <c r="AX15" s="348">
        <v>0</v>
      </c>
      <c r="AY15" s="348">
        <v>0</v>
      </c>
      <c r="AZ15" s="348">
        <v>0</v>
      </c>
      <c r="BA15" s="348">
        <v>0</v>
      </c>
      <c r="BB15" s="348">
        <v>0</v>
      </c>
      <c r="BC15" s="348">
        <v>0</v>
      </c>
      <c r="BD15" s="348">
        <v>0</v>
      </c>
      <c r="BE15" s="348">
        <v>0</v>
      </c>
      <c r="BF15" s="348">
        <v>0</v>
      </c>
      <c r="BG15" s="348">
        <v>0</v>
      </c>
      <c r="BH15" s="348">
        <v>0</v>
      </c>
      <c r="BI15" s="348">
        <v>0</v>
      </c>
      <c r="BJ15" s="348">
        <v>0</v>
      </c>
      <c r="BK15" s="348">
        <v>0</v>
      </c>
      <c r="BL15" s="348">
        <v>0</v>
      </c>
      <c r="BM15" s="348">
        <v>0</v>
      </c>
      <c r="BN15" s="348">
        <v>0</v>
      </c>
      <c r="BO15" s="348">
        <v>0</v>
      </c>
      <c r="BP15" s="348">
        <v>0</v>
      </c>
      <c r="BQ15" s="348">
        <v>0</v>
      </c>
      <c r="BR15" s="348">
        <v>0</v>
      </c>
      <c r="BS15" s="348">
        <v>0</v>
      </c>
      <c r="BT15" s="348">
        <v>0</v>
      </c>
      <c r="BU15" s="348">
        <v>0</v>
      </c>
      <c r="BV15" s="348">
        <v>0</v>
      </c>
      <c r="BW15" s="348">
        <v>0</v>
      </c>
      <c r="BX15" s="348">
        <v>0</v>
      </c>
      <c r="BY15" s="348">
        <v>0</v>
      </c>
      <c r="BZ15" s="348">
        <v>0</v>
      </c>
      <c r="CA15" s="348">
        <v>0</v>
      </c>
      <c r="CB15" s="348">
        <v>0</v>
      </c>
      <c r="CC15" s="348">
        <v>0</v>
      </c>
      <c r="CD15" s="348">
        <v>0</v>
      </c>
      <c r="CE15" s="348">
        <v>0</v>
      </c>
      <c r="CF15" s="348">
        <v>0</v>
      </c>
      <c r="CG15" s="348">
        <v>0</v>
      </c>
      <c r="CH15" s="348">
        <v>0</v>
      </c>
      <c r="CI15" s="348">
        <v>0</v>
      </c>
      <c r="CJ15" s="348">
        <v>0</v>
      </c>
      <c r="CK15" s="348">
        <v>0</v>
      </c>
      <c r="CL15" s="348">
        <v>0</v>
      </c>
      <c r="CM15" s="348">
        <v>0</v>
      </c>
      <c r="CN15" s="348">
        <v>0</v>
      </c>
      <c r="CO15" s="348">
        <v>0</v>
      </c>
      <c r="CP15" s="348">
        <v>0</v>
      </c>
      <c r="CQ15" s="348">
        <v>0</v>
      </c>
      <c r="CR15" s="348">
        <v>0</v>
      </c>
      <c r="CS15" s="348">
        <v>0</v>
      </c>
      <c r="CT15" s="348">
        <v>0</v>
      </c>
      <c r="CU15" s="348">
        <v>0</v>
      </c>
      <c r="CV15" s="348">
        <v>0</v>
      </c>
      <c r="CW15" s="348">
        <v>0</v>
      </c>
      <c r="CX15" s="348">
        <v>0</v>
      </c>
      <c r="CY15" s="348">
        <v>0</v>
      </c>
      <c r="CZ15" s="348">
        <v>0</v>
      </c>
      <c r="DA15" s="348">
        <v>0</v>
      </c>
      <c r="DB15" s="348">
        <v>0</v>
      </c>
      <c r="DC15" s="348">
        <v>0</v>
      </c>
      <c r="DD15" s="348">
        <v>0</v>
      </c>
      <c r="DE15" s="348">
        <v>0</v>
      </c>
      <c r="DF15" s="348">
        <v>0</v>
      </c>
      <c r="DG15" s="348">
        <v>0</v>
      </c>
      <c r="DH15" s="348">
        <v>0</v>
      </c>
      <c r="DI15" s="348">
        <v>0</v>
      </c>
      <c r="DJ15" s="348">
        <v>0</v>
      </c>
      <c r="DK15" s="348">
        <v>0</v>
      </c>
      <c r="DL15" s="348">
        <v>0</v>
      </c>
      <c r="DM15" s="348">
        <v>0</v>
      </c>
      <c r="DN15" s="348">
        <v>0</v>
      </c>
      <c r="DO15" s="348">
        <v>0</v>
      </c>
      <c r="DP15" s="348">
        <v>0</v>
      </c>
      <c r="DQ15" s="348">
        <v>0</v>
      </c>
      <c r="DR15" s="348">
        <v>0</v>
      </c>
      <c r="DS15" s="354">
        <v>2022</v>
      </c>
      <c r="DT15" s="354">
        <v>7</v>
      </c>
      <c r="DU15" s="354">
        <v>27</v>
      </c>
      <c r="DV15" s="345" t="s">
        <v>677</v>
      </c>
      <c r="DW15" s="345" t="s">
        <v>691</v>
      </c>
      <c r="DX15" s="345" t="s">
        <v>735</v>
      </c>
    </row>
    <row r="16" spans="1:128">
      <c r="A16" s="355">
        <v>15</v>
      </c>
      <c r="B16" s="348">
        <v>3513000</v>
      </c>
      <c r="C16" s="348">
        <v>0</v>
      </c>
      <c r="D16" s="348">
        <v>0</v>
      </c>
      <c r="E16" s="348">
        <v>0</v>
      </c>
      <c r="F16" s="348">
        <v>0</v>
      </c>
      <c r="G16" s="348">
        <v>0</v>
      </c>
      <c r="H16" s="348">
        <v>0</v>
      </c>
      <c r="I16" s="348">
        <v>0</v>
      </c>
      <c r="J16" s="348">
        <v>0</v>
      </c>
      <c r="K16" s="348">
        <v>0</v>
      </c>
      <c r="L16" s="348">
        <v>0</v>
      </c>
      <c r="M16" s="348">
        <v>0</v>
      </c>
      <c r="N16" s="348">
        <v>0</v>
      </c>
      <c r="O16" s="348">
        <v>0</v>
      </c>
      <c r="P16" s="348">
        <v>0</v>
      </c>
      <c r="Q16" s="348">
        <v>0</v>
      </c>
      <c r="R16" s="348">
        <v>0</v>
      </c>
      <c r="S16" s="348">
        <v>3513615</v>
      </c>
      <c r="T16" s="348">
        <v>0</v>
      </c>
      <c r="U16" s="348">
        <v>3513615</v>
      </c>
      <c r="V16" s="348">
        <v>3513615</v>
      </c>
      <c r="W16" s="348">
        <v>4611600</v>
      </c>
      <c r="X16" s="348">
        <v>3513615</v>
      </c>
      <c r="Y16" s="348">
        <v>3513615</v>
      </c>
      <c r="Z16" s="348">
        <v>3513000</v>
      </c>
      <c r="AA16" s="348">
        <v>0</v>
      </c>
      <c r="AB16" s="348">
        <v>0</v>
      </c>
      <c r="AC16" s="348">
        <v>0</v>
      </c>
      <c r="AD16" s="348">
        <v>0</v>
      </c>
      <c r="AE16" s="348">
        <v>0</v>
      </c>
      <c r="AF16" s="348">
        <v>0</v>
      </c>
      <c r="AG16" s="348">
        <v>0</v>
      </c>
      <c r="AH16" s="348">
        <v>0</v>
      </c>
      <c r="AI16" s="348">
        <v>0</v>
      </c>
      <c r="AJ16" s="348">
        <v>0</v>
      </c>
      <c r="AK16" s="348">
        <v>0</v>
      </c>
      <c r="AL16" s="348">
        <v>0</v>
      </c>
      <c r="AM16" s="348">
        <v>0</v>
      </c>
      <c r="AN16" s="348">
        <v>0</v>
      </c>
      <c r="AO16" s="348">
        <v>0</v>
      </c>
      <c r="AP16" s="348">
        <v>0</v>
      </c>
      <c r="AQ16" s="348">
        <v>0</v>
      </c>
      <c r="AR16" s="348">
        <v>0</v>
      </c>
      <c r="AS16" s="348">
        <v>0</v>
      </c>
      <c r="AT16" s="348">
        <v>0</v>
      </c>
      <c r="AU16" s="348">
        <v>0</v>
      </c>
      <c r="AV16" s="348">
        <v>0</v>
      </c>
      <c r="AW16" s="348">
        <v>0</v>
      </c>
      <c r="AX16" s="348">
        <v>0</v>
      </c>
      <c r="AY16" s="348">
        <v>0</v>
      </c>
      <c r="AZ16" s="348">
        <v>0</v>
      </c>
      <c r="BA16" s="348">
        <v>0</v>
      </c>
      <c r="BB16" s="348">
        <v>0</v>
      </c>
      <c r="BC16" s="348">
        <v>0</v>
      </c>
      <c r="BD16" s="348">
        <v>0</v>
      </c>
      <c r="BE16" s="348">
        <v>0</v>
      </c>
      <c r="BF16" s="348">
        <v>0</v>
      </c>
      <c r="BG16" s="348">
        <v>0</v>
      </c>
      <c r="BH16" s="348">
        <v>0</v>
      </c>
      <c r="BI16" s="348">
        <v>0</v>
      </c>
      <c r="BJ16" s="348">
        <v>0</v>
      </c>
      <c r="BK16" s="348">
        <v>0</v>
      </c>
      <c r="BL16" s="348">
        <v>0</v>
      </c>
      <c r="BM16" s="348">
        <v>0</v>
      </c>
      <c r="BN16" s="348">
        <v>0</v>
      </c>
      <c r="BO16" s="348">
        <v>0</v>
      </c>
      <c r="BP16" s="348">
        <v>0</v>
      </c>
      <c r="BQ16" s="348">
        <v>0</v>
      </c>
      <c r="BR16" s="348">
        <v>0</v>
      </c>
      <c r="BS16" s="348">
        <v>0</v>
      </c>
      <c r="BT16" s="348">
        <v>0</v>
      </c>
      <c r="BU16" s="348">
        <v>0</v>
      </c>
      <c r="BV16" s="348">
        <v>0</v>
      </c>
      <c r="BW16" s="348">
        <v>0</v>
      </c>
      <c r="BX16" s="348">
        <v>0</v>
      </c>
      <c r="BY16" s="348">
        <v>0</v>
      </c>
      <c r="BZ16" s="348">
        <v>0</v>
      </c>
      <c r="CA16" s="348">
        <v>0</v>
      </c>
      <c r="CB16" s="348">
        <v>0</v>
      </c>
      <c r="CC16" s="348">
        <v>0</v>
      </c>
      <c r="CD16" s="348">
        <v>0</v>
      </c>
      <c r="CE16" s="348">
        <v>0</v>
      </c>
      <c r="CF16" s="348">
        <v>0</v>
      </c>
      <c r="CG16" s="348">
        <v>0</v>
      </c>
      <c r="CH16" s="348">
        <v>0</v>
      </c>
      <c r="CI16" s="348">
        <v>0</v>
      </c>
      <c r="CJ16" s="348">
        <v>0</v>
      </c>
      <c r="CK16" s="348">
        <v>0</v>
      </c>
      <c r="CL16" s="348">
        <v>0</v>
      </c>
      <c r="CM16" s="348">
        <v>0</v>
      </c>
      <c r="CN16" s="348">
        <v>0</v>
      </c>
      <c r="CO16" s="348">
        <v>0</v>
      </c>
      <c r="CP16" s="348">
        <v>0</v>
      </c>
      <c r="CQ16" s="348">
        <v>0</v>
      </c>
      <c r="CR16" s="348">
        <v>0</v>
      </c>
      <c r="CS16" s="348">
        <v>0</v>
      </c>
      <c r="CT16" s="348">
        <v>0</v>
      </c>
      <c r="CU16" s="348">
        <v>0</v>
      </c>
      <c r="CV16" s="348">
        <v>0</v>
      </c>
      <c r="CW16" s="348">
        <v>0</v>
      </c>
      <c r="CX16" s="348">
        <v>0</v>
      </c>
      <c r="CY16" s="348">
        <v>0</v>
      </c>
      <c r="CZ16" s="348">
        <v>0</v>
      </c>
      <c r="DA16" s="348">
        <v>0</v>
      </c>
      <c r="DB16" s="348">
        <v>0</v>
      </c>
      <c r="DC16" s="348">
        <v>0</v>
      </c>
      <c r="DD16" s="348">
        <v>0</v>
      </c>
      <c r="DE16" s="348">
        <v>0</v>
      </c>
      <c r="DF16" s="348">
        <v>0</v>
      </c>
      <c r="DG16" s="348">
        <v>0</v>
      </c>
      <c r="DH16" s="348">
        <v>0</v>
      </c>
      <c r="DI16" s="348">
        <v>0</v>
      </c>
      <c r="DJ16" s="348">
        <v>0</v>
      </c>
      <c r="DK16" s="348">
        <v>0</v>
      </c>
      <c r="DL16" s="348">
        <v>0</v>
      </c>
      <c r="DM16" s="348">
        <v>0</v>
      </c>
      <c r="DN16" s="348">
        <v>0</v>
      </c>
      <c r="DO16" s="348">
        <v>0</v>
      </c>
      <c r="DP16" s="348">
        <v>0</v>
      </c>
      <c r="DQ16" s="348">
        <v>0</v>
      </c>
      <c r="DR16" s="348">
        <v>0</v>
      </c>
      <c r="DS16" s="354">
        <v>2022</v>
      </c>
      <c r="DT16" s="354">
        <v>7</v>
      </c>
      <c r="DU16" s="354">
        <v>27</v>
      </c>
      <c r="DV16" s="345" t="s">
        <v>677</v>
      </c>
      <c r="DW16" s="345" t="s">
        <v>691</v>
      </c>
      <c r="DX16" s="345" t="s">
        <v>735</v>
      </c>
    </row>
    <row r="17" spans="1:128">
      <c r="A17" s="355">
        <v>16</v>
      </c>
      <c r="B17" s="348">
        <v>1360000</v>
      </c>
      <c r="C17" s="348">
        <v>0</v>
      </c>
      <c r="D17" s="348">
        <v>0</v>
      </c>
      <c r="E17" s="348">
        <v>0</v>
      </c>
      <c r="F17" s="348">
        <v>0</v>
      </c>
      <c r="G17" s="348">
        <v>0</v>
      </c>
      <c r="H17" s="348">
        <v>0</v>
      </c>
      <c r="I17" s="348">
        <v>0</v>
      </c>
      <c r="J17" s="348">
        <v>0</v>
      </c>
      <c r="K17" s="348">
        <v>0</v>
      </c>
      <c r="L17" s="348">
        <v>0</v>
      </c>
      <c r="M17" s="348">
        <v>0</v>
      </c>
      <c r="N17" s="348">
        <v>0</v>
      </c>
      <c r="O17" s="348">
        <v>0</v>
      </c>
      <c r="P17" s="348">
        <v>0</v>
      </c>
      <c r="Q17" s="348">
        <v>0</v>
      </c>
      <c r="R17" s="348">
        <v>0</v>
      </c>
      <c r="S17" s="348">
        <v>1360300</v>
      </c>
      <c r="T17" s="348">
        <v>0</v>
      </c>
      <c r="U17" s="348">
        <v>1360300</v>
      </c>
      <c r="V17" s="348">
        <v>1360300</v>
      </c>
      <c r="W17" s="348">
        <v>7246800</v>
      </c>
      <c r="X17" s="348">
        <v>1360300</v>
      </c>
      <c r="Y17" s="348">
        <v>1360300</v>
      </c>
      <c r="Z17" s="348">
        <v>1360000</v>
      </c>
      <c r="AA17" s="348">
        <v>0</v>
      </c>
      <c r="AB17" s="348">
        <v>0</v>
      </c>
      <c r="AC17" s="348">
        <v>0</v>
      </c>
      <c r="AD17" s="348">
        <v>0</v>
      </c>
      <c r="AE17" s="348">
        <v>0</v>
      </c>
      <c r="AF17" s="348">
        <v>0</v>
      </c>
      <c r="AG17" s="348">
        <v>0</v>
      </c>
      <c r="AH17" s="348">
        <v>0</v>
      </c>
      <c r="AI17" s="348">
        <v>0</v>
      </c>
      <c r="AJ17" s="348">
        <v>0</v>
      </c>
      <c r="AK17" s="348">
        <v>0</v>
      </c>
      <c r="AL17" s="348">
        <v>0</v>
      </c>
      <c r="AM17" s="348">
        <v>0</v>
      </c>
      <c r="AN17" s="348">
        <v>0</v>
      </c>
      <c r="AO17" s="348">
        <v>0</v>
      </c>
      <c r="AP17" s="348">
        <v>0</v>
      </c>
      <c r="AQ17" s="348">
        <v>0</v>
      </c>
      <c r="AR17" s="348">
        <v>0</v>
      </c>
      <c r="AS17" s="348">
        <v>0</v>
      </c>
      <c r="AT17" s="348">
        <v>0</v>
      </c>
      <c r="AU17" s="348">
        <v>0</v>
      </c>
      <c r="AV17" s="348">
        <v>0</v>
      </c>
      <c r="AW17" s="348">
        <v>0</v>
      </c>
      <c r="AX17" s="348">
        <v>0</v>
      </c>
      <c r="AY17" s="348">
        <v>0</v>
      </c>
      <c r="AZ17" s="348">
        <v>0</v>
      </c>
      <c r="BA17" s="348">
        <v>0</v>
      </c>
      <c r="BB17" s="348">
        <v>0</v>
      </c>
      <c r="BC17" s="348">
        <v>0</v>
      </c>
      <c r="BD17" s="348">
        <v>0</v>
      </c>
      <c r="BE17" s="348">
        <v>0</v>
      </c>
      <c r="BF17" s="348">
        <v>0</v>
      </c>
      <c r="BG17" s="348">
        <v>0</v>
      </c>
      <c r="BH17" s="348">
        <v>0</v>
      </c>
      <c r="BI17" s="348">
        <v>0</v>
      </c>
      <c r="BJ17" s="348">
        <v>0</v>
      </c>
      <c r="BK17" s="348">
        <v>0</v>
      </c>
      <c r="BL17" s="348">
        <v>0</v>
      </c>
      <c r="BM17" s="348">
        <v>0</v>
      </c>
      <c r="BN17" s="348">
        <v>0</v>
      </c>
      <c r="BO17" s="348">
        <v>0</v>
      </c>
      <c r="BP17" s="348">
        <v>0</v>
      </c>
      <c r="BQ17" s="348">
        <v>0</v>
      </c>
      <c r="BR17" s="348">
        <v>0</v>
      </c>
      <c r="BS17" s="348">
        <v>0</v>
      </c>
      <c r="BT17" s="348">
        <v>0</v>
      </c>
      <c r="BU17" s="348">
        <v>0</v>
      </c>
      <c r="BV17" s="348">
        <v>0</v>
      </c>
      <c r="BW17" s="348">
        <v>0</v>
      </c>
      <c r="BX17" s="348">
        <v>0</v>
      </c>
      <c r="BY17" s="348">
        <v>0</v>
      </c>
      <c r="BZ17" s="348">
        <v>0</v>
      </c>
      <c r="CA17" s="348">
        <v>0</v>
      </c>
      <c r="CB17" s="348">
        <v>0</v>
      </c>
      <c r="CC17" s="348">
        <v>0</v>
      </c>
      <c r="CD17" s="348">
        <v>0</v>
      </c>
      <c r="CE17" s="348">
        <v>0</v>
      </c>
      <c r="CF17" s="348">
        <v>0</v>
      </c>
      <c r="CG17" s="348">
        <v>0</v>
      </c>
      <c r="CH17" s="348">
        <v>0</v>
      </c>
      <c r="CI17" s="348">
        <v>0</v>
      </c>
      <c r="CJ17" s="348">
        <v>0</v>
      </c>
      <c r="CK17" s="348">
        <v>0</v>
      </c>
      <c r="CL17" s="348">
        <v>0</v>
      </c>
      <c r="CM17" s="348">
        <v>0</v>
      </c>
      <c r="CN17" s="348">
        <v>0</v>
      </c>
      <c r="CO17" s="348">
        <v>0</v>
      </c>
      <c r="CP17" s="348">
        <v>0</v>
      </c>
      <c r="CQ17" s="348">
        <v>0</v>
      </c>
      <c r="CR17" s="348">
        <v>0</v>
      </c>
      <c r="CS17" s="348">
        <v>0</v>
      </c>
      <c r="CT17" s="348">
        <v>0</v>
      </c>
      <c r="CU17" s="348">
        <v>0</v>
      </c>
      <c r="CV17" s="348">
        <v>0</v>
      </c>
      <c r="CW17" s="348">
        <v>0</v>
      </c>
      <c r="CX17" s="348">
        <v>0</v>
      </c>
      <c r="CY17" s="348">
        <v>0</v>
      </c>
      <c r="CZ17" s="348">
        <v>0</v>
      </c>
      <c r="DA17" s="348">
        <v>0</v>
      </c>
      <c r="DB17" s="348">
        <v>0</v>
      </c>
      <c r="DC17" s="348">
        <v>0</v>
      </c>
      <c r="DD17" s="348">
        <v>0</v>
      </c>
      <c r="DE17" s="348">
        <v>0</v>
      </c>
      <c r="DF17" s="348">
        <v>0</v>
      </c>
      <c r="DG17" s="348">
        <v>0</v>
      </c>
      <c r="DH17" s="348">
        <v>0</v>
      </c>
      <c r="DI17" s="348">
        <v>0</v>
      </c>
      <c r="DJ17" s="348">
        <v>0</v>
      </c>
      <c r="DK17" s="348">
        <v>0</v>
      </c>
      <c r="DL17" s="348">
        <v>0</v>
      </c>
      <c r="DM17" s="348">
        <v>0</v>
      </c>
      <c r="DN17" s="348">
        <v>0</v>
      </c>
      <c r="DO17" s="348">
        <v>0</v>
      </c>
      <c r="DP17" s="348">
        <v>0</v>
      </c>
      <c r="DQ17" s="348">
        <v>0</v>
      </c>
      <c r="DR17" s="348">
        <v>0</v>
      </c>
      <c r="DS17" s="354">
        <v>2022</v>
      </c>
      <c r="DT17" s="354">
        <v>7</v>
      </c>
      <c r="DU17" s="354">
        <v>27</v>
      </c>
      <c r="DV17" s="345" t="s">
        <v>677</v>
      </c>
      <c r="DW17" s="345" t="s">
        <v>691</v>
      </c>
      <c r="DX17" s="345" t="s">
        <v>735</v>
      </c>
    </row>
    <row r="18" spans="1:128">
      <c r="A18" s="355">
        <v>17</v>
      </c>
      <c r="B18" s="348">
        <v>1154000</v>
      </c>
      <c r="C18" s="348">
        <v>0</v>
      </c>
      <c r="D18" s="348">
        <v>0</v>
      </c>
      <c r="E18" s="348">
        <v>0</v>
      </c>
      <c r="F18" s="348">
        <v>0</v>
      </c>
      <c r="G18" s="348">
        <v>0</v>
      </c>
      <c r="H18" s="348">
        <v>0</v>
      </c>
      <c r="I18" s="348">
        <v>0</v>
      </c>
      <c r="J18" s="348">
        <v>0</v>
      </c>
      <c r="K18" s="348">
        <v>0</v>
      </c>
      <c r="L18" s="348">
        <v>0</v>
      </c>
      <c r="M18" s="348">
        <v>0</v>
      </c>
      <c r="N18" s="348">
        <v>0</v>
      </c>
      <c r="O18" s="348">
        <v>0</v>
      </c>
      <c r="P18" s="348">
        <v>0</v>
      </c>
      <c r="Q18" s="348">
        <v>0</v>
      </c>
      <c r="R18" s="348">
        <v>0</v>
      </c>
      <c r="S18" s="348">
        <v>1154150</v>
      </c>
      <c r="T18" s="348">
        <v>0</v>
      </c>
      <c r="U18" s="348">
        <v>1154150</v>
      </c>
      <c r="V18" s="348">
        <v>1154150</v>
      </c>
      <c r="W18" s="348">
        <v>7246800</v>
      </c>
      <c r="X18" s="348">
        <v>1154150</v>
      </c>
      <c r="Y18" s="348">
        <v>1154150</v>
      </c>
      <c r="Z18" s="348">
        <v>1154000</v>
      </c>
      <c r="AA18" s="348">
        <v>0</v>
      </c>
      <c r="AB18" s="348">
        <v>0</v>
      </c>
      <c r="AC18" s="348">
        <v>0</v>
      </c>
      <c r="AD18" s="348">
        <v>0</v>
      </c>
      <c r="AE18" s="348">
        <v>0</v>
      </c>
      <c r="AF18" s="348">
        <v>0</v>
      </c>
      <c r="AG18" s="348">
        <v>0</v>
      </c>
      <c r="AH18" s="348">
        <v>0</v>
      </c>
      <c r="AI18" s="348">
        <v>0</v>
      </c>
      <c r="AJ18" s="348">
        <v>0</v>
      </c>
      <c r="AK18" s="348">
        <v>0</v>
      </c>
      <c r="AL18" s="348">
        <v>0</v>
      </c>
      <c r="AM18" s="348">
        <v>0</v>
      </c>
      <c r="AN18" s="348">
        <v>0</v>
      </c>
      <c r="AO18" s="348">
        <v>0</v>
      </c>
      <c r="AP18" s="348">
        <v>0</v>
      </c>
      <c r="AQ18" s="348">
        <v>0</v>
      </c>
      <c r="AR18" s="348">
        <v>0</v>
      </c>
      <c r="AS18" s="348">
        <v>0</v>
      </c>
      <c r="AT18" s="348">
        <v>0</v>
      </c>
      <c r="AU18" s="348">
        <v>0</v>
      </c>
      <c r="AV18" s="348">
        <v>0</v>
      </c>
      <c r="AW18" s="348">
        <v>0</v>
      </c>
      <c r="AX18" s="348">
        <v>0</v>
      </c>
      <c r="AY18" s="348">
        <v>0</v>
      </c>
      <c r="AZ18" s="348">
        <v>0</v>
      </c>
      <c r="BA18" s="348">
        <v>0</v>
      </c>
      <c r="BB18" s="348">
        <v>0</v>
      </c>
      <c r="BC18" s="348">
        <v>0</v>
      </c>
      <c r="BD18" s="348">
        <v>0</v>
      </c>
      <c r="BE18" s="348">
        <v>0</v>
      </c>
      <c r="BF18" s="348">
        <v>0</v>
      </c>
      <c r="BG18" s="348">
        <v>0</v>
      </c>
      <c r="BH18" s="348">
        <v>0</v>
      </c>
      <c r="BI18" s="348">
        <v>0</v>
      </c>
      <c r="BJ18" s="348">
        <v>0</v>
      </c>
      <c r="BK18" s="348">
        <v>0</v>
      </c>
      <c r="BL18" s="348">
        <v>0</v>
      </c>
      <c r="BM18" s="348">
        <v>0</v>
      </c>
      <c r="BN18" s="348">
        <v>0</v>
      </c>
      <c r="BO18" s="348">
        <v>0</v>
      </c>
      <c r="BP18" s="348">
        <v>0</v>
      </c>
      <c r="BQ18" s="348">
        <v>0</v>
      </c>
      <c r="BR18" s="348">
        <v>0</v>
      </c>
      <c r="BS18" s="348">
        <v>0</v>
      </c>
      <c r="BT18" s="348">
        <v>0</v>
      </c>
      <c r="BU18" s="348">
        <v>0</v>
      </c>
      <c r="BV18" s="348">
        <v>0</v>
      </c>
      <c r="BW18" s="348">
        <v>0</v>
      </c>
      <c r="BX18" s="348">
        <v>0</v>
      </c>
      <c r="BY18" s="348">
        <v>0</v>
      </c>
      <c r="BZ18" s="348">
        <v>0</v>
      </c>
      <c r="CA18" s="348">
        <v>0</v>
      </c>
      <c r="CB18" s="348">
        <v>0</v>
      </c>
      <c r="CC18" s="348">
        <v>0</v>
      </c>
      <c r="CD18" s="348">
        <v>0</v>
      </c>
      <c r="CE18" s="348">
        <v>0</v>
      </c>
      <c r="CF18" s="348">
        <v>0</v>
      </c>
      <c r="CG18" s="348">
        <v>0</v>
      </c>
      <c r="CH18" s="348">
        <v>0</v>
      </c>
      <c r="CI18" s="348">
        <v>0</v>
      </c>
      <c r="CJ18" s="348">
        <v>0</v>
      </c>
      <c r="CK18" s="348">
        <v>0</v>
      </c>
      <c r="CL18" s="348">
        <v>0</v>
      </c>
      <c r="CM18" s="348">
        <v>0</v>
      </c>
      <c r="CN18" s="348">
        <v>0</v>
      </c>
      <c r="CO18" s="348">
        <v>0</v>
      </c>
      <c r="CP18" s="348">
        <v>0</v>
      </c>
      <c r="CQ18" s="348">
        <v>0</v>
      </c>
      <c r="CR18" s="348">
        <v>0</v>
      </c>
      <c r="CS18" s="348">
        <v>0</v>
      </c>
      <c r="CT18" s="348">
        <v>0</v>
      </c>
      <c r="CU18" s="348">
        <v>0</v>
      </c>
      <c r="CV18" s="348">
        <v>0</v>
      </c>
      <c r="CW18" s="348">
        <v>0</v>
      </c>
      <c r="CX18" s="348">
        <v>0</v>
      </c>
      <c r="CY18" s="348">
        <v>0</v>
      </c>
      <c r="CZ18" s="348">
        <v>0</v>
      </c>
      <c r="DA18" s="348">
        <v>0</v>
      </c>
      <c r="DB18" s="348">
        <v>0</v>
      </c>
      <c r="DC18" s="348">
        <v>0</v>
      </c>
      <c r="DD18" s="348">
        <v>0</v>
      </c>
      <c r="DE18" s="348">
        <v>0</v>
      </c>
      <c r="DF18" s="348">
        <v>0</v>
      </c>
      <c r="DG18" s="348">
        <v>0</v>
      </c>
      <c r="DH18" s="348">
        <v>0</v>
      </c>
      <c r="DI18" s="348">
        <v>0</v>
      </c>
      <c r="DJ18" s="348">
        <v>0</v>
      </c>
      <c r="DK18" s="348">
        <v>0</v>
      </c>
      <c r="DL18" s="348">
        <v>0</v>
      </c>
      <c r="DM18" s="348">
        <v>0</v>
      </c>
      <c r="DN18" s="348">
        <v>0</v>
      </c>
      <c r="DO18" s="348">
        <v>0</v>
      </c>
      <c r="DP18" s="348">
        <v>0</v>
      </c>
      <c r="DQ18" s="348">
        <v>0</v>
      </c>
      <c r="DR18" s="348">
        <v>0</v>
      </c>
      <c r="DS18" s="354">
        <v>2022</v>
      </c>
      <c r="DT18" s="354">
        <v>7</v>
      </c>
      <c r="DU18" s="354">
        <v>27</v>
      </c>
      <c r="DV18" s="345" t="s">
        <v>677</v>
      </c>
      <c r="DW18" s="345" t="s">
        <v>691</v>
      </c>
      <c r="DX18" s="345" t="s">
        <v>735</v>
      </c>
    </row>
    <row r="19" spans="1:128">
      <c r="A19" s="355">
        <v>18</v>
      </c>
      <c r="B19" s="348">
        <v>9798000</v>
      </c>
      <c r="C19" s="348">
        <v>0</v>
      </c>
      <c r="D19" s="348">
        <v>0</v>
      </c>
      <c r="E19" s="348">
        <v>0</v>
      </c>
      <c r="F19" s="348">
        <v>0</v>
      </c>
      <c r="G19" s="348">
        <v>0</v>
      </c>
      <c r="H19" s="348">
        <v>0</v>
      </c>
      <c r="I19" s="348">
        <v>0</v>
      </c>
      <c r="J19" s="348">
        <v>0</v>
      </c>
      <c r="K19" s="348">
        <v>0</v>
      </c>
      <c r="L19" s="348">
        <v>0</v>
      </c>
      <c r="M19" s="348">
        <v>0</v>
      </c>
      <c r="N19" s="348">
        <v>0</v>
      </c>
      <c r="O19" s="348">
        <v>0</v>
      </c>
      <c r="P19" s="348">
        <v>0</v>
      </c>
      <c r="Q19" s="348">
        <v>0</v>
      </c>
      <c r="R19" s="348">
        <v>0</v>
      </c>
      <c r="S19" s="348">
        <v>9798562</v>
      </c>
      <c r="T19" s="348">
        <v>0</v>
      </c>
      <c r="U19" s="348">
        <v>9798562</v>
      </c>
      <c r="V19" s="348">
        <v>9798562</v>
      </c>
      <c r="W19" s="348">
        <v>10540800</v>
      </c>
      <c r="X19" s="348">
        <v>9798562</v>
      </c>
      <c r="Y19" s="348">
        <v>9798562</v>
      </c>
      <c r="Z19" s="348">
        <v>9798000</v>
      </c>
      <c r="AA19" s="348">
        <v>0</v>
      </c>
      <c r="AB19" s="348">
        <v>0</v>
      </c>
      <c r="AC19" s="348">
        <v>0</v>
      </c>
      <c r="AD19" s="348">
        <v>0</v>
      </c>
      <c r="AE19" s="348">
        <v>0</v>
      </c>
      <c r="AF19" s="348">
        <v>0</v>
      </c>
      <c r="AG19" s="348">
        <v>0</v>
      </c>
      <c r="AH19" s="348">
        <v>0</v>
      </c>
      <c r="AI19" s="348">
        <v>0</v>
      </c>
      <c r="AJ19" s="348">
        <v>0</v>
      </c>
      <c r="AK19" s="348">
        <v>0</v>
      </c>
      <c r="AL19" s="348">
        <v>0</v>
      </c>
      <c r="AM19" s="348">
        <v>0</v>
      </c>
      <c r="AN19" s="348">
        <v>0</v>
      </c>
      <c r="AO19" s="348">
        <v>0</v>
      </c>
      <c r="AP19" s="348">
        <v>0</v>
      </c>
      <c r="AQ19" s="348">
        <v>0</v>
      </c>
      <c r="AR19" s="348">
        <v>0</v>
      </c>
      <c r="AS19" s="348">
        <v>0</v>
      </c>
      <c r="AT19" s="348">
        <v>0</v>
      </c>
      <c r="AU19" s="348">
        <v>0</v>
      </c>
      <c r="AV19" s="348">
        <v>0</v>
      </c>
      <c r="AW19" s="348">
        <v>0</v>
      </c>
      <c r="AX19" s="348">
        <v>0</v>
      </c>
      <c r="AY19" s="348">
        <v>0</v>
      </c>
      <c r="AZ19" s="348">
        <v>0</v>
      </c>
      <c r="BA19" s="348">
        <v>0</v>
      </c>
      <c r="BB19" s="348">
        <v>0</v>
      </c>
      <c r="BC19" s="348">
        <v>0</v>
      </c>
      <c r="BD19" s="348">
        <v>0</v>
      </c>
      <c r="BE19" s="348">
        <v>0</v>
      </c>
      <c r="BF19" s="348">
        <v>0</v>
      </c>
      <c r="BG19" s="348">
        <v>0</v>
      </c>
      <c r="BH19" s="348">
        <v>0</v>
      </c>
      <c r="BI19" s="348">
        <v>0</v>
      </c>
      <c r="BJ19" s="348">
        <v>0</v>
      </c>
      <c r="BK19" s="348">
        <v>0</v>
      </c>
      <c r="BL19" s="348">
        <v>0</v>
      </c>
      <c r="BM19" s="348">
        <v>0</v>
      </c>
      <c r="BN19" s="348">
        <v>0</v>
      </c>
      <c r="BO19" s="348">
        <v>0</v>
      </c>
      <c r="BP19" s="348">
        <v>0</v>
      </c>
      <c r="BQ19" s="348">
        <v>0</v>
      </c>
      <c r="BR19" s="348">
        <v>0</v>
      </c>
      <c r="BS19" s="348">
        <v>0</v>
      </c>
      <c r="BT19" s="348">
        <v>0</v>
      </c>
      <c r="BU19" s="348">
        <v>0</v>
      </c>
      <c r="BV19" s="348">
        <v>0</v>
      </c>
      <c r="BW19" s="348">
        <v>0</v>
      </c>
      <c r="BX19" s="348">
        <v>0</v>
      </c>
      <c r="BY19" s="348">
        <v>0</v>
      </c>
      <c r="BZ19" s="348">
        <v>0</v>
      </c>
      <c r="CA19" s="348">
        <v>0</v>
      </c>
      <c r="CB19" s="348">
        <v>0</v>
      </c>
      <c r="CC19" s="348">
        <v>0</v>
      </c>
      <c r="CD19" s="348">
        <v>0</v>
      </c>
      <c r="CE19" s="348">
        <v>0</v>
      </c>
      <c r="CF19" s="348">
        <v>0</v>
      </c>
      <c r="CG19" s="348">
        <v>0</v>
      </c>
      <c r="CH19" s="348">
        <v>0</v>
      </c>
      <c r="CI19" s="348">
        <v>0</v>
      </c>
      <c r="CJ19" s="348">
        <v>0</v>
      </c>
      <c r="CK19" s="348">
        <v>0</v>
      </c>
      <c r="CL19" s="348">
        <v>0</v>
      </c>
      <c r="CM19" s="348">
        <v>0</v>
      </c>
      <c r="CN19" s="348">
        <v>0</v>
      </c>
      <c r="CO19" s="348">
        <v>0</v>
      </c>
      <c r="CP19" s="348">
        <v>0</v>
      </c>
      <c r="CQ19" s="348">
        <v>0</v>
      </c>
      <c r="CR19" s="348">
        <v>0</v>
      </c>
      <c r="CS19" s="348">
        <v>0</v>
      </c>
      <c r="CT19" s="348">
        <v>0</v>
      </c>
      <c r="CU19" s="348">
        <v>0</v>
      </c>
      <c r="CV19" s="348">
        <v>0</v>
      </c>
      <c r="CW19" s="348">
        <v>0</v>
      </c>
      <c r="CX19" s="348">
        <v>0</v>
      </c>
      <c r="CY19" s="348">
        <v>0</v>
      </c>
      <c r="CZ19" s="348">
        <v>0</v>
      </c>
      <c r="DA19" s="348">
        <v>0</v>
      </c>
      <c r="DB19" s="348">
        <v>0</v>
      </c>
      <c r="DC19" s="348">
        <v>0</v>
      </c>
      <c r="DD19" s="348">
        <v>0</v>
      </c>
      <c r="DE19" s="348">
        <v>0</v>
      </c>
      <c r="DF19" s="348">
        <v>0</v>
      </c>
      <c r="DG19" s="348">
        <v>0</v>
      </c>
      <c r="DH19" s="348">
        <v>0</v>
      </c>
      <c r="DI19" s="348">
        <v>0</v>
      </c>
      <c r="DJ19" s="348">
        <v>0</v>
      </c>
      <c r="DK19" s="348">
        <v>0</v>
      </c>
      <c r="DL19" s="348">
        <v>0</v>
      </c>
      <c r="DM19" s="348">
        <v>0</v>
      </c>
      <c r="DN19" s="348">
        <v>0</v>
      </c>
      <c r="DO19" s="348">
        <v>0</v>
      </c>
      <c r="DP19" s="348">
        <v>0</v>
      </c>
      <c r="DQ19" s="348">
        <v>0</v>
      </c>
      <c r="DR19" s="348">
        <v>0</v>
      </c>
      <c r="DS19" s="354">
        <v>2022</v>
      </c>
      <c r="DT19" s="354">
        <v>7</v>
      </c>
      <c r="DU19" s="354">
        <v>27</v>
      </c>
      <c r="DV19" s="345" t="s">
        <v>677</v>
      </c>
      <c r="DW19" s="345" t="s">
        <v>691</v>
      </c>
      <c r="DX19" s="345" t="s">
        <v>735</v>
      </c>
    </row>
    <row r="20" spans="1:128">
      <c r="A20" s="355">
        <v>19</v>
      </c>
      <c r="B20" s="348">
        <v>3754000</v>
      </c>
      <c r="C20" s="348">
        <v>0</v>
      </c>
      <c r="D20" s="348">
        <v>0</v>
      </c>
      <c r="E20" s="348">
        <v>0</v>
      </c>
      <c r="F20" s="348">
        <v>0</v>
      </c>
      <c r="G20" s="348">
        <v>0</v>
      </c>
      <c r="H20" s="348">
        <v>0</v>
      </c>
      <c r="I20" s="348">
        <v>0</v>
      </c>
      <c r="J20" s="348">
        <v>0</v>
      </c>
      <c r="K20" s="348">
        <v>0</v>
      </c>
      <c r="L20" s="348">
        <v>0</v>
      </c>
      <c r="M20" s="348">
        <v>0</v>
      </c>
      <c r="N20" s="348">
        <v>0</v>
      </c>
      <c r="O20" s="348">
        <v>0</v>
      </c>
      <c r="P20" s="348">
        <v>0</v>
      </c>
      <c r="Q20" s="348">
        <v>0</v>
      </c>
      <c r="R20" s="348">
        <v>0</v>
      </c>
      <c r="S20" s="348">
        <v>23507179</v>
      </c>
      <c r="T20" s="348">
        <v>0</v>
      </c>
      <c r="U20" s="348">
        <v>23507179</v>
      </c>
      <c r="V20" s="348">
        <v>23507179</v>
      </c>
      <c r="W20" s="348">
        <v>3754800</v>
      </c>
      <c r="X20" s="348">
        <v>3754800</v>
      </c>
      <c r="Y20" s="348">
        <v>3754800</v>
      </c>
      <c r="Z20" s="348">
        <v>3754000</v>
      </c>
      <c r="AA20" s="348">
        <v>0</v>
      </c>
      <c r="AB20" s="348">
        <v>0</v>
      </c>
      <c r="AC20" s="348">
        <v>0</v>
      </c>
      <c r="AD20" s="348">
        <v>0</v>
      </c>
      <c r="AE20" s="348">
        <v>0</v>
      </c>
      <c r="AF20" s="348">
        <v>0</v>
      </c>
      <c r="AG20" s="348">
        <v>0</v>
      </c>
      <c r="AH20" s="348">
        <v>0</v>
      </c>
      <c r="AI20" s="348">
        <v>0</v>
      </c>
      <c r="AJ20" s="348">
        <v>0</v>
      </c>
      <c r="AK20" s="348">
        <v>0</v>
      </c>
      <c r="AL20" s="348">
        <v>0</v>
      </c>
      <c r="AM20" s="348">
        <v>0</v>
      </c>
      <c r="AN20" s="348">
        <v>0</v>
      </c>
      <c r="AO20" s="348">
        <v>0</v>
      </c>
      <c r="AP20" s="348">
        <v>0</v>
      </c>
      <c r="AQ20" s="348">
        <v>0</v>
      </c>
      <c r="AR20" s="348">
        <v>0</v>
      </c>
      <c r="AS20" s="348">
        <v>0</v>
      </c>
      <c r="AT20" s="348">
        <v>0</v>
      </c>
      <c r="AU20" s="348">
        <v>0</v>
      </c>
      <c r="AV20" s="348">
        <v>0</v>
      </c>
      <c r="AW20" s="348">
        <v>0</v>
      </c>
      <c r="AX20" s="348">
        <v>0</v>
      </c>
      <c r="AY20" s="348">
        <v>0</v>
      </c>
      <c r="AZ20" s="348">
        <v>0</v>
      </c>
      <c r="BA20" s="348">
        <v>0</v>
      </c>
      <c r="BB20" s="348">
        <v>0</v>
      </c>
      <c r="BC20" s="348">
        <v>0</v>
      </c>
      <c r="BD20" s="348">
        <v>0</v>
      </c>
      <c r="BE20" s="348">
        <v>0</v>
      </c>
      <c r="BF20" s="348">
        <v>0</v>
      </c>
      <c r="BG20" s="348">
        <v>0</v>
      </c>
      <c r="BH20" s="348">
        <v>0</v>
      </c>
      <c r="BI20" s="348">
        <v>0</v>
      </c>
      <c r="BJ20" s="348">
        <v>0</v>
      </c>
      <c r="BK20" s="348">
        <v>0</v>
      </c>
      <c r="BL20" s="348">
        <v>0</v>
      </c>
      <c r="BM20" s="348">
        <v>0</v>
      </c>
      <c r="BN20" s="348">
        <v>0</v>
      </c>
      <c r="BO20" s="348">
        <v>0</v>
      </c>
      <c r="BP20" s="348">
        <v>0</v>
      </c>
      <c r="BQ20" s="348">
        <v>0</v>
      </c>
      <c r="BR20" s="348">
        <v>0</v>
      </c>
      <c r="BS20" s="348">
        <v>0</v>
      </c>
      <c r="BT20" s="348">
        <v>0</v>
      </c>
      <c r="BU20" s="348">
        <v>0</v>
      </c>
      <c r="BV20" s="348">
        <v>0</v>
      </c>
      <c r="BW20" s="348">
        <v>0</v>
      </c>
      <c r="BX20" s="348">
        <v>0</v>
      </c>
      <c r="BY20" s="348">
        <v>0</v>
      </c>
      <c r="BZ20" s="348">
        <v>0</v>
      </c>
      <c r="CA20" s="348">
        <v>0</v>
      </c>
      <c r="CB20" s="348">
        <v>0</v>
      </c>
      <c r="CC20" s="348">
        <v>0</v>
      </c>
      <c r="CD20" s="348">
        <v>0</v>
      </c>
      <c r="CE20" s="348">
        <v>0</v>
      </c>
      <c r="CF20" s="348">
        <v>0</v>
      </c>
      <c r="CG20" s="348">
        <v>0</v>
      </c>
      <c r="CH20" s="348">
        <v>0</v>
      </c>
      <c r="CI20" s="348">
        <v>0</v>
      </c>
      <c r="CJ20" s="348">
        <v>0</v>
      </c>
      <c r="CK20" s="348">
        <v>0</v>
      </c>
      <c r="CL20" s="348">
        <v>0</v>
      </c>
      <c r="CM20" s="348">
        <v>0</v>
      </c>
      <c r="CN20" s="348">
        <v>0</v>
      </c>
      <c r="CO20" s="348">
        <v>0</v>
      </c>
      <c r="CP20" s="348">
        <v>0</v>
      </c>
      <c r="CQ20" s="348">
        <v>0</v>
      </c>
      <c r="CR20" s="348">
        <v>0</v>
      </c>
      <c r="CS20" s="348">
        <v>0</v>
      </c>
      <c r="CT20" s="348">
        <v>0</v>
      </c>
      <c r="CU20" s="348">
        <v>0</v>
      </c>
      <c r="CV20" s="348">
        <v>0</v>
      </c>
      <c r="CW20" s="348">
        <v>0</v>
      </c>
      <c r="CX20" s="348">
        <v>0</v>
      </c>
      <c r="CY20" s="348">
        <v>0</v>
      </c>
      <c r="CZ20" s="348">
        <v>0</v>
      </c>
      <c r="DA20" s="348">
        <v>0</v>
      </c>
      <c r="DB20" s="348">
        <v>0</v>
      </c>
      <c r="DC20" s="348">
        <v>0</v>
      </c>
      <c r="DD20" s="348">
        <v>0</v>
      </c>
      <c r="DE20" s="348">
        <v>0</v>
      </c>
      <c r="DF20" s="348">
        <v>0</v>
      </c>
      <c r="DG20" s="348">
        <v>0</v>
      </c>
      <c r="DH20" s="348">
        <v>0</v>
      </c>
      <c r="DI20" s="348">
        <v>0</v>
      </c>
      <c r="DJ20" s="348">
        <v>0</v>
      </c>
      <c r="DK20" s="348">
        <v>0</v>
      </c>
      <c r="DL20" s="348">
        <v>0</v>
      </c>
      <c r="DM20" s="348">
        <v>0</v>
      </c>
      <c r="DN20" s="348">
        <v>0</v>
      </c>
      <c r="DO20" s="348">
        <v>0</v>
      </c>
      <c r="DP20" s="348">
        <v>0</v>
      </c>
      <c r="DQ20" s="348">
        <v>0</v>
      </c>
      <c r="DR20" s="348">
        <v>0</v>
      </c>
      <c r="DS20" s="354">
        <v>2022</v>
      </c>
      <c r="DT20" s="354">
        <v>7</v>
      </c>
      <c r="DU20" s="354">
        <v>27</v>
      </c>
      <c r="DV20" s="345" t="s">
        <v>692</v>
      </c>
      <c r="DW20" s="345" t="s">
        <v>693</v>
      </c>
      <c r="DX20" s="345" t="s">
        <v>735</v>
      </c>
    </row>
    <row r="21" spans="1:128">
      <c r="A21" s="355">
        <v>20</v>
      </c>
      <c r="B21" s="348">
        <v>4271000</v>
      </c>
      <c r="C21" s="348">
        <v>0</v>
      </c>
      <c r="D21" s="348">
        <v>0</v>
      </c>
      <c r="E21" s="348">
        <v>0</v>
      </c>
      <c r="F21" s="348">
        <v>0</v>
      </c>
      <c r="G21" s="348">
        <v>0</v>
      </c>
      <c r="H21" s="348">
        <v>0</v>
      </c>
      <c r="I21" s="348">
        <v>0</v>
      </c>
      <c r="J21" s="348">
        <v>0</v>
      </c>
      <c r="K21" s="348">
        <v>0</v>
      </c>
      <c r="L21" s="348">
        <v>0</v>
      </c>
      <c r="M21" s="348">
        <v>0</v>
      </c>
      <c r="N21" s="348">
        <v>0</v>
      </c>
      <c r="O21" s="348">
        <v>0</v>
      </c>
      <c r="P21" s="348">
        <v>0</v>
      </c>
      <c r="Q21" s="348">
        <v>0</v>
      </c>
      <c r="R21" s="348">
        <v>0</v>
      </c>
      <c r="S21" s="348">
        <v>4271597</v>
      </c>
      <c r="T21" s="348">
        <v>0</v>
      </c>
      <c r="U21" s="348">
        <v>4271597</v>
      </c>
      <c r="V21" s="348">
        <v>4271597</v>
      </c>
      <c r="W21" s="348">
        <v>26352000</v>
      </c>
      <c r="X21" s="348">
        <v>4271597</v>
      </c>
      <c r="Y21" s="348">
        <v>4271597</v>
      </c>
      <c r="Z21" s="348">
        <v>4271000</v>
      </c>
      <c r="AA21" s="348">
        <v>0</v>
      </c>
      <c r="AB21" s="348">
        <v>0</v>
      </c>
      <c r="AC21" s="348">
        <v>0</v>
      </c>
      <c r="AD21" s="348">
        <v>0</v>
      </c>
      <c r="AE21" s="348">
        <v>0</v>
      </c>
      <c r="AF21" s="348">
        <v>0</v>
      </c>
      <c r="AG21" s="348">
        <v>0</v>
      </c>
      <c r="AH21" s="348">
        <v>0</v>
      </c>
      <c r="AI21" s="348">
        <v>0</v>
      </c>
      <c r="AJ21" s="348">
        <v>0</v>
      </c>
      <c r="AK21" s="348">
        <v>0</v>
      </c>
      <c r="AL21" s="348">
        <v>0</v>
      </c>
      <c r="AM21" s="348">
        <v>0</v>
      </c>
      <c r="AN21" s="348">
        <v>0</v>
      </c>
      <c r="AO21" s="348">
        <v>0</v>
      </c>
      <c r="AP21" s="348">
        <v>0</v>
      </c>
      <c r="AQ21" s="348">
        <v>0</v>
      </c>
      <c r="AR21" s="348">
        <v>0</v>
      </c>
      <c r="AS21" s="348">
        <v>0</v>
      </c>
      <c r="AT21" s="348">
        <v>0</v>
      </c>
      <c r="AU21" s="348">
        <v>0</v>
      </c>
      <c r="AV21" s="348">
        <v>0</v>
      </c>
      <c r="AW21" s="348">
        <v>0</v>
      </c>
      <c r="AX21" s="348">
        <v>0</v>
      </c>
      <c r="AY21" s="348">
        <v>0</v>
      </c>
      <c r="AZ21" s="348">
        <v>0</v>
      </c>
      <c r="BA21" s="348">
        <v>0</v>
      </c>
      <c r="BB21" s="348">
        <v>0</v>
      </c>
      <c r="BC21" s="348">
        <v>0</v>
      </c>
      <c r="BD21" s="348">
        <v>0</v>
      </c>
      <c r="BE21" s="348">
        <v>0</v>
      </c>
      <c r="BF21" s="348">
        <v>0</v>
      </c>
      <c r="BG21" s="348">
        <v>0</v>
      </c>
      <c r="BH21" s="348">
        <v>0</v>
      </c>
      <c r="BI21" s="348">
        <v>0</v>
      </c>
      <c r="BJ21" s="348">
        <v>0</v>
      </c>
      <c r="BK21" s="348">
        <v>0</v>
      </c>
      <c r="BL21" s="348">
        <v>0</v>
      </c>
      <c r="BM21" s="348">
        <v>0</v>
      </c>
      <c r="BN21" s="348">
        <v>0</v>
      </c>
      <c r="BO21" s="348">
        <v>0</v>
      </c>
      <c r="BP21" s="348">
        <v>0</v>
      </c>
      <c r="BQ21" s="348">
        <v>0</v>
      </c>
      <c r="BR21" s="348">
        <v>0</v>
      </c>
      <c r="BS21" s="348">
        <v>0</v>
      </c>
      <c r="BT21" s="348">
        <v>0</v>
      </c>
      <c r="BU21" s="348">
        <v>0</v>
      </c>
      <c r="BV21" s="348">
        <v>0</v>
      </c>
      <c r="BW21" s="348">
        <v>0</v>
      </c>
      <c r="BX21" s="348">
        <v>0</v>
      </c>
      <c r="BY21" s="348">
        <v>0</v>
      </c>
      <c r="BZ21" s="348">
        <v>0</v>
      </c>
      <c r="CA21" s="348">
        <v>0</v>
      </c>
      <c r="CB21" s="348">
        <v>0</v>
      </c>
      <c r="CC21" s="348">
        <v>0</v>
      </c>
      <c r="CD21" s="348">
        <v>0</v>
      </c>
      <c r="CE21" s="348">
        <v>0</v>
      </c>
      <c r="CF21" s="348">
        <v>0</v>
      </c>
      <c r="CG21" s="348">
        <v>0</v>
      </c>
      <c r="CH21" s="348">
        <v>0</v>
      </c>
      <c r="CI21" s="348">
        <v>0</v>
      </c>
      <c r="CJ21" s="348">
        <v>0</v>
      </c>
      <c r="CK21" s="348">
        <v>0</v>
      </c>
      <c r="CL21" s="348">
        <v>0</v>
      </c>
      <c r="CM21" s="348">
        <v>0</v>
      </c>
      <c r="CN21" s="348">
        <v>0</v>
      </c>
      <c r="CO21" s="348">
        <v>0</v>
      </c>
      <c r="CP21" s="348">
        <v>0</v>
      </c>
      <c r="CQ21" s="348">
        <v>0</v>
      </c>
      <c r="CR21" s="348">
        <v>0</v>
      </c>
      <c r="CS21" s="348">
        <v>0</v>
      </c>
      <c r="CT21" s="348">
        <v>0</v>
      </c>
      <c r="CU21" s="348">
        <v>0</v>
      </c>
      <c r="CV21" s="348">
        <v>0</v>
      </c>
      <c r="CW21" s="348">
        <v>0</v>
      </c>
      <c r="CX21" s="348">
        <v>0</v>
      </c>
      <c r="CY21" s="348">
        <v>0</v>
      </c>
      <c r="CZ21" s="348">
        <v>0</v>
      </c>
      <c r="DA21" s="348">
        <v>0</v>
      </c>
      <c r="DB21" s="348">
        <v>0</v>
      </c>
      <c r="DC21" s="348">
        <v>0</v>
      </c>
      <c r="DD21" s="348">
        <v>0</v>
      </c>
      <c r="DE21" s="348">
        <v>0</v>
      </c>
      <c r="DF21" s="348">
        <v>0</v>
      </c>
      <c r="DG21" s="348">
        <v>0</v>
      </c>
      <c r="DH21" s="348">
        <v>0</v>
      </c>
      <c r="DI21" s="348">
        <v>0</v>
      </c>
      <c r="DJ21" s="348">
        <v>0</v>
      </c>
      <c r="DK21" s="348">
        <v>0</v>
      </c>
      <c r="DL21" s="348">
        <v>0</v>
      </c>
      <c r="DM21" s="348">
        <v>0</v>
      </c>
      <c r="DN21" s="348">
        <v>0</v>
      </c>
      <c r="DO21" s="348">
        <v>0</v>
      </c>
      <c r="DP21" s="348">
        <v>0</v>
      </c>
      <c r="DQ21" s="348">
        <v>0</v>
      </c>
      <c r="DR21" s="348">
        <v>0</v>
      </c>
      <c r="DS21" s="354">
        <v>2022</v>
      </c>
      <c r="DT21" s="354">
        <v>7</v>
      </c>
      <c r="DU21" s="354">
        <v>27</v>
      </c>
      <c r="DV21" s="345" t="s">
        <v>675</v>
      </c>
      <c r="DW21" s="345" t="s">
        <v>694</v>
      </c>
      <c r="DX21" s="345" t="s">
        <v>735</v>
      </c>
    </row>
    <row r="22" spans="1:128">
      <c r="A22" s="355">
        <v>21</v>
      </c>
      <c r="B22" s="348">
        <v>8759000</v>
      </c>
      <c r="C22" s="348">
        <v>0</v>
      </c>
      <c r="D22" s="348">
        <v>0</v>
      </c>
      <c r="E22" s="348">
        <v>0</v>
      </c>
      <c r="F22" s="348">
        <v>0</v>
      </c>
      <c r="G22" s="348">
        <v>0</v>
      </c>
      <c r="H22" s="348">
        <v>0</v>
      </c>
      <c r="I22" s="348">
        <v>0</v>
      </c>
      <c r="J22" s="348">
        <v>0</v>
      </c>
      <c r="K22" s="348">
        <v>0</v>
      </c>
      <c r="L22" s="348">
        <v>0</v>
      </c>
      <c r="M22" s="348">
        <v>0</v>
      </c>
      <c r="N22" s="348">
        <v>0</v>
      </c>
      <c r="O22" s="348">
        <v>0</v>
      </c>
      <c r="P22" s="348">
        <v>0</v>
      </c>
      <c r="Q22" s="348">
        <v>0</v>
      </c>
      <c r="R22" s="348">
        <v>0</v>
      </c>
      <c r="S22" s="348">
        <v>8759816</v>
      </c>
      <c r="T22" s="348">
        <v>0</v>
      </c>
      <c r="U22" s="348">
        <v>8759816</v>
      </c>
      <c r="V22" s="348">
        <v>8759816</v>
      </c>
      <c r="W22" s="348">
        <v>59950800</v>
      </c>
      <c r="X22" s="348">
        <v>8759816</v>
      </c>
      <c r="Y22" s="348">
        <v>8759816</v>
      </c>
      <c r="Z22" s="348">
        <v>8759000</v>
      </c>
      <c r="AA22" s="348">
        <v>0</v>
      </c>
      <c r="AB22" s="348">
        <v>0</v>
      </c>
      <c r="AC22" s="348">
        <v>0</v>
      </c>
      <c r="AD22" s="348">
        <v>0</v>
      </c>
      <c r="AE22" s="348">
        <v>0</v>
      </c>
      <c r="AF22" s="348">
        <v>0</v>
      </c>
      <c r="AG22" s="348">
        <v>0</v>
      </c>
      <c r="AH22" s="348">
        <v>0</v>
      </c>
      <c r="AI22" s="348">
        <v>0</v>
      </c>
      <c r="AJ22" s="348">
        <v>0</v>
      </c>
      <c r="AK22" s="348">
        <v>0</v>
      </c>
      <c r="AL22" s="348">
        <v>0</v>
      </c>
      <c r="AM22" s="348">
        <v>0</v>
      </c>
      <c r="AN22" s="348">
        <v>0</v>
      </c>
      <c r="AO22" s="348">
        <v>0</v>
      </c>
      <c r="AP22" s="348">
        <v>0</v>
      </c>
      <c r="AQ22" s="348">
        <v>0</v>
      </c>
      <c r="AR22" s="348">
        <v>0</v>
      </c>
      <c r="AS22" s="348">
        <v>0</v>
      </c>
      <c r="AT22" s="348">
        <v>0</v>
      </c>
      <c r="AU22" s="348">
        <v>0</v>
      </c>
      <c r="AV22" s="348">
        <v>0</v>
      </c>
      <c r="AW22" s="348">
        <v>0</v>
      </c>
      <c r="AX22" s="348">
        <v>0</v>
      </c>
      <c r="AY22" s="348">
        <v>0</v>
      </c>
      <c r="AZ22" s="348">
        <v>0</v>
      </c>
      <c r="BA22" s="348">
        <v>0</v>
      </c>
      <c r="BB22" s="348">
        <v>0</v>
      </c>
      <c r="BC22" s="348">
        <v>0</v>
      </c>
      <c r="BD22" s="348">
        <v>0</v>
      </c>
      <c r="BE22" s="348">
        <v>0</v>
      </c>
      <c r="BF22" s="348">
        <v>0</v>
      </c>
      <c r="BG22" s="348">
        <v>0</v>
      </c>
      <c r="BH22" s="348">
        <v>0</v>
      </c>
      <c r="BI22" s="348">
        <v>0</v>
      </c>
      <c r="BJ22" s="348">
        <v>0</v>
      </c>
      <c r="BK22" s="348">
        <v>0</v>
      </c>
      <c r="BL22" s="348">
        <v>0</v>
      </c>
      <c r="BM22" s="348">
        <v>0</v>
      </c>
      <c r="BN22" s="348">
        <v>0</v>
      </c>
      <c r="BO22" s="348">
        <v>0</v>
      </c>
      <c r="BP22" s="348">
        <v>0</v>
      </c>
      <c r="BQ22" s="348">
        <v>0</v>
      </c>
      <c r="BR22" s="348">
        <v>0</v>
      </c>
      <c r="BS22" s="348">
        <v>0</v>
      </c>
      <c r="BT22" s="348">
        <v>0</v>
      </c>
      <c r="BU22" s="348">
        <v>0</v>
      </c>
      <c r="BV22" s="348">
        <v>0</v>
      </c>
      <c r="BW22" s="348">
        <v>0</v>
      </c>
      <c r="BX22" s="348">
        <v>0</v>
      </c>
      <c r="BY22" s="348">
        <v>0</v>
      </c>
      <c r="BZ22" s="348">
        <v>0</v>
      </c>
      <c r="CA22" s="348">
        <v>0</v>
      </c>
      <c r="CB22" s="348">
        <v>0</v>
      </c>
      <c r="CC22" s="348">
        <v>0</v>
      </c>
      <c r="CD22" s="348">
        <v>0</v>
      </c>
      <c r="CE22" s="348">
        <v>0</v>
      </c>
      <c r="CF22" s="348">
        <v>0</v>
      </c>
      <c r="CG22" s="348">
        <v>0</v>
      </c>
      <c r="CH22" s="348">
        <v>0</v>
      </c>
      <c r="CI22" s="348">
        <v>0</v>
      </c>
      <c r="CJ22" s="348">
        <v>0</v>
      </c>
      <c r="CK22" s="348">
        <v>0</v>
      </c>
      <c r="CL22" s="348">
        <v>0</v>
      </c>
      <c r="CM22" s="348">
        <v>0</v>
      </c>
      <c r="CN22" s="348">
        <v>0</v>
      </c>
      <c r="CO22" s="348">
        <v>0</v>
      </c>
      <c r="CP22" s="348">
        <v>0</v>
      </c>
      <c r="CQ22" s="348">
        <v>0</v>
      </c>
      <c r="CR22" s="348">
        <v>0</v>
      </c>
      <c r="CS22" s="348">
        <v>0</v>
      </c>
      <c r="CT22" s="348">
        <v>0</v>
      </c>
      <c r="CU22" s="348">
        <v>0</v>
      </c>
      <c r="CV22" s="348">
        <v>0</v>
      </c>
      <c r="CW22" s="348">
        <v>0</v>
      </c>
      <c r="CX22" s="348">
        <v>0</v>
      </c>
      <c r="CY22" s="348">
        <v>0</v>
      </c>
      <c r="CZ22" s="348">
        <v>0</v>
      </c>
      <c r="DA22" s="348">
        <v>0</v>
      </c>
      <c r="DB22" s="348">
        <v>0</v>
      </c>
      <c r="DC22" s="348">
        <v>0</v>
      </c>
      <c r="DD22" s="348">
        <v>0</v>
      </c>
      <c r="DE22" s="348">
        <v>0</v>
      </c>
      <c r="DF22" s="348">
        <v>0</v>
      </c>
      <c r="DG22" s="348">
        <v>0</v>
      </c>
      <c r="DH22" s="348">
        <v>0</v>
      </c>
      <c r="DI22" s="348">
        <v>0</v>
      </c>
      <c r="DJ22" s="348">
        <v>0</v>
      </c>
      <c r="DK22" s="348">
        <v>0</v>
      </c>
      <c r="DL22" s="348">
        <v>0</v>
      </c>
      <c r="DM22" s="348">
        <v>0</v>
      </c>
      <c r="DN22" s="348">
        <v>0</v>
      </c>
      <c r="DO22" s="348">
        <v>0</v>
      </c>
      <c r="DP22" s="348">
        <v>0</v>
      </c>
      <c r="DQ22" s="348">
        <v>0</v>
      </c>
      <c r="DR22" s="348">
        <v>0</v>
      </c>
      <c r="DS22" s="354">
        <v>2022</v>
      </c>
      <c r="DT22" s="354">
        <v>7</v>
      </c>
      <c r="DU22" s="354">
        <v>27</v>
      </c>
      <c r="DV22" s="345" t="s">
        <v>695</v>
      </c>
      <c r="DW22" s="345" t="s">
        <v>696</v>
      </c>
      <c r="DX22" s="345" t="s">
        <v>735</v>
      </c>
    </row>
    <row r="23" spans="1:128">
      <c r="A23" s="355">
        <v>22</v>
      </c>
      <c r="B23" s="348">
        <v>864000</v>
      </c>
      <c r="C23" s="348">
        <v>0</v>
      </c>
      <c r="D23" s="348">
        <v>0</v>
      </c>
      <c r="E23" s="348">
        <v>0</v>
      </c>
      <c r="F23" s="348">
        <v>0</v>
      </c>
      <c r="G23" s="348">
        <v>0</v>
      </c>
      <c r="H23" s="348">
        <v>0</v>
      </c>
      <c r="I23" s="348">
        <v>0</v>
      </c>
      <c r="J23" s="348">
        <v>0</v>
      </c>
      <c r="K23" s="348">
        <v>0</v>
      </c>
      <c r="L23" s="348">
        <v>0</v>
      </c>
      <c r="M23" s="348">
        <v>0</v>
      </c>
      <c r="N23" s="348">
        <v>0</v>
      </c>
      <c r="O23" s="348">
        <v>0</v>
      </c>
      <c r="P23" s="348">
        <v>0</v>
      </c>
      <c r="Q23" s="348">
        <v>0</v>
      </c>
      <c r="R23" s="348">
        <v>0</v>
      </c>
      <c r="S23" s="348">
        <v>924440</v>
      </c>
      <c r="T23" s="348">
        <v>0</v>
      </c>
      <c r="U23" s="348">
        <v>924440</v>
      </c>
      <c r="V23" s="348">
        <v>924440</v>
      </c>
      <c r="W23" s="348">
        <v>864000</v>
      </c>
      <c r="X23" s="348">
        <v>864000</v>
      </c>
      <c r="Y23" s="348">
        <v>864000</v>
      </c>
      <c r="Z23" s="348">
        <v>864000</v>
      </c>
      <c r="AA23" s="348">
        <v>0</v>
      </c>
      <c r="AB23" s="348">
        <v>0</v>
      </c>
      <c r="AC23" s="348">
        <v>0</v>
      </c>
      <c r="AD23" s="348">
        <v>0</v>
      </c>
      <c r="AE23" s="348">
        <v>0</v>
      </c>
      <c r="AF23" s="348">
        <v>0</v>
      </c>
      <c r="AG23" s="348">
        <v>0</v>
      </c>
      <c r="AH23" s="348">
        <v>0</v>
      </c>
      <c r="AI23" s="348">
        <v>0</v>
      </c>
      <c r="AJ23" s="348">
        <v>0</v>
      </c>
      <c r="AK23" s="348">
        <v>0</v>
      </c>
      <c r="AL23" s="348">
        <v>0</v>
      </c>
      <c r="AM23" s="348">
        <v>0</v>
      </c>
      <c r="AN23" s="348">
        <v>0</v>
      </c>
      <c r="AO23" s="348">
        <v>0</v>
      </c>
      <c r="AP23" s="348">
        <v>0</v>
      </c>
      <c r="AQ23" s="348">
        <v>0</v>
      </c>
      <c r="AR23" s="348">
        <v>0</v>
      </c>
      <c r="AS23" s="348">
        <v>0</v>
      </c>
      <c r="AT23" s="348">
        <v>0</v>
      </c>
      <c r="AU23" s="348">
        <v>0</v>
      </c>
      <c r="AV23" s="348">
        <v>0</v>
      </c>
      <c r="AW23" s="348">
        <v>0</v>
      </c>
      <c r="AX23" s="348">
        <v>0</v>
      </c>
      <c r="AY23" s="348">
        <v>0</v>
      </c>
      <c r="AZ23" s="348">
        <v>0</v>
      </c>
      <c r="BA23" s="348">
        <v>0</v>
      </c>
      <c r="BB23" s="348">
        <v>0</v>
      </c>
      <c r="BC23" s="348">
        <v>0</v>
      </c>
      <c r="BD23" s="348">
        <v>0</v>
      </c>
      <c r="BE23" s="348">
        <v>0</v>
      </c>
      <c r="BF23" s="348">
        <v>0</v>
      </c>
      <c r="BG23" s="348">
        <v>0</v>
      </c>
      <c r="BH23" s="348">
        <v>0</v>
      </c>
      <c r="BI23" s="348">
        <v>0</v>
      </c>
      <c r="BJ23" s="348">
        <v>0</v>
      </c>
      <c r="BK23" s="348">
        <v>0</v>
      </c>
      <c r="BL23" s="348">
        <v>0</v>
      </c>
      <c r="BM23" s="348">
        <v>0</v>
      </c>
      <c r="BN23" s="348">
        <v>0</v>
      </c>
      <c r="BO23" s="348">
        <v>0</v>
      </c>
      <c r="BP23" s="348">
        <v>0</v>
      </c>
      <c r="BQ23" s="348">
        <v>0</v>
      </c>
      <c r="BR23" s="348">
        <v>0</v>
      </c>
      <c r="BS23" s="348">
        <v>0</v>
      </c>
      <c r="BT23" s="348">
        <v>0</v>
      </c>
      <c r="BU23" s="348">
        <v>0</v>
      </c>
      <c r="BV23" s="348">
        <v>0</v>
      </c>
      <c r="BW23" s="348">
        <v>0</v>
      </c>
      <c r="BX23" s="348">
        <v>0</v>
      </c>
      <c r="BY23" s="348">
        <v>0</v>
      </c>
      <c r="BZ23" s="348">
        <v>0</v>
      </c>
      <c r="CA23" s="348">
        <v>0</v>
      </c>
      <c r="CB23" s="348">
        <v>0</v>
      </c>
      <c r="CC23" s="348">
        <v>0</v>
      </c>
      <c r="CD23" s="348">
        <v>0</v>
      </c>
      <c r="CE23" s="348">
        <v>0</v>
      </c>
      <c r="CF23" s="348">
        <v>0</v>
      </c>
      <c r="CG23" s="348">
        <v>0</v>
      </c>
      <c r="CH23" s="348">
        <v>0</v>
      </c>
      <c r="CI23" s="348">
        <v>0</v>
      </c>
      <c r="CJ23" s="348">
        <v>0</v>
      </c>
      <c r="CK23" s="348">
        <v>0</v>
      </c>
      <c r="CL23" s="348">
        <v>0</v>
      </c>
      <c r="CM23" s="348">
        <v>0</v>
      </c>
      <c r="CN23" s="348">
        <v>0</v>
      </c>
      <c r="CO23" s="348">
        <v>0</v>
      </c>
      <c r="CP23" s="348">
        <v>0</v>
      </c>
      <c r="CQ23" s="348">
        <v>0</v>
      </c>
      <c r="CR23" s="348">
        <v>0</v>
      </c>
      <c r="CS23" s="348">
        <v>0</v>
      </c>
      <c r="CT23" s="348">
        <v>0</v>
      </c>
      <c r="CU23" s="348">
        <v>0</v>
      </c>
      <c r="CV23" s="348">
        <v>0</v>
      </c>
      <c r="CW23" s="348">
        <v>0</v>
      </c>
      <c r="CX23" s="348">
        <v>0</v>
      </c>
      <c r="CY23" s="348">
        <v>0</v>
      </c>
      <c r="CZ23" s="348">
        <v>0</v>
      </c>
      <c r="DA23" s="348">
        <v>0</v>
      </c>
      <c r="DB23" s="348">
        <v>0</v>
      </c>
      <c r="DC23" s="348">
        <v>0</v>
      </c>
      <c r="DD23" s="348">
        <v>0</v>
      </c>
      <c r="DE23" s="348">
        <v>0</v>
      </c>
      <c r="DF23" s="348">
        <v>0</v>
      </c>
      <c r="DG23" s="348">
        <v>0</v>
      </c>
      <c r="DH23" s="348">
        <v>0</v>
      </c>
      <c r="DI23" s="348">
        <v>0</v>
      </c>
      <c r="DJ23" s="348">
        <v>0</v>
      </c>
      <c r="DK23" s="348">
        <v>0</v>
      </c>
      <c r="DL23" s="348">
        <v>0</v>
      </c>
      <c r="DM23" s="348">
        <v>0</v>
      </c>
      <c r="DN23" s="348">
        <v>0</v>
      </c>
      <c r="DO23" s="348">
        <v>0</v>
      </c>
      <c r="DP23" s="348">
        <v>0</v>
      </c>
      <c r="DQ23" s="348">
        <v>0</v>
      </c>
      <c r="DR23" s="348">
        <v>0</v>
      </c>
      <c r="DS23" s="354">
        <v>2022</v>
      </c>
      <c r="DT23" s="354">
        <v>7</v>
      </c>
      <c r="DU23" s="354">
        <v>27</v>
      </c>
      <c r="DV23" s="345" t="s">
        <v>675</v>
      </c>
      <c r="DW23" s="345" t="s">
        <v>697</v>
      </c>
      <c r="DX23" s="345" t="s">
        <v>735</v>
      </c>
    </row>
    <row r="24" spans="1:128">
      <c r="A24" s="355">
        <v>23</v>
      </c>
      <c r="B24" s="348">
        <v>5462000</v>
      </c>
      <c r="C24" s="348">
        <v>0</v>
      </c>
      <c r="D24" s="348">
        <v>0</v>
      </c>
      <c r="E24" s="348">
        <v>0</v>
      </c>
      <c r="F24" s="348">
        <v>0</v>
      </c>
      <c r="G24" s="348">
        <v>0</v>
      </c>
      <c r="H24" s="348">
        <v>0</v>
      </c>
      <c r="I24" s="348">
        <v>0</v>
      </c>
      <c r="J24" s="348">
        <v>0</v>
      </c>
      <c r="K24" s="348">
        <v>0</v>
      </c>
      <c r="L24" s="348">
        <v>0</v>
      </c>
      <c r="M24" s="348">
        <v>0</v>
      </c>
      <c r="N24" s="348">
        <v>0</v>
      </c>
      <c r="O24" s="348">
        <v>0</v>
      </c>
      <c r="P24" s="348">
        <v>0</v>
      </c>
      <c r="Q24" s="348">
        <v>0</v>
      </c>
      <c r="R24" s="348">
        <v>0</v>
      </c>
      <c r="S24" s="348">
        <v>5462233.7000000002</v>
      </c>
      <c r="T24" s="348">
        <v>0</v>
      </c>
      <c r="U24" s="348">
        <v>5462233.7000000002</v>
      </c>
      <c r="V24" s="348">
        <v>5462233.7000000002</v>
      </c>
      <c r="W24" s="348">
        <v>26352000</v>
      </c>
      <c r="X24" s="348">
        <v>5462233.7000000002</v>
      </c>
      <c r="Y24" s="348">
        <v>5462233.7000000002</v>
      </c>
      <c r="Z24" s="348">
        <v>5462000</v>
      </c>
      <c r="AA24" s="348">
        <v>0</v>
      </c>
      <c r="AB24" s="348">
        <v>0</v>
      </c>
      <c r="AC24" s="348">
        <v>0</v>
      </c>
      <c r="AD24" s="348">
        <v>0</v>
      </c>
      <c r="AE24" s="348">
        <v>0</v>
      </c>
      <c r="AF24" s="348">
        <v>0</v>
      </c>
      <c r="AG24" s="348">
        <v>0</v>
      </c>
      <c r="AH24" s="348">
        <v>0</v>
      </c>
      <c r="AI24" s="348">
        <v>0</v>
      </c>
      <c r="AJ24" s="348">
        <v>0</v>
      </c>
      <c r="AK24" s="348">
        <v>0</v>
      </c>
      <c r="AL24" s="348">
        <v>0</v>
      </c>
      <c r="AM24" s="348">
        <v>0</v>
      </c>
      <c r="AN24" s="348">
        <v>0</v>
      </c>
      <c r="AO24" s="348">
        <v>0</v>
      </c>
      <c r="AP24" s="348">
        <v>0</v>
      </c>
      <c r="AQ24" s="348">
        <v>0</v>
      </c>
      <c r="AR24" s="348">
        <v>0</v>
      </c>
      <c r="AS24" s="348">
        <v>0</v>
      </c>
      <c r="AT24" s="348">
        <v>0</v>
      </c>
      <c r="AU24" s="348">
        <v>0</v>
      </c>
      <c r="AV24" s="348">
        <v>0</v>
      </c>
      <c r="AW24" s="348">
        <v>0</v>
      </c>
      <c r="AX24" s="348">
        <v>0</v>
      </c>
      <c r="AY24" s="348">
        <v>0</v>
      </c>
      <c r="AZ24" s="348">
        <v>0</v>
      </c>
      <c r="BA24" s="348">
        <v>0</v>
      </c>
      <c r="BB24" s="348">
        <v>0</v>
      </c>
      <c r="BC24" s="348">
        <v>0</v>
      </c>
      <c r="BD24" s="348">
        <v>0</v>
      </c>
      <c r="BE24" s="348">
        <v>0</v>
      </c>
      <c r="BF24" s="348">
        <v>0</v>
      </c>
      <c r="BG24" s="348">
        <v>0</v>
      </c>
      <c r="BH24" s="348">
        <v>0</v>
      </c>
      <c r="BI24" s="348">
        <v>0</v>
      </c>
      <c r="BJ24" s="348">
        <v>0</v>
      </c>
      <c r="BK24" s="348">
        <v>0</v>
      </c>
      <c r="BL24" s="348">
        <v>0</v>
      </c>
      <c r="BM24" s="348">
        <v>0</v>
      </c>
      <c r="BN24" s="348">
        <v>0</v>
      </c>
      <c r="BO24" s="348">
        <v>0</v>
      </c>
      <c r="BP24" s="348">
        <v>0</v>
      </c>
      <c r="BQ24" s="348">
        <v>0</v>
      </c>
      <c r="BR24" s="348">
        <v>0</v>
      </c>
      <c r="BS24" s="348">
        <v>0</v>
      </c>
      <c r="BT24" s="348">
        <v>0</v>
      </c>
      <c r="BU24" s="348">
        <v>0</v>
      </c>
      <c r="BV24" s="348">
        <v>0</v>
      </c>
      <c r="BW24" s="348">
        <v>0</v>
      </c>
      <c r="BX24" s="348">
        <v>0</v>
      </c>
      <c r="BY24" s="348">
        <v>0</v>
      </c>
      <c r="BZ24" s="348">
        <v>0</v>
      </c>
      <c r="CA24" s="348">
        <v>0</v>
      </c>
      <c r="CB24" s="348">
        <v>0</v>
      </c>
      <c r="CC24" s="348">
        <v>0</v>
      </c>
      <c r="CD24" s="348">
        <v>0</v>
      </c>
      <c r="CE24" s="348">
        <v>0</v>
      </c>
      <c r="CF24" s="348">
        <v>0</v>
      </c>
      <c r="CG24" s="348">
        <v>0</v>
      </c>
      <c r="CH24" s="348">
        <v>0</v>
      </c>
      <c r="CI24" s="348">
        <v>0</v>
      </c>
      <c r="CJ24" s="348">
        <v>0</v>
      </c>
      <c r="CK24" s="348">
        <v>0</v>
      </c>
      <c r="CL24" s="348">
        <v>0</v>
      </c>
      <c r="CM24" s="348">
        <v>0</v>
      </c>
      <c r="CN24" s="348">
        <v>0</v>
      </c>
      <c r="CO24" s="348">
        <v>0</v>
      </c>
      <c r="CP24" s="348">
        <v>0</v>
      </c>
      <c r="CQ24" s="348">
        <v>0</v>
      </c>
      <c r="CR24" s="348">
        <v>0</v>
      </c>
      <c r="CS24" s="348">
        <v>0</v>
      </c>
      <c r="CT24" s="348">
        <v>0</v>
      </c>
      <c r="CU24" s="348">
        <v>0</v>
      </c>
      <c r="CV24" s="348">
        <v>0</v>
      </c>
      <c r="CW24" s="348">
        <v>0</v>
      </c>
      <c r="CX24" s="348">
        <v>0</v>
      </c>
      <c r="CY24" s="348">
        <v>0</v>
      </c>
      <c r="CZ24" s="348">
        <v>0</v>
      </c>
      <c r="DA24" s="348">
        <v>0</v>
      </c>
      <c r="DB24" s="348">
        <v>0</v>
      </c>
      <c r="DC24" s="348">
        <v>0</v>
      </c>
      <c r="DD24" s="348">
        <v>0</v>
      </c>
      <c r="DE24" s="348">
        <v>0</v>
      </c>
      <c r="DF24" s="348">
        <v>0</v>
      </c>
      <c r="DG24" s="348">
        <v>0</v>
      </c>
      <c r="DH24" s="348">
        <v>0</v>
      </c>
      <c r="DI24" s="348">
        <v>0</v>
      </c>
      <c r="DJ24" s="348">
        <v>0</v>
      </c>
      <c r="DK24" s="348">
        <v>0</v>
      </c>
      <c r="DL24" s="348">
        <v>0</v>
      </c>
      <c r="DM24" s="348">
        <v>0</v>
      </c>
      <c r="DN24" s="348">
        <v>0</v>
      </c>
      <c r="DO24" s="348">
        <v>0</v>
      </c>
      <c r="DP24" s="348">
        <v>0</v>
      </c>
      <c r="DQ24" s="348">
        <v>0</v>
      </c>
      <c r="DR24" s="348">
        <v>0</v>
      </c>
      <c r="DS24" s="354">
        <v>2022</v>
      </c>
      <c r="DT24" s="354">
        <v>7</v>
      </c>
      <c r="DU24" s="354">
        <v>27</v>
      </c>
      <c r="DV24" s="345" t="s">
        <v>675</v>
      </c>
      <c r="DW24" s="345" t="s">
        <v>698</v>
      </c>
      <c r="DX24" s="345" t="s">
        <v>735</v>
      </c>
    </row>
    <row r="25" spans="1:128">
      <c r="A25" s="355">
        <v>24</v>
      </c>
      <c r="B25" s="348">
        <v>585000</v>
      </c>
      <c r="C25" s="348">
        <v>0</v>
      </c>
      <c r="D25" s="348">
        <v>0</v>
      </c>
      <c r="E25" s="348">
        <v>0</v>
      </c>
      <c r="F25" s="348">
        <v>0</v>
      </c>
      <c r="G25" s="348">
        <v>0</v>
      </c>
      <c r="H25" s="348">
        <v>0</v>
      </c>
      <c r="I25" s="348">
        <v>0</v>
      </c>
      <c r="J25" s="348">
        <v>0</v>
      </c>
      <c r="K25" s="348">
        <v>0</v>
      </c>
      <c r="L25" s="348">
        <v>0</v>
      </c>
      <c r="M25" s="348">
        <v>0</v>
      </c>
      <c r="N25" s="348">
        <v>0</v>
      </c>
      <c r="O25" s="348">
        <v>0</v>
      </c>
      <c r="P25" s="348">
        <v>0</v>
      </c>
      <c r="Q25" s="348">
        <v>0</v>
      </c>
      <c r="R25" s="348">
        <v>0</v>
      </c>
      <c r="S25" s="348">
        <v>585200</v>
      </c>
      <c r="T25" s="348">
        <v>0</v>
      </c>
      <c r="U25" s="348">
        <v>585200</v>
      </c>
      <c r="V25" s="348">
        <v>585200</v>
      </c>
      <c r="W25" s="348">
        <v>1296000</v>
      </c>
      <c r="X25" s="348">
        <v>585200</v>
      </c>
      <c r="Y25" s="348">
        <v>585200</v>
      </c>
      <c r="Z25" s="348">
        <v>585000</v>
      </c>
      <c r="AA25" s="348">
        <v>0</v>
      </c>
      <c r="AB25" s="348">
        <v>0</v>
      </c>
      <c r="AC25" s="348">
        <v>0</v>
      </c>
      <c r="AD25" s="348">
        <v>0</v>
      </c>
      <c r="AE25" s="348">
        <v>0</v>
      </c>
      <c r="AF25" s="348">
        <v>0</v>
      </c>
      <c r="AG25" s="348">
        <v>0</v>
      </c>
      <c r="AH25" s="348">
        <v>0</v>
      </c>
      <c r="AI25" s="348">
        <v>0</v>
      </c>
      <c r="AJ25" s="348">
        <v>0</v>
      </c>
      <c r="AK25" s="348">
        <v>0</v>
      </c>
      <c r="AL25" s="348">
        <v>0</v>
      </c>
      <c r="AM25" s="348">
        <v>0</v>
      </c>
      <c r="AN25" s="348">
        <v>0</v>
      </c>
      <c r="AO25" s="348">
        <v>0</v>
      </c>
      <c r="AP25" s="348">
        <v>0</v>
      </c>
      <c r="AQ25" s="348">
        <v>0</v>
      </c>
      <c r="AR25" s="348">
        <v>0</v>
      </c>
      <c r="AS25" s="348">
        <v>0</v>
      </c>
      <c r="AT25" s="348">
        <v>0</v>
      </c>
      <c r="AU25" s="348">
        <v>0</v>
      </c>
      <c r="AV25" s="348">
        <v>0</v>
      </c>
      <c r="AW25" s="348">
        <v>0</v>
      </c>
      <c r="AX25" s="348">
        <v>0</v>
      </c>
      <c r="AY25" s="348">
        <v>0</v>
      </c>
      <c r="AZ25" s="348">
        <v>0</v>
      </c>
      <c r="BA25" s="348">
        <v>0</v>
      </c>
      <c r="BB25" s="348">
        <v>0</v>
      </c>
      <c r="BC25" s="348">
        <v>0</v>
      </c>
      <c r="BD25" s="348">
        <v>0</v>
      </c>
      <c r="BE25" s="348">
        <v>0</v>
      </c>
      <c r="BF25" s="348">
        <v>0</v>
      </c>
      <c r="BG25" s="348">
        <v>0</v>
      </c>
      <c r="BH25" s="348">
        <v>0</v>
      </c>
      <c r="BI25" s="348">
        <v>0</v>
      </c>
      <c r="BJ25" s="348">
        <v>0</v>
      </c>
      <c r="BK25" s="348">
        <v>0</v>
      </c>
      <c r="BL25" s="348">
        <v>0</v>
      </c>
      <c r="BM25" s="348">
        <v>0</v>
      </c>
      <c r="BN25" s="348">
        <v>0</v>
      </c>
      <c r="BO25" s="348">
        <v>0</v>
      </c>
      <c r="BP25" s="348">
        <v>0</v>
      </c>
      <c r="BQ25" s="348">
        <v>0</v>
      </c>
      <c r="BR25" s="348">
        <v>0</v>
      </c>
      <c r="BS25" s="348">
        <v>0</v>
      </c>
      <c r="BT25" s="348">
        <v>0</v>
      </c>
      <c r="BU25" s="348">
        <v>0</v>
      </c>
      <c r="BV25" s="348">
        <v>0</v>
      </c>
      <c r="BW25" s="348">
        <v>0</v>
      </c>
      <c r="BX25" s="348">
        <v>0</v>
      </c>
      <c r="BY25" s="348">
        <v>0</v>
      </c>
      <c r="BZ25" s="348">
        <v>0</v>
      </c>
      <c r="CA25" s="348">
        <v>0</v>
      </c>
      <c r="CB25" s="348">
        <v>0</v>
      </c>
      <c r="CC25" s="348">
        <v>0</v>
      </c>
      <c r="CD25" s="348">
        <v>0</v>
      </c>
      <c r="CE25" s="348">
        <v>0</v>
      </c>
      <c r="CF25" s="348">
        <v>0</v>
      </c>
      <c r="CG25" s="348">
        <v>0</v>
      </c>
      <c r="CH25" s="348">
        <v>0</v>
      </c>
      <c r="CI25" s="348">
        <v>0</v>
      </c>
      <c r="CJ25" s="348">
        <v>0</v>
      </c>
      <c r="CK25" s="348">
        <v>0</v>
      </c>
      <c r="CL25" s="348">
        <v>0</v>
      </c>
      <c r="CM25" s="348">
        <v>0</v>
      </c>
      <c r="CN25" s="348">
        <v>0</v>
      </c>
      <c r="CO25" s="348">
        <v>0</v>
      </c>
      <c r="CP25" s="348">
        <v>0</v>
      </c>
      <c r="CQ25" s="348">
        <v>0</v>
      </c>
      <c r="CR25" s="348">
        <v>0</v>
      </c>
      <c r="CS25" s="348">
        <v>0</v>
      </c>
      <c r="CT25" s="348">
        <v>0</v>
      </c>
      <c r="CU25" s="348">
        <v>0</v>
      </c>
      <c r="CV25" s="348">
        <v>0</v>
      </c>
      <c r="CW25" s="348">
        <v>0</v>
      </c>
      <c r="CX25" s="348">
        <v>0</v>
      </c>
      <c r="CY25" s="348">
        <v>0</v>
      </c>
      <c r="CZ25" s="348">
        <v>0</v>
      </c>
      <c r="DA25" s="348">
        <v>0</v>
      </c>
      <c r="DB25" s="348">
        <v>0</v>
      </c>
      <c r="DC25" s="348">
        <v>0</v>
      </c>
      <c r="DD25" s="348">
        <v>0</v>
      </c>
      <c r="DE25" s="348">
        <v>0</v>
      </c>
      <c r="DF25" s="348">
        <v>0</v>
      </c>
      <c r="DG25" s="348">
        <v>0</v>
      </c>
      <c r="DH25" s="348">
        <v>0</v>
      </c>
      <c r="DI25" s="348">
        <v>0</v>
      </c>
      <c r="DJ25" s="348">
        <v>0</v>
      </c>
      <c r="DK25" s="348">
        <v>0</v>
      </c>
      <c r="DL25" s="348">
        <v>0</v>
      </c>
      <c r="DM25" s="348">
        <v>0</v>
      </c>
      <c r="DN25" s="348">
        <v>0</v>
      </c>
      <c r="DO25" s="348">
        <v>0</v>
      </c>
      <c r="DP25" s="348">
        <v>0</v>
      </c>
      <c r="DQ25" s="348">
        <v>0</v>
      </c>
      <c r="DR25" s="348">
        <v>0</v>
      </c>
      <c r="DS25" s="354">
        <v>2022</v>
      </c>
      <c r="DT25" s="354">
        <v>7</v>
      </c>
      <c r="DU25" s="354">
        <v>27</v>
      </c>
      <c r="DV25" s="345" t="s">
        <v>675</v>
      </c>
      <c r="DW25" s="345" t="s">
        <v>699</v>
      </c>
      <c r="DX25" s="345" t="s">
        <v>735</v>
      </c>
    </row>
    <row r="26" spans="1:128">
      <c r="A26" s="355">
        <v>25</v>
      </c>
      <c r="B26" s="348">
        <v>7282000</v>
      </c>
      <c r="C26" s="348">
        <v>0</v>
      </c>
      <c r="D26" s="348">
        <v>0</v>
      </c>
      <c r="E26" s="348">
        <v>0</v>
      </c>
      <c r="F26" s="348">
        <v>0</v>
      </c>
      <c r="G26" s="348">
        <v>0</v>
      </c>
      <c r="H26" s="348">
        <v>0</v>
      </c>
      <c r="I26" s="348">
        <v>0</v>
      </c>
      <c r="J26" s="348">
        <v>0</v>
      </c>
      <c r="K26" s="348">
        <v>0</v>
      </c>
      <c r="L26" s="348">
        <v>0</v>
      </c>
      <c r="M26" s="348">
        <v>0</v>
      </c>
      <c r="N26" s="348">
        <v>0</v>
      </c>
      <c r="O26" s="348">
        <v>0</v>
      </c>
      <c r="P26" s="348">
        <v>0</v>
      </c>
      <c r="Q26" s="348">
        <v>0</v>
      </c>
      <c r="R26" s="348">
        <v>0</v>
      </c>
      <c r="S26" s="348">
        <v>7282462</v>
      </c>
      <c r="T26" s="348">
        <v>0</v>
      </c>
      <c r="U26" s="348">
        <v>7282462</v>
      </c>
      <c r="V26" s="348">
        <v>7282462</v>
      </c>
      <c r="W26" s="348">
        <v>48751200</v>
      </c>
      <c r="X26" s="348">
        <v>7282462</v>
      </c>
      <c r="Y26" s="348">
        <v>7282462</v>
      </c>
      <c r="Z26" s="348">
        <v>7282000</v>
      </c>
      <c r="AA26" s="348">
        <v>0</v>
      </c>
      <c r="AB26" s="348">
        <v>0</v>
      </c>
      <c r="AC26" s="348">
        <v>0</v>
      </c>
      <c r="AD26" s="348">
        <v>0</v>
      </c>
      <c r="AE26" s="348">
        <v>0</v>
      </c>
      <c r="AF26" s="348">
        <v>0</v>
      </c>
      <c r="AG26" s="348">
        <v>0</v>
      </c>
      <c r="AH26" s="348">
        <v>0</v>
      </c>
      <c r="AI26" s="348">
        <v>0</v>
      </c>
      <c r="AJ26" s="348">
        <v>0</v>
      </c>
      <c r="AK26" s="348">
        <v>0</v>
      </c>
      <c r="AL26" s="348">
        <v>0</v>
      </c>
      <c r="AM26" s="348">
        <v>0</v>
      </c>
      <c r="AN26" s="348">
        <v>0</v>
      </c>
      <c r="AO26" s="348">
        <v>0</v>
      </c>
      <c r="AP26" s="348">
        <v>0</v>
      </c>
      <c r="AQ26" s="348">
        <v>0</v>
      </c>
      <c r="AR26" s="348">
        <v>0</v>
      </c>
      <c r="AS26" s="348">
        <v>0</v>
      </c>
      <c r="AT26" s="348">
        <v>0</v>
      </c>
      <c r="AU26" s="348">
        <v>0</v>
      </c>
      <c r="AV26" s="348">
        <v>0</v>
      </c>
      <c r="AW26" s="348">
        <v>0</v>
      </c>
      <c r="AX26" s="348">
        <v>0</v>
      </c>
      <c r="AY26" s="348">
        <v>0</v>
      </c>
      <c r="AZ26" s="348">
        <v>0</v>
      </c>
      <c r="BA26" s="348">
        <v>0</v>
      </c>
      <c r="BB26" s="348">
        <v>0</v>
      </c>
      <c r="BC26" s="348">
        <v>0</v>
      </c>
      <c r="BD26" s="348">
        <v>0</v>
      </c>
      <c r="BE26" s="348">
        <v>0</v>
      </c>
      <c r="BF26" s="348">
        <v>0</v>
      </c>
      <c r="BG26" s="348">
        <v>0</v>
      </c>
      <c r="BH26" s="348">
        <v>0</v>
      </c>
      <c r="BI26" s="348">
        <v>0</v>
      </c>
      <c r="BJ26" s="348">
        <v>0</v>
      </c>
      <c r="BK26" s="348">
        <v>0</v>
      </c>
      <c r="BL26" s="348">
        <v>0</v>
      </c>
      <c r="BM26" s="348">
        <v>0</v>
      </c>
      <c r="BN26" s="348">
        <v>0</v>
      </c>
      <c r="BO26" s="348">
        <v>0</v>
      </c>
      <c r="BP26" s="348">
        <v>0</v>
      </c>
      <c r="BQ26" s="348">
        <v>0</v>
      </c>
      <c r="BR26" s="348">
        <v>0</v>
      </c>
      <c r="BS26" s="348">
        <v>0</v>
      </c>
      <c r="BT26" s="348">
        <v>0</v>
      </c>
      <c r="BU26" s="348">
        <v>0</v>
      </c>
      <c r="BV26" s="348">
        <v>0</v>
      </c>
      <c r="BW26" s="348">
        <v>0</v>
      </c>
      <c r="BX26" s="348">
        <v>0</v>
      </c>
      <c r="BY26" s="348">
        <v>0</v>
      </c>
      <c r="BZ26" s="348">
        <v>0</v>
      </c>
      <c r="CA26" s="348">
        <v>0</v>
      </c>
      <c r="CB26" s="348">
        <v>0</v>
      </c>
      <c r="CC26" s="348">
        <v>0</v>
      </c>
      <c r="CD26" s="348">
        <v>0</v>
      </c>
      <c r="CE26" s="348">
        <v>0</v>
      </c>
      <c r="CF26" s="348">
        <v>0</v>
      </c>
      <c r="CG26" s="348">
        <v>0</v>
      </c>
      <c r="CH26" s="348">
        <v>0</v>
      </c>
      <c r="CI26" s="348">
        <v>0</v>
      </c>
      <c r="CJ26" s="348">
        <v>0</v>
      </c>
      <c r="CK26" s="348">
        <v>0</v>
      </c>
      <c r="CL26" s="348">
        <v>0</v>
      </c>
      <c r="CM26" s="348">
        <v>0</v>
      </c>
      <c r="CN26" s="348">
        <v>0</v>
      </c>
      <c r="CO26" s="348">
        <v>0</v>
      </c>
      <c r="CP26" s="348">
        <v>0</v>
      </c>
      <c r="CQ26" s="348">
        <v>0</v>
      </c>
      <c r="CR26" s="348">
        <v>0</v>
      </c>
      <c r="CS26" s="348">
        <v>0</v>
      </c>
      <c r="CT26" s="348">
        <v>0</v>
      </c>
      <c r="CU26" s="348">
        <v>0</v>
      </c>
      <c r="CV26" s="348">
        <v>0</v>
      </c>
      <c r="CW26" s="348">
        <v>0</v>
      </c>
      <c r="CX26" s="348">
        <v>0</v>
      </c>
      <c r="CY26" s="348">
        <v>0</v>
      </c>
      <c r="CZ26" s="348">
        <v>0</v>
      </c>
      <c r="DA26" s="348">
        <v>0</v>
      </c>
      <c r="DB26" s="348">
        <v>0</v>
      </c>
      <c r="DC26" s="348">
        <v>0</v>
      </c>
      <c r="DD26" s="348">
        <v>0</v>
      </c>
      <c r="DE26" s="348">
        <v>0</v>
      </c>
      <c r="DF26" s="348">
        <v>0</v>
      </c>
      <c r="DG26" s="348">
        <v>0</v>
      </c>
      <c r="DH26" s="348">
        <v>0</v>
      </c>
      <c r="DI26" s="348">
        <v>0</v>
      </c>
      <c r="DJ26" s="348">
        <v>0</v>
      </c>
      <c r="DK26" s="348">
        <v>0</v>
      </c>
      <c r="DL26" s="348">
        <v>0</v>
      </c>
      <c r="DM26" s="348">
        <v>0</v>
      </c>
      <c r="DN26" s="348">
        <v>0</v>
      </c>
      <c r="DO26" s="348">
        <v>0</v>
      </c>
      <c r="DP26" s="348">
        <v>0</v>
      </c>
      <c r="DQ26" s="348">
        <v>0</v>
      </c>
      <c r="DR26" s="348">
        <v>0</v>
      </c>
      <c r="DS26" s="354">
        <v>2022</v>
      </c>
      <c r="DT26" s="354">
        <v>7</v>
      </c>
      <c r="DU26" s="354">
        <v>27</v>
      </c>
      <c r="DV26" s="345" t="s">
        <v>675</v>
      </c>
      <c r="DW26" s="345" t="s">
        <v>700</v>
      </c>
      <c r="DX26" s="345" t="s">
        <v>735</v>
      </c>
    </row>
    <row r="27" spans="1:128">
      <c r="A27" s="355">
        <v>26</v>
      </c>
      <c r="B27" s="348">
        <v>113000</v>
      </c>
      <c r="C27" s="348">
        <v>0</v>
      </c>
      <c r="D27" s="348">
        <v>0</v>
      </c>
      <c r="E27" s="348">
        <v>0</v>
      </c>
      <c r="F27" s="348">
        <v>0</v>
      </c>
      <c r="G27" s="348">
        <v>0</v>
      </c>
      <c r="H27" s="348">
        <v>0</v>
      </c>
      <c r="I27" s="348">
        <v>0</v>
      </c>
      <c r="J27" s="348">
        <v>0</v>
      </c>
      <c r="K27" s="348">
        <v>0</v>
      </c>
      <c r="L27" s="348">
        <v>0</v>
      </c>
      <c r="M27" s="348">
        <v>0</v>
      </c>
      <c r="N27" s="348">
        <v>0</v>
      </c>
      <c r="O27" s="348">
        <v>0</v>
      </c>
      <c r="P27" s="348">
        <v>0</v>
      </c>
      <c r="Q27" s="348">
        <v>0</v>
      </c>
      <c r="R27" s="348">
        <v>0</v>
      </c>
      <c r="S27" s="348">
        <v>113520</v>
      </c>
      <c r="T27" s="348">
        <v>0</v>
      </c>
      <c r="U27" s="348">
        <v>113520</v>
      </c>
      <c r="V27" s="348">
        <v>113520</v>
      </c>
      <c r="W27" s="348">
        <v>460800</v>
      </c>
      <c r="X27" s="348">
        <v>113520</v>
      </c>
      <c r="Y27" s="348">
        <v>113520</v>
      </c>
      <c r="Z27" s="348">
        <v>113000</v>
      </c>
      <c r="AA27" s="348">
        <v>0</v>
      </c>
      <c r="AB27" s="348">
        <v>0</v>
      </c>
      <c r="AC27" s="348">
        <v>0</v>
      </c>
      <c r="AD27" s="348">
        <v>0</v>
      </c>
      <c r="AE27" s="348">
        <v>0</v>
      </c>
      <c r="AF27" s="348">
        <v>0</v>
      </c>
      <c r="AG27" s="348">
        <v>0</v>
      </c>
      <c r="AH27" s="348">
        <v>0</v>
      </c>
      <c r="AI27" s="348">
        <v>0</v>
      </c>
      <c r="AJ27" s="348">
        <v>0</v>
      </c>
      <c r="AK27" s="348">
        <v>0</v>
      </c>
      <c r="AL27" s="348">
        <v>0</v>
      </c>
      <c r="AM27" s="348">
        <v>0</v>
      </c>
      <c r="AN27" s="348">
        <v>0</v>
      </c>
      <c r="AO27" s="348">
        <v>0</v>
      </c>
      <c r="AP27" s="348">
        <v>0</v>
      </c>
      <c r="AQ27" s="348">
        <v>0</v>
      </c>
      <c r="AR27" s="348">
        <v>0</v>
      </c>
      <c r="AS27" s="348">
        <v>0</v>
      </c>
      <c r="AT27" s="348">
        <v>0</v>
      </c>
      <c r="AU27" s="348">
        <v>0</v>
      </c>
      <c r="AV27" s="348">
        <v>0</v>
      </c>
      <c r="AW27" s="348">
        <v>0</v>
      </c>
      <c r="AX27" s="348">
        <v>0</v>
      </c>
      <c r="AY27" s="348">
        <v>0</v>
      </c>
      <c r="AZ27" s="348">
        <v>0</v>
      </c>
      <c r="BA27" s="348">
        <v>0</v>
      </c>
      <c r="BB27" s="348">
        <v>0</v>
      </c>
      <c r="BC27" s="348">
        <v>0</v>
      </c>
      <c r="BD27" s="348">
        <v>0</v>
      </c>
      <c r="BE27" s="348">
        <v>0</v>
      </c>
      <c r="BF27" s="348">
        <v>0</v>
      </c>
      <c r="BG27" s="348">
        <v>0</v>
      </c>
      <c r="BH27" s="348">
        <v>0</v>
      </c>
      <c r="BI27" s="348">
        <v>0</v>
      </c>
      <c r="BJ27" s="348">
        <v>0</v>
      </c>
      <c r="BK27" s="348">
        <v>0</v>
      </c>
      <c r="BL27" s="348">
        <v>0</v>
      </c>
      <c r="BM27" s="348">
        <v>0</v>
      </c>
      <c r="BN27" s="348">
        <v>0</v>
      </c>
      <c r="BO27" s="348">
        <v>0</v>
      </c>
      <c r="BP27" s="348">
        <v>0</v>
      </c>
      <c r="BQ27" s="348">
        <v>0</v>
      </c>
      <c r="BR27" s="348">
        <v>0</v>
      </c>
      <c r="BS27" s="348">
        <v>0</v>
      </c>
      <c r="BT27" s="348">
        <v>0</v>
      </c>
      <c r="BU27" s="348">
        <v>0</v>
      </c>
      <c r="BV27" s="348">
        <v>0</v>
      </c>
      <c r="BW27" s="348">
        <v>0</v>
      </c>
      <c r="BX27" s="348">
        <v>0</v>
      </c>
      <c r="BY27" s="348">
        <v>0</v>
      </c>
      <c r="BZ27" s="348">
        <v>0</v>
      </c>
      <c r="CA27" s="348">
        <v>0</v>
      </c>
      <c r="CB27" s="348">
        <v>0</v>
      </c>
      <c r="CC27" s="348">
        <v>0</v>
      </c>
      <c r="CD27" s="348">
        <v>0</v>
      </c>
      <c r="CE27" s="348">
        <v>0</v>
      </c>
      <c r="CF27" s="348">
        <v>0</v>
      </c>
      <c r="CG27" s="348">
        <v>0</v>
      </c>
      <c r="CH27" s="348">
        <v>0</v>
      </c>
      <c r="CI27" s="348">
        <v>0</v>
      </c>
      <c r="CJ27" s="348">
        <v>0</v>
      </c>
      <c r="CK27" s="348">
        <v>0</v>
      </c>
      <c r="CL27" s="348">
        <v>0</v>
      </c>
      <c r="CM27" s="348">
        <v>0</v>
      </c>
      <c r="CN27" s="348">
        <v>0</v>
      </c>
      <c r="CO27" s="348">
        <v>0</v>
      </c>
      <c r="CP27" s="348">
        <v>0</v>
      </c>
      <c r="CQ27" s="348">
        <v>0</v>
      </c>
      <c r="CR27" s="348">
        <v>0</v>
      </c>
      <c r="CS27" s="348">
        <v>0</v>
      </c>
      <c r="CT27" s="348">
        <v>0</v>
      </c>
      <c r="CU27" s="348">
        <v>0</v>
      </c>
      <c r="CV27" s="348">
        <v>0</v>
      </c>
      <c r="CW27" s="348">
        <v>0</v>
      </c>
      <c r="CX27" s="348">
        <v>0</v>
      </c>
      <c r="CY27" s="348">
        <v>0</v>
      </c>
      <c r="CZ27" s="348">
        <v>0</v>
      </c>
      <c r="DA27" s="348">
        <v>0</v>
      </c>
      <c r="DB27" s="348">
        <v>0</v>
      </c>
      <c r="DC27" s="348">
        <v>0</v>
      </c>
      <c r="DD27" s="348">
        <v>0</v>
      </c>
      <c r="DE27" s="348">
        <v>0</v>
      </c>
      <c r="DF27" s="348">
        <v>0</v>
      </c>
      <c r="DG27" s="348">
        <v>0</v>
      </c>
      <c r="DH27" s="348">
        <v>0</v>
      </c>
      <c r="DI27" s="348">
        <v>0</v>
      </c>
      <c r="DJ27" s="348">
        <v>0</v>
      </c>
      <c r="DK27" s="348">
        <v>0</v>
      </c>
      <c r="DL27" s="348">
        <v>0</v>
      </c>
      <c r="DM27" s="348">
        <v>0</v>
      </c>
      <c r="DN27" s="348">
        <v>0</v>
      </c>
      <c r="DO27" s="348">
        <v>0</v>
      </c>
      <c r="DP27" s="348">
        <v>0</v>
      </c>
      <c r="DQ27" s="348">
        <v>0</v>
      </c>
      <c r="DR27" s="348">
        <v>0</v>
      </c>
      <c r="DS27" s="354">
        <v>2022</v>
      </c>
      <c r="DT27" s="354">
        <v>7</v>
      </c>
      <c r="DU27" s="354">
        <v>27</v>
      </c>
      <c r="DV27" s="345" t="s">
        <v>701</v>
      </c>
      <c r="DW27" s="345" t="s">
        <v>702</v>
      </c>
      <c r="DX27" s="345" t="s">
        <v>735</v>
      </c>
    </row>
    <row r="28" spans="1:128">
      <c r="A28" s="355">
        <v>27</v>
      </c>
      <c r="B28" s="348">
        <v>5619000</v>
      </c>
      <c r="C28" s="348">
        <v>0</v>
      </c>
      <c r="D28" s="348">
        <v>0</v>
      </c>
      <c r="E28" s="348">
        <v>0</v>
      </c>
      <c r="F28" s="348">
        <v>0</v>
      </c>
      <c r="G28" s="348">
        <v>0</v>
      </c>
      <c r="H28" s="348">
        <v>0</v>
      </c>
      <c r="I28" s="348">
        <v>0</v>
      </c>
      <c r="J28" s="348">
        <v>0</v>
      </c>
      <c r="K28" s="348">
        <v>0</v>
      </c>
      <c r="L28" s="348">
        <v>0</v>
      </c>
      <c r="M28" s="348">
        <v>0</v>
      </c>
      <c r="N28" s="348">
        <v>0</v>
      </c>
      <c r="O28" s="348">
        <v>0</v>
      </c>
      <c r="P28" s="348">
        <v>0</v>
      </c>
      <c r="Q28" s="348">
        <v>0</v>
      </c>
      <c r="R28" s="348">
        <v>0</v>
      </c>
      <c r="S28" s="348">
        <v>5619900</v>
      </c>
      <c r="T28" s="348">
        <v>0</v>
      </c>
      <c r="U28" s="348">
        <v>5619900</v>
      </c>
      <c r="V28" s="348">
        <v>5619900</v>
      </c>
      <c r="W28" s="348">
        <v>13176000</v>
      </c>
      <c r="X28" s="348">
        <v>5619900</v>
      </c>
      <c r="Y28" s="348">
        <v>5619900</v>
      </c>
      <c r="Z28" s="348">
        <v>5619000</v>
      </c>
      <c r="AA28" s="348">
        <v>0</v>
      </c>
      <c r="AB28" s="348">
        <v>0</v>
      </c>
      <c r="AC28" s="348">
        <v>0</v>
      </c>
      <c r="AD28" s="348">
        <v>0</v>
      </c>
      <c r="AE28" s="348">
        <v>0</v>
      </c>
      <c r="AF28" s="348">
        <v>0</v>
      </c>
      <c r="AG28" s="348">
        <v>0</v>
      </c>
      <c r="AH28" s="348">
        <v>0</v>
      </c>
      <c r="AI28" s="348">
        <v>0</v>
      </c>
      <c r="AJ28" s="348">
        <v>0</v>
      </c>
      <c r="AK28" s="348">
        <v>0</v>
      </c>
      <c r="AL28" s="348">
        <v>0</v>
      </c>
      <c r="AM28" s="348">
        <v>0</v>
      </c>
      <c r="AN28" s="348">
        <v>0</v>
      </c>
      <c r="AO28" s="348">
        <v>0</v>
      </c>
      <c r="AP28" s="348">
        <v>0</v>
      </c>
      <c r="AQ28" s="348">
        <v>0</v>
      </c>
      <c r="AR28" s="348">
        <v>0</v>
      </c>
      <c r="AS28" s="348">
        <v>0</v>
      </c>
      <c r="AT28" s="348">
        <v>0</v>
      </c>
      <c r="AU28" s="348">
        <v>0</v>
      </c>
      <c r="AV28" s="348">
        <v>0</v>
      </c>
      <c r="AW28" s="348">
        <v>0</v>
      </c>
      <c r="AX28" s="348">
        <v>0</v>
      </c>
      <c r="AY28" s="348">
        <v>0</v>
      </c>
      <c r="AZ28" s="348">
        <v>0</v>
      </c>
      <c r="BA28" s="348">
        <v>0</v>
      </c>
      <c r="BB28" s="348">
        <v>0</v>
      </c>
      <c r="BC28" s="348">
        <v>0</v>
      </c>
      <c r="BD28" s="348">
        <v>0</v>
      </c>
      <c r="BE28" s="348">
        <v>0</v>
      </c>
      <c r="BF28" s="348">
        <v>0</v>
      </c>
      <c r="BG28" s="348">
        <v>0</v>
      </c>
      <c r="BH28" s="348">
        <v>0</v>
      </c>
      <c r="BI28" s="348">
        <v>0</v>
      </c>
      <c r="BJ28" s="348">
        <v>0</v>
      </c>
      <c r="BK28" s="348">
        <v>0</v>
      </c>
      <c r="BL28" s="348">
        <v>0</v>
      </c>
      <c r="BM28" s="348">
        <v>0</v>
      </c>
      <c r="BN28" s="348">
        <v>0</v>
      </c>
      <c r="BO28" s="348">
        <v>0</v>
      </c>
      <c r="BP28" s="348">
        <v>0</v>
      </c>
      <c r="BQ28" s="348">
        <v>0</v>
      </c>
      <c r="BR28" s="348">
        <v>0</v>
      </c>
      <c r="BS28" s="348">
        <v>0</v>
      </c>
      <c r="BT28" s="348">
        <v>0</v>
      </c>
      <c r="BU28" s="348">
        <v>0</v>
      </c>
      <c r="BV28" s="348">
        <v>0</v>
      </c>
      <c r="BW28" s="348">
        <v>0</v>
      </c>
      <c r="BX28" s="348">
        <v>0</v>
      </c>
      <c r="BY28" s="348">
        <v>0</v>
      </c>
      <c r="BZ28" s="348">
        <v>0</v>
      </c>
      <c r="CA28" s="348">
        <v>0</v>
      </c>
      <c r="CB28" s="348">
        <v>0</v>
      </c>
      <c r="CC28" s="348">
        <v>0</v>
      </c>
      <c r="CD28" s="348">
        <v>0</v>
      </c>
      <c r="CE28" s="348">
        <v>0</v>
      </c>
      <c r="CF28" s="348">
        <v>0</v>
      </c>
      <c r="CG28" s="348">
        <v>0</v>
      </c>
      <c r="CH28" s="348">
        <v>0</v>
      </c>
      <c r="CI28" s="348">
        <v>0</v>
      </c>
      <c r="CJ28" s="348">
        <v>0</v>
      </c>
      <c r="CK28" s="348">
        <v>0</v>
      </c>
      <c r="CL28" s="348">
        <v>0</v>
      </c>
      <c r="CM28" s="348">
        <v>0</v>
      </c>
      <c r="CN28" s="348">
        <v>0</v>
      </c>
      <c r="CO28" s="348">
        <v>0</v>
      </c>
      <c r="CP28" s="348">
        <v>0</v>
      </c>
      <c r="CQ28" s="348">
        <v>0</v>
      </c>
      <c r="CR28" s="348">
        <v>0</v>
      </c>
      <c r="CS28" s="348">
        <v>0</v>
      </c>
      <c r="CT28" s="348">
        <v>0</v>
      </c>
      <c r="CU28" s="348">
        <v>0</v>
      </c>
      <c r="CV28" s="348">
        <v>0</v>
      </c>
      <c r="CW28" s="348">
        <v>0</v>
      </c>
      <c r="CX28" s="348">
        <v>0</v>
      </c>
      <c r="CY28" s="348">
        <v>0</v>
      </c>
      <c r="CZ28" s="348">
        <v>0</v>
      </c>
      <c r="DA28" s="348">
        <v>0</v>
      </c>
      <c r="DB28" s="348">
        <v>0</v>
      </c>
      <c r="DC28" s="348">
        <v>0</v>
      </c>
      <c r="DD28" s="348">
        <v>0</v>
      </c>
      <c r="DE28" s="348">
        <v>0</v>
      </c>
      <c r="DF28" s="348">
        <v>0</v>
      </c>
      <c r="DG28" s="348">
        <v>0</v>
      </c>
      <c r="DH28" s="348">
        <v>0</v>
      </c>
      <c r="DI28" s="348">
        <v>0</v>
      </c>
      <c r="DJ28" s="348">
        <v>0</v>
      </c>
      <c r="DK28" s="348">
        <v>0</v>
      </c>
      <c r="DL28" s="348">
        <v>0</v>
      </c>
      <c r="DM28" s="348">
        <v>0</v>
      </c>
      <c r="DN28" s="348">
        <v>0</v>
      </c>
      <c r="DO28" s="348">
        <v>0</v>
      </c>
      <c r="DP28" s="348">
        <v>0</v>
      </c>
      <c r="DQ28" s="348">
        <v>0</v>
      </c>
      <c r="DR28" s="348">
        <v>0</v>
      </c>
      <c r="DS28" s="354">
        <v>2022</v>
      </c>
      <c r="DT28" s="354">
        <v>7</v>
      </c>
      <c r="DU28" s="354">
        <v>27</v>
      </c>
      <c r="DV28" s="345" t="s">
        <v>675</v>
      </c>
      <c r="DW28" s="345" t="s">
        <v>703</v>
      </c>
      <c r="DX28" s="345" t="s">
        <v>736</v>
      </c>
    </row>
    <row r="29" spans="1:128">
      <c r="A29" s="355">
        <v>28</v>
      </c>
      <c r="B29" s="348">
        <v>18752000</v>
      </c>
      <c r="C29" s="348">
        <v>0</v>
      </c>
      <c r="D29" s="348">
        <v>0</v>
      </c>
      <c r="E29" s="348">
        <v>0</v>
      </c>
      <c r="F29" s="348">
        <v>0</v>
      </c>
      <c r="G29" s="348">
        <v>0</v>
      </c>
      <c r="H29" s="348">
        <v>0</v>
      </c>
      <c r="I29" s="348">
        <v>0</v>
      </c>
      <c r="J29" s="348">
        <v>0</v>
      </c>
      <c r="K29" s="348">
        <v>0</v>
      </c>
      <c r="L29" s="348">
        <v>0</v>
      </c>
      <c r="M29" s="348">
        <v>0</v>
      </c>
      <c r="N29" s="348">
        <v>0</v>
      </c>
      <c r="O29" s="348">
        <v>0</v>
      </c>
      <c r="P29" s="348">
        <v>0</v>
      </c>
      <c r="Q29" s="348">
        <v>0</v>
      </c>
      <c r="R29" s="348">
        <v>0</v>
      </c>
      <c r="S29" s="348">
        <v>3352250</v>
      </c>
      <c r="T29" s="348">
        <v>0</v>
      </c>
      <c r="U29" s="348">
        <v>3352250</v>
      </c>
      <c r="V29" s="348">
        <v>3352250</v>
      </c>
      <c r="W29" s="348">
        <v>9882000</v>
      </c>
      <c r="X29" s="348">
        <v>3352250</v>
      </c>
      <c r="Y29" s="348">
        <v>3352250</v>
      </c>
      <c r="Z29" s="348">
        <v>3352000</v>
      </c>
      <c r="AA29" s="348">
        <v>0</v>
      </c>
      <c r="AB29" s="348">
        <v>0</v>
      </c>
      <c r="AC29" s="348">
        <v>0</v>
      </c>
      <c r="AD29" s="348">
        <v>0</v>
      </c>
      <c r="AE29" s="348">
        <v>0</v>
      </c>
      <c r="AF29" s="348">
        <v>0</v>
      </c>
      <c r="AG29" s="348">
        <v>0</v>
      </c>
      <c r="AH29" s="348">
        <v>0</v>
      </c>
      <c r="AI29" s="348">
        <v>0</v>
      </c>
      <c r="AJ29" s="348">
        <v>0</v>
      </c>
      <c r="AK29" s="348">
        <v>0</v>
      </c>
      <c r="AL29" s="348">
        <v>0</v>
      </c>
      <c r="AM29" s="348">
        <v>0</v>
      </c>
      <c r="AN29" s="348">
        <v>0</v>
      </c>
      <c r="AO29" s="348">
        <v>0</v>
      </c>
      <c r="AP29" s="348">
        <v>0</v>
      </c>
      <c r="AQ29" s="348">
        <v>15400000</v>
      </c>
      <c r="AR29" s="348">
        <v>0</v>
      </c>
      <c r="AS29" s="348">
        <v>15400000</v>
      </c>
      <c r="AT29" s="348">
        <v>15400000</v>
      </c>
      <c r="AU29" s="348">
        <v>15400000</v>
      </c>
      <c r="AV29" s="348">
        <v>15400000</v>
      </c>
      <c r="AW29" s="348">
        <v>15400000</v>
      </c>
      <c r="AX29" s="348">
        <v>15400000</v>
      </c>
      <c r="AY29" s="348">
        <v>0</v>
      </c>
      <c r="AZ29" s="348">
        <v>0</v>
      </c>
      <c r="BA29" s="348">
        <v>0</v>
      </c>
      <c r="BB29" s="348">
        <v>0</v>
      </c>
      <c r="BC29" s="348">
        <v>0</v>
      </c>
      <c r="BD29" s="348">
        <v>0</v>
      </c>
      <c r="BE29" s="348">
        <v>0</v>
      </c>
      <c r="BF29" s="348">
        <v>0</v>
      </c>
      <c r="BG29" s="348">
        <v>0</v>
      </c>
      <c r="BH29" s="348">
        <v>0</v>
      </c>
      <c r="BI29" s="348">
        <v>0</v>
      </c>
      <c r="BJ29" s="348">
        <v>0</v>
      </c>
      <c r="BK29" s="348">
        <v>0</v>
      </c>
      <c r="BL29" s="348">
        <v>0</v>
      </c>
      <c r="BM29" s="348">
        <v>0</v>
      </c>
      <c r="BN29" s="348">
        <v>0</v>
      </c>
      <c r="BO29" s="348">
        <v>0</v>
      </c>
      <c r="BP29" s="348">
        <v>0</v>
      </c>
      <c r="BQ29" s="348">
        <v>0</v>
      </c>
      <c r="BR29" s="348">
        <v>0</v>
      </c>
      <c r="BS29" s="348">
        <v>0</v>
      </c>
      <c r="BT29" s="348">
        <v>0</v>
      </c>
      <c r="BU29" s="348">
        <v>0</v>
      </c>
      <c r="BV29" s="348">
        <v>0</v>
      </c>
      <c r="BW29" s="348">
        <v>0</v>
      </c>
      <c r="BX29" s="348">
        <v>0</v>
      </c>
      <c r="BY29" s="348">
        <v>0</v>
      </c>
      <c r="BZ29" s="348">
        <v>0</v>
      </c>
      <c r="CA29" s="348">
        <v>0</v>
      </c>
      <c r="CB29" s="348">
        <v>0</v>
      </c>
      <c r="CC29" s="348">
        <v>0</v>
      </c>
      <c r="CD29" s="348">
        <v>0</v>
      </c>
      <c r="CE29" s="348">
        <v>0</v>
      </c>
      <c r="CF29" s="348">
        <v>0</v>
      </c>
      <c r="CG29" s="348">
        <v>0</v>
      </c>
      <c r="CH29" s="348">
        <v>0</v>
      </c>
      <c r="CI29" s="348">
        <v>0</v>
      </c>
      <c r="CJ29" s="348">
        <v>0</v>
      </c>
      <c r="CK29" s="348">
        <v>0</v>
      </c>
      <c r="CL29" s="348">
        <v>0</v>
      </c>
      <c r="CM29" s="348">
        <v>0</v>
      </c>
      <c r="CN29" s="348">
        <v>0</v>
      </c>
      <c r="CO29" s="348">
        <v>0</v>
      </c>
      <c r="CP29" s="348">
        <v>0</v>
      </c>
      <c r="CQ29" s="348">
        <v>0</v>
      </c>
      <c r="CR29" s="348">
        <v>0</v>
      </c>
      <c r="CS29" s="348">
        <v>0</v>
      </c>
      <c r="CT29" s="348">
        <v>0</v>
      </c>
      <c r="CU29" s="348">
        <v>0</v>
      </c>
      <c r="CV29" s="348">
        <v>0</v>
      </c>
      <c r="CW29" s="348">
        <v>0</v>
      </c>
      <c r="CX29" s="348">
        <v>0</v>
      </c>
      <c r="CY29" s="348">
        <v>0</v>
      </c>
      <c r="CZ29" s="348">
        <v>0</v>
      </c>
      <c r="DA29" s="348">
        <v>0</v>
      </c>
      <c r="DB29" s="348">
        <v>0</v>
      </c>
      <c r="DC29" s="348">
        <v>0</v>
      </c>
      <c r="DD29" s="348">
        <v>0</v>
      </c>
      <c r="DE29" s="348">
        <v>0</v>
      </c>
      <c r="DF29" s="348">
        <v>0</v>
      </c>
      <c r="DG29" s="348">
        <v>0</v>
      </c>
      <c r="DH29" s="348">
        <v>0</v>
      </c>
      <c r="DI29" s="348">
        <v>0</v>
      </c>
      <c r="DJ29" s="348">
        <v>0</v>
      </c>
      <c r="DK29" s="348">
        <v>0</v>
      </c>
      <c r="DL29" s="348">
        <v>0</v>
      </c>
      <c r="DM29" s="348">
        <v>0</v>
      </c>
      <c r="DN29" s="348">
        <v>0</v>
      </c>
      <c r="DO29" s="348">
        <v>0</v>
      </c>
      <c r="DP29" s="348">
        <v>0</v>
      </c>
      <c r="DQ29" s="348">
        <v>0</v>
      </c>
      <c r="DR29" s="348">
        <v>0</v>
      </c>
      <c r="DS29" s="354">
        <v>2022</v>
      </c>
      <c r="DT29" s="354">
        <v>7</v>
      </c>
      <c r="DU29" s="354">
        <v>27</v>
      </c>
      <c r="DV29" s="345" t="s">
        <v>704</v>
      </c>
      <c r="DW29" s="345" t="s">
        <v>674</v>
      </c>
      <c r="DX29" s="345" t="s">
        <v>735</v>
      </c>
    </row>
    <row r="30" spans="1:128">
      <c r="A30" s="355">
        <v>51</v>
      </c>
      <c r="B30" s="348">
        <v>16012000</v>
      </c>
      <c r="C30" s="348">
        <v>0</v>
      </c>
      <c r="D30" s="348">
        <v>0</v>
      </c>
      <c r="E30" s="348">
        <v>0</v>
      </c>
      <c r="F30" s="348">
        <v>0</v>
      </c>
      <c r="G30" s="348">
        <v>0</v>
      </c>
      <c r="H30" s="348">
        <v>0</v>
      </c>
      <c r="I30" s="348">
        <v>0</v>
      </c>
      <c r="J30" s="348">
        <v>0</v>
      </c>
      <c r="K30" s="348">
        <v>0</v>
      </c>
      <c r="L30" s="348">
        <v>0</v>
      </c>
      <c r="M30" s="348">
        <v>0</v>
      </c>
      <c r="N30" s="348">
        <v>0</v>
      </c>
      <c r="O30" s="348">
        <v>0</v>
      </c>
      <c r="P30" s="348">
        <v>0</v>
      </c>
      <c r="Q30" s="348">
        <v>0</v>
      </c>
      <c r="R30" s="348">
        <v>0</v>
      </c>
      <c r="S30" s="348">
        <v>7151809</v>
      </c>
      <c r="T30" s="348">
        <v>0</v>
      </c>
      <c r="U30" s="348">
        <v>7151809</v>
      </c>
      <c r="V30" s="348">
        <v>7151809</v>
      </c>
      <c r="W30" s="348">
        <v>11199600</v>
      </c>
      <c r="X30" s="348">
        <v>7151809</v>
      </c>
      <c r="Y30" s="348">
        <v>7151809</v>
      </c>
      <c r="Z30" s="348">
        <v>7151000</v>
      </c>
      <c r="AA30" s="348">
        <v>0</v>
      </c>
      <c r="AB30" s="348">
        <v>0</v>
      </c>
      <c r="AC30" s="348">
        <v>0</v>
      </c>
      <c r="AD30" s="348">
        <v>0</v>
      </c>
      <c r="AE30" s="348">
        <v>0</v>
      </c>
      <c r="AF30" s="348">
        <v>0</v>
      </c>
      <c r="AG30" s="348">
        <v>0</v>
      </c>
      <c r="AH30" s="348">
        <v>0</v>
      </c>
      <c r="AI30" s="348">
        <v>0</v>
      </c>
      <c r="AJ30" s="348">
        <v>0</v>
      </c>
      <c r="AK30" s="348">
        <v>0</v>
      </c>
      <c r="AL30" s="348">
        <v>0</v>
      </c>
      <c r="AM30" s="348">
        <v>0</v>
      </c>
      <c r="AN30" s="348">
        <v>0</v>
      </c>
      <c r="AO30" s="348">
        <v>0</v>
      </c>
      <c r="AP30" s="348">
        <v>0</v>
      </c>
      <c r="AQ30" s="348">
        <v>0</v>
      </c>
      <c r="AR30" s="348">
        <v>0</v>
      </c>
      <c r="AS30" s="348">
        <v>0</v>
      </c>
      <c r="AT30" s="348">
        <v>0</v>
      </c>
      <c r="AU30" s="348">
        <v>0</v>
      </c>
      <c r="AV30" s="348">
        <v>0</v>
      </c>
      <c r="AW30" s="348">
        <v>0</v>
      </c>
      <c r="AX30" s="348">
        <v>0</v>
      </c>
      <c r="AY30" s="348">
        <v>0</v>
      </c>
      <c r="AZ30" s="348">
        <v>0</v>
      </c>
      <c r="BA30" s="348">
        <v>0</v>
      </c>
      <c r="BB30" s="348">
        <v>0</v>
      </c>
      <c r="BC30" s="348">
        <v>0</v>
      </c>
      <c r="BD30" s="348">
        <v>0</v>
      </c>
      <c r="BE30" s="348">
        <v>0</v>
      </c>
      <c r="BF30" s="348">
        <v>0</v>
      </c>
      <c r="BG30" s="348">
        <v>0</v>
      </c>
      <c r="BH30" s="348">
        <v>0</v>
      </c>
      <c r="BI30" s="348">
        <v>0</v>
      </c>
      <c r="BJ30" s="348">
        <v>0</v>
      </c>
      <c r="BK30" s="348">
        <v>0</v>
      </c>
      <c r="BL30" s="348">
        <v>0</v>
      </c>
      <c r="BM30" s="348">
        <v>0</v>
      </c>
      <c r="BN30" s="348">
        <v>0</v>
      </c>
      <c r="BO30" s="348">
        <v>8861803</v>
      </c>
      <c r="BP30" s="348">
        <v>0</v>
      </c>
      <c r="BQ30" s="348">
        <v>8861803</v>
      </c>
      <c r="BR30" s="348">
        <v>8861803</v>
      </c>
      <c r="BS30" s="348">
        <v>11000000</v>
      </c>
      <c r="BT30" s="348">
        <v>8861803</v>
      </c>
      <c r="BU30" s="348">
        <v>8861803</v>
      </c>
      <c r="BV30" s="348">
        <v>8861000</v>
      </c>
      <c r="BW30" s="348">
        <v>0</v>
      </c>
      <c r="BX30" s="348">
        <v>0</v>
      </c>
      <c r="BY30" s="348">
        <v>0</v>
      </c>
      <c r="BZ30" s="348">
        <v>0</v>
      </c>
      <c r="CA30" s="348">
        <v>0</v>
      </c>
      <c r="CB30" s="348">
        <v>0</v>
      </c>
      <c r="CC30" s="348">
        <v>0</v>
      </c>
      <c r="CD30" s="348">
        <v>0</v>
      </c>
      <c r="CE30" s="348">
        <v>0</v>
      </c>
      <c r="CF30" s="348">
        <v>0</v>
      </c>
      <c r="CG30" s="348">
        <v>0</v>
      </c>
      <c r="CH30" s="348">
        <v>0</v>
      </c>
      <c r="CI30" s="348">
        <v>0</v>
      </c>
      <c r="CJ30" s="348">
        <v>0</v>
      </c>
      <c r="CK30" s="348">
        <v>0</v>
      </c>
      <c r="CL30" s="348">
        <v>0</v>
      </c>
      <c r="CM30" s="348">
        <v>0</v>
      </c>
      <c r="CN30" s="348">
        <v>0</v>
      </c>
      <c r="CO30" s="348">
        <v>0</v>
      </c>
      <c r="CP30" s="348">
        <v>0</v>
      </c>
      <c r="CQ30" s="348">
        <v>0</v>
      </c>
      <c r="CR30" s="348">
        <v>0</v>
      </c>
      <c r="CS30" s="348">
        <v>0</v>
      </c>
      <c r="CT30" s="348">
        <v>0</v>
      </c>
      <c r="CU30" s="348">
        <v>0</v>
      </c>
      <c r="CV30" s="348">
        <v>0</v>
      </c>
      <c r="CW30" s="348">
        <v>0</v>
      </c>
      <c r="CX30" s="348">
        <v>0</v>
      </c>
      <c r="CY30" s="348">
        <v>0</v>
      </c>
      <c r="CZ30" s="348">
        <v>0</v>
      </c>
      <c r="DA30" s="348">
        <v>0</v>
      </c>
      <c r="DB30" s="348">
        <v>0</v>
      </c>
      <c r="DC30" s="348">
        <v>0</v>
      </c>
      <c r="DD30" s="348">
        <v>0</v>
      </c>
      <c r="DE30" s="348">
        <v>0</v>
      </c>
      <c r="DF30" s="348">
        <v>0</v>
      </c>
      <c r="DG30" s="348">
        <v>0</v>
      </c>
      <c r="DH30" s="348">
        <v>0</v>
      </c>
      <c r="DI30" s="348">
        <v>0</v>
      </c>
      <c r="DJ30" s="348">
        <v>0</v>
      </c>
      <c r="DK30" s="348">
        <v>0</v>
      </c>
      <c r="DL30" s="348">
        <v>0</v>
      </c>
      <c r="DM30" s="348">
        <v>0</v>
      </c>
      <c r="DN30" s="348">
        <v>0</v>
      </c>
      <c r="DO30" s="348">
        <v>0</v>
      </c>
      <c r="DP30" s="348">
        <v>0</v>
      </c>
      <c r="DQ30" s="348">
        <v>0</v>
      </c>
      <c r="DR30" s="348">
        <v>0</v>
      </c>
      <c r="DS30" s="354">
        <v>2022</v>
      </c>
      <c r="DT30" s="354">
        <v>7</v>
      </c>
      <c r="DU30" s="354">
        <v>27</v>
      </c>
      <c r="DV30" s="345" t="s">
        <v>675</v>
      </c>
      <c r="DW30" s="345" t="s">
        <v>700</v>
      </c>
      <c r="DX30" s="345" t="s">
        <v>735</v>
      </c>
    </row>
    <row r="31" spans="1:128">
      <c r="A31" s="355">
        <v>52</v>
      </c>
      <c r="B31" s="348">
        <v>11000000</v>
      </c>
      <c r="C31" s="348">
        <v>0</v>
      </c>
      <c r="D31" s="348">
        <v>0</v>
      </c>
      <c r="E31" s="348">
        <v>0</v>
      </c>
      <c r="F31" s="348">
        <v>0</v>
      </c>
      <c r="G31" s="348">
        <v>0</v>
      </c>
      <c r="H31" s="348">
        <v>0</v>
      </c>
      <c r="I31" s="348">
        <v>0</v>
      </c>
      <c r="J31" s="348">
        <v>0</v>
      </c>
      <c r="K31" s="348">
        <v>0</v>
      </c>
      <c r="L31" s="348">
        <v>0</v>
      </c>
      <c r="M31" s="348">
        <v>0</v>
      </c>
      <c r="N31" s="348">
        <v>0</v>
      </c>
      <c r="O31" s="348">
        <v>0</v>
      </c>
      <c r="P31" s="348">
        <v>0</v>
      </c>
      <c r="Q31" s="348">
        <v>0</v>
      </c>
      <c r="R31" s="348">
        <v>0</v>
      </c>
      <c r="S31" s="348">
        <v>0</v>
      </c>
      <c r="T31" s="348">
        <v>0</v>
      </c>
      <c r="U31" s="348">
        <v>0</v>
      </c>
      <c r="V31" s="348">
        <v>0</v>
      </c>
      <c r="W31" s="348">
        <v>0</v>
      </c>
      <c r="X31" s="348">
        <v>0</v>
      </c>
      <c r="Y31" s="348">
        <v>0</v>
      </c>
      <c r="Z31" s="348">
        <v>0</v>
      </c>
      <c r="AA31" s="348">
        <v>0</v>
      </c>
      <c r="AB31" s="348">
        <v>0</v>
      </c>
      <c r="AC31" s="348">
        <v>0</v>
      </c>
      <c r="AD31" s="348">
        <v>0</v>
      </c>
      <c r="AE31" s="348">
        <v>0</v>
      </c>
      <c r="AF31" s="348">
        <v>0</v>
      </c>
      <c r="AG31" s="348">
        <v>0</v>
      </c>
      <c r="AH31" s="348">
        <v>0</v>
      </c>
      <c r="AI31" s="348">
        <v>0</v>
      </c>
      <c r="AJ31" s="348">
        <v>0</v>
      </c>
      <c r="AK31" s="348">
        <v>0</v>
      </c>
      <c r="AL31" s="348">
        <v>0</v>
      </c>
      <c r="AM31" s="348">
        <v>0</v>
      </c>
      <c r="AN31" s="348">
        <v>0</v>
      </c>
      <c r="AO31" s="348">
        <v>0</v>
      </c>
      <c r="AP31" s="348">
        <v>0</v>
      </c>
      <c r="AQ31" s="348">
        <v>0</v>
      </c>
      <c r="AR31" s="348">
        <v>0</v>
      </c>
      <c r="AS31" s="348">
        <v>0</v>
      </c>
      <c r="AT31" s="348">
        <v>0</v>
      </c>
      <c r="AU31" s="348">
        <v>0</v>
      </c>
      <c r="AV31" s="348">
        <v>0</v>
      </c>
      <c r="AW31" s="348">
        <v>0</v>
      </c>
      <c r="AX31" s="348">
        <v>0</v>
      </c>
      <c r="AY31" s="348">
        <v>0</v>
      </c>
      <c r="AZ31" s="348">
        <v>0</v>
      </c>
      <c r="BA31" s="348">
        <v>0</v>
      </c>
      <c r="BB31" s="348">
        <v>0</v>
      </c>
      <c r="BC31" s="348">
        <v>0</v>
      </c>
      <c r="BD31" s="348">
        <v>0</v>
      </c>
      <c r="BE31" s="348">
        <v>0</v>
      </c>
      <c r="BF31" s="348">
        <v>0</v>
      </c>
      <c r="BG31" s="348">
        <v>0</v>
      </c>
      <c r="BH31" s="348">
        <v>0</v>
      </c>
      <c r="BI31" s="348">
        <v>0</v>
      </c>
      <c r="BJ31" s="348">
        <v>0</v>
      </c>
      <c r="BK31" s="348">
        <v>0</v>
      </c>
      <c r="BL31" s="348">
        <v>0</v>
      </c>
      <c r="BM31" s="348">
        <v>0</v>
      </c>
      <c r="BN31" s="348">
        <v>0</v>
      </c>
      <c r="BO31" s="348">
        <v>4400000</v>
      </c>
      <c r="BP31" s="348">
        <v>0</v>
      </c>
      <c r="BQ31" s="348">
        <v>4400000</v>
      </c>
      <c r="BR31" s="348">
        <v>4400000</v>
      </c>
      <c r="BS31" s="348">
        <v>11000000</v>
      </c>
      <c r="BT31" s="348">
        <v>4400000</v>
      </c>
      <c r="BU31" s="348">
        <v>4400000</v>
      </c>
      <c r="BV31" s="348">
        <v>4400000</v>
      </c>
      <c r="BW31" s="348">
        <v>0</v>
      </c>
      <c r="BX31" s="348">
        <v>0</v>
      </c>
      <c r="BY31" s="348">
        <v>0</v>
      </c>
      <c r="BZ31" s="348">
        <v>0</v>
      </c>
      <c r="CA31" s="348">
        <v>0</v>
      </c>
      <c r="CB31" s="348">
        <v>0</v>
      </c>
      <c r="CC31" s="348">
        <v>0</v>
      </c>
      <c r="CD31" s="348">
        <v>0</v>
      </c>
      <c r="CE31" s="348">
        <v>0</v>
      </c>
      <c r="CF31" s="348">
        <v>0</v>
      </c>
      <c r="CG31" s="348">
        <v>0</v>
      </c>
      <c r="CH31" s="348">
        <v>0</v>
      </c>
      <c r="CI31" s="348">
        <v>0</v>
      </c>
      <c r="CJ31" s="348">
        <v>0</v>
      </c>
      <c r="CK31" s="348">
        <v>0</v>
      </c>
      <c r="CL31" s="348">
        <v>0</v>
      </c>
      <c r="CM31" s="348">
        <v>0</v>
      </c>
      <c r="CN31" s="348">
        <v>0</v>
      </c>
      <c r="CO31" s="348">
        <v>0</v>
      </c>
      <c r="CP31" s="348">
        <v>0</v>
      </c>
      <c r="CQ31" s="348">
        <v>0</v>
      </c>
      <c r="CR31" s="348">
        <v>0</v>
      </c>
      <c r="CS31" s="348">
        <v>0</v>
      </c>
      <c r="CT31" s="348">
        <v>0</v>
      </c>
      <c r="CU31" s="348">
        <v>8353840</v>
      </c>
      <c r="CV31" s="348">
        <v>0</v>
      </c>
      <c r="CW31" s="348">
        <v>8353840</v>
      </c>
      <c r="CX31" s="348">
        <v>8353840</v>
      </c>
      <c r="CY31" s="348">
        <v>6600000</v>
      </c>
      <c r="CZ31" s="348">
        <v>6600000</v>
      </c>
      <c r="DA31" s="348">
        <v>6600000</v>
      </c>
      <c r="DB31" s="348">
        <v>6600000</v>
      </c>
      <c r="DC31" s="348">
        <v>0</v>
      </c>
      <c r="DD31" s="348">
        <v>0</v>
      </c>
      <c r="DE31" s="348">
        <v>0</v>
      </c>
      <c r="DF31" s="348">
        <v>0</v>
      </c>
      <c r="DG31" s="348">
        <v>0</v>
      </c>
      <c r="DH31" s="348">
        <v>0</v>
      </c>
      <c r="DI31" s="348">
        <v>0</v>
      </c>
      <c r="DJ31" s="348">
        <v>0</v>
      </c>
      <c r="DK31" s="348">
        <v>0</v>
      </c>
      <c r="DL31" s="348">
        <v>0</v>
      </c>
      <c r="DM31" s="348">
        <v>0</v>
      </c>
      <c r="DN31" s="348">
        <v>0</v>
      </c>
      <c r="DO31" s="348">
        <v>0</v>
      </c>
      <c r="DP31" s="348">
        <v>0</v>
      </c>
      <c r="DQ31" s="348">
        <v>0</v>
      </c>
      <c r="DR31" s="348">
        <v>0</v>
      </c>
      <c r="DS31" s="354">
        <v>2022</v>
      </c>
      <c r="DT31" s="354">
        <v>7</v>
      </c>
      <c r="DU31" s="354">
        <v>27</v>
      </c>
      <c r="DV31" s="345" t="s">
        <v>675</v>
      </c>
      <c r="DW31" s="345" t="s">
        <v>703</v>
      </c>
      <c r="DX31" s="345" t="s">
        <v>736</v>
      </c>
    </row>
    <row r="32" spans="1:128">
      <c r="A32" s="355">
        <v>53</v>
      </c>
      <c r="B32" s="348">
        <v>2656000</v>
      </c>
      <c r="C32" s="348">
        <v>0</v>
      </c>
      <c r="D32" s="348">
        <v>0</v>
      </c>
      <c r="E32" s="348">
        <v>0</v>
      </c>
      <c r="F32" s="348">
        <v>0</v>
      </c>
      <c r="G32" s="348">
        <v>0</v>
      </c>
      <c r="H32" s="348">
        <v>0</v>
      </c>
      <c r="I32" s="348">
        <v>0</v>
      </c>
      <c r="J32" s="348">
        <v>0</v>
      </c>
      <c r="K32" s="348">
        <v>0</v>
      </c>
      <c r="L32" s="348">
        <v>0</v>
      </c>
      <c r="M32" s="348">
        <v>0</v>
      </c>
      <c r="N32" s="348">
        <v>0</v>
      </c>
      <c r="O32" s="348">
        <v>0</v>
      </c>
      <c r="P32" s="348">
        <v>0</v>
      </c>
      <c r="Q32" s="348">
        <v>0</v>
      </c>
      <c r="R32" s="348">
        <v>0</v>
      </c>
      <c r="S32" s="348">
        <v>0</v>
      </c>
      <c r="T32" s="348">
        <v>0</v>
      </c>
      <c r="U32" s="348">
        <v>0</v>
      </c>
      <c r="V32" s="348">
        <v>0</v>
      </c>
      <c r="W32" s="348">
        <v>0</v>
      </c>
      <c r="X32" s="348">
        <v>0</v>
      </c>
      <c r="Y32" s="348">
        <v>0</v>
      </c>
      <c r="Z32" s="348">
        <v>0</v>
      </c>
      <c r="AA32" s="348">
        <v>0</v>
      </c>
      <c r="AB32" s="348">
        <v>0</v>
      </c>
      <c r="AC32" s="348">
        <v>0</v>
      </c>
      <c r="AD32" s="348">
        <v>0</v>
      </c>
      <c r="AE32" s="348">
        <v>0</v>
      </c>
      <c r="AF32" s="348">
        <v>0</v>
      </c>
      <c r="AG32" s="348">
        <v>0</v>
      </c>
      <c r="AH32" s="348">
        <v>0</v>
      </c>
      <c r="AI32" s="348">
        <v>0</v>
      </c>
      <c r="AJ32" s="348">
        <v>0</v>
      </c>
      <c r="AK32" s="348">
        <v>0</v>
      </c>
      <c r="AL32" s="348">
        <v>0</v>
      </c>
      <c r="AM32" s="348">
        <v>0</v>
      </c>
      <c r="AN32" s="348">
        <v>0</v>
      </c>
      <c r="AO32" s="348">
        <v>0</v>
      </c>
      <c r="AP32" s="348">
        <v>0</v>
      </c>
      <c r="AQ32" s="348">
        <v>0</v>
      </c>
      <c r="AR32" s="348">
        <v>0</v>
      </c>
      <c r="AS32" s="348">
        <v>0</v>
      </c>
      <c r="AT32" s="348">
        <v>0</v>
      </c>
      <c r="AU32" s="348">
        <v>0</v>
      </c>
      <c r="AV32" s="348">
        <v>0</v>
      </c>
      <c r="AW32" s="348">
        <v>0</v>
      </c>
      <c r="AX32" s="348">
        <v>0</v>
      </c>
      <c r="AY32" s="348">
        <v>0</v>
      </c>
      <c r="AZ32" s="348">
        <v>0</v>
      </c>
      <c r="BA32" s="348">
        <v>0</v>
      </c>
      <c r="BB32" s="348">
        <v>0</v>
      </c>
      <c r="BC32" s="348">
        <v>0</v>
      </c>
      <c r="BD32" s="348">
        <v>0</v>
      </c>
      <c r="BE32" s="348">
        <v>0</v>
      </c>
      <c r="BF32" s="348">
        <v>0</v>
      </c>
      <c r="BG32" s="348">
        <v>0</v>
      </c>
      <c r="BH32" s="348">
        <v>0</v>
      </c>
      <c r="BI32" s="348">
        <v>0</v>
      </c>
      <c r="BJ32" s="348">
        <v>0</v>
      </c>
      <c r="BK32" s="348">
        <v>0</v>
      </c>
      <c r="BL32" s="348">
        <v>0</v>
      </c>
      <c r="BM32" s="348">
        <v>0</v>
      </c>
      <c r="BN32" s="348">
        <v>0</v>
      </c>
      <c r="BO32" s="348">
        <v>0</v>
      </c>
      <c r="BP32" s="348">
        <v>0</v>
      </c>
      <c r="BQ32" s="348">
        <v>0</v>
      </c>
      <c r="BR32" s="348">
        <v>0</v>
      </c>
      <c r="BS32" s="348">
        <v>0</v>
      </c>
      <c r="BT32" s="348">
        <v>0</v>
      </c>
      <c r="BU32" s="348">
        <v>0</v>
      </c>
      <c r="BV32" s="348">
        <v>0</v>
      </c>
      <c r="BW32" s="348">
        <v>0</v>
      </c>
      <c r="BX32" s="348">
        <v>0</v>
      </c>
      <c r="BY32" s="348">
        <v>0</v>
      </c>
      <c r="BZ32" s="348">
        <v>0</v>
      </c>
      <c r="CA32" s="348">
        <v>0</v>
      </c>
      <c r="CB32" s="348">
        <v>0</v>
      </c>
      <c r="CC32" s="348">
        <v>0</v>
      </c>
      <c r="CD32" s="348">
        <v>0</v>
      </c>
      <c r="CE32" s="348">
        <v>2656655</v>
      </c>
      <c r="CF32" s="348">
        <v>0</v>
      </c>
      <c r="CG32" s="348">
        <v>2656655</v>
      </c>
      <c r="CH32" s="348">
        <v>2656655</v>
      </c>
      <c r="CI32" s="348">
        <v>5500000</v>
      </c>
      <c r="CJ32" s="348">
        <v>2656655</v>
      </c>
      <c r="CK32" s="348">
        <v>2656655</v>
      </c>
      <c r="CL32" s="348">
        <v>2656000</v>
      </c>
      <c r="CM32" s="348">
        <v>0</v>
      </c>
      <c r="CN32" s="348">
        <v>0</v>
      </c>
      <c r="CO32" s="348">
        <v>0</v>
      </c>
      <c r="CP32" s="348">
        <v>0</v>
      </c>
      <c r="CQ32" s="348">
        <v>0</v>
      </c>
      <c r="CR32" s="348">
        <v>0</v>
      </c>
      <c r="CS32" s="348">
        <v>0</v>
      </c>
      <c r="CT32" s="348">
        <v>0</v>
      </c>
      <c r="CU32" s="348">
        <v>0</v>
      </c>
      <c r="CV32" s="348">
        <v>0</v>
      </c>
      <c r="CW32" s="348">
        <v>0</v>
      </c>
      <c r="CX32" s="348">
        <v>0</v>
      </c>
      <c r="CY32" s="348">
        <v>0</v>
      </c>
      <c r="CZ32" s="348">
        <v>0</v>
      </c>
      <c r="DA32" s="348">
        <v>0</v>
      </c>
      <c r="DB32" s="348">
        <v>0</v>
      </c>
      <c r="DC32" s="348">
        <v>0</v>
      </c>
      <c r="DD32" s="348">
        <v>0</v>
      </c>
      <c r="DE32" s="348">
        <v>0</v>
      </c>
      <c r="DF32" s="348">
        <v>0</v>
      </c>
      <c r="DG32" s="348">
        <v>0</v>
      </c>
      <c r="DH32" s="348">
        <v>0</v>
      </c>
      <c r="DI32" s="348">
        <v>0</v>
      </c>
      <c r="DJ32" s="348">
        <v>0</v>
      </c>
      <c r="DK32" s="348">
        <v>0</v>
      </c>
      <c r="DL32" s="348">
        <v>0</v>
      </c>
      <c r="DM32" s="348">
        <v>0</v>
      </c>
      <c r="DN32" s="348">
        <v>0</v>
      </c>
      <c r="DO32" s="348">
        <v>0</v>
      </c>
      <c r="DP32" s="348">
        <v>0</v>
      </c>
      <c r="DQ32" s="348">
        <v>0</v>
      </c>
      <c r="DR32" s="348">
        <v>0</v>
      </c>
      <c r="DS32" s="354">
        <v>2022</v>
      </c>
      <c r="DT32" s="354">
        <v>7</v>
      </c>
      <c r="DU32" s="354">
        <v>27</v>
      </c>
      <c r="DV32" s="345" t="s">
        <v>705</v>
      </c>
      <c r="DW32" s="345" t="s">
        <v>674</v>
      </c>
      <c r="DX32" s="345" t="s">
        <v>735</v>
      </c>
    </row>
    <row r="33" spans="1:128">
      <c r="A33" s="355">
        <v>54</v>
      </c>
      <c r="B33" s="348">
        <v>4887000</v>
      </c>
      <c r="C33" s="348">
        <v>0</v>
      </c>
      <c r="D33" s="348">
        <v>0</v>
      </c>
      <c r="E33" s="348">
        <v>0</v>
      </c>
      <c r="F33" s="348">
        <v>0</v>
      </c>
      <c r="G33" s="348">
        <v>0</v>
      </c>
      <c r="H33" s="348">
        <v>0</v>
      </c>
      <c r="I33" s="348">
        <v>0</v>
      </c>
      <c r="J33" s="348">
        <v>0</v>
      </c>
      <c r="K33" s="348">
        <v>0</v>
      </c>
      <c r="L33" s="348">
        <v>0</v>
      </c>
      <c r="M33" s="348">
        <v>0</v>
      </c>
      <c r="N33" s="348">
        <v>0</v>
      </c>
      <c r="O33" s="348">
        <v>0</v>
      </c>
      <c r="P33" s="348">
        <v>0</v>
      </c>
      <c r="Q33" s="348">
        <v>0</v>
      </c>
      <c r="R33" s="348">
        <v>0</v>
      </c>
      <c r="S33" s="348">
        <v>4887077</v>
      </c>
      <c r="T33" s="348">
        <v>0</v>
      </c>
      <c r="U33" s="348">
        <v>4887077</v>
      </c>
      <c r="V33" s="348">
        <v>4887077</v>
      </c>
      <c r="W33" s="348">
        <v>11199600</v>
      </c>
      <c r="X33" s="348">
        <v>4887077</v>
      </c>
      <c r="Y33" s="348">
        <v>4887077</v>
      </c>
      <c r="Z33" s="348">
        <v>4887000</v>
      </c>
      <c r="AA33" s="348">
        <v>0</v>
      </c>
      <c r="AB33" s="348">
        <v>0</v>
      </c>
      <c r="AC33" s="348">
        <v>0</v>
      </c>
      <c r="AD33" s="348">
        <v>0</v>
      </c>
      <c r="AE33" s="348">
        <v>0</v>
      </c>
      <c r="AF33" s="348">
        <v>0</v>
      </c>
      <c r="AG33" s="348">
        <v>0</v>
      </c>
      <c r="AH33" s="348">
        <v>0</v>
      </c>
      <c r="AI33" s="348">
        <v>0</v>
      </c>
      <c r="AJ33" s="348">
        <v>0</v>
      </c>
      <c r="AK33" s="348">
        <v>0</v>
      </c>
      <c r="AL33" s="348">
        <v>0</v>
      </c>
      <c r="AM33" s="348">
        <v>0</v>
      </c>
      <c r="AN33" s="348">
        <v>0</v>
      </c>
      <c r="AO33" s="348">
        <v>0</v>
      </c>
      <c r="AP33" s="348">
        <v>0</v>
      </c>
      <c r="AQ33" s="348">
        <v>0</v>
      </c>
      <c r="AR33" s="348">
        <v>0</v>
      </c>
      <c r="AS33" s="348">
        <v>0</v>
      </c>
      <c r="AT33" s="348">
        <v>0</v>
      </c>
      <c r="AU33" s="348">
        <v>0</v>
      </c>
      <c r="AV33" s="348">
        <v>0</v>
      </c>
      <c r="AW33" s="348">
        <v>0</v>
      </c>
      <c r="AX33" s="348">
        <v>0</v>
      </c>
      <c r="AY33" s="348">
        <v>0</v>
      </c>
      <c r="AZ33" s="348">
        <v>0</v>
      </c>
      <c r="BA33" s="348">
        <v>0</v>
      </c>
      <c r="BB33" s="348">
        <v>0</v>
      </c>
      <c r="BC33" s="348">
        <v>0</v>
      </c>
      <c r="BD33" s="348">
        <v>0</v>
      </c>
      <c r="BE33" s="348">
        <v>0</v>
      </c>
      <c r="BF33" s="348">
        <v>0</v>
      </c>
      <c r="BG33" s="348">
        <v>0</v>
      </c>
      <c r="BH33" s="348">
        <v>0</v>
      </c>
      <c r="BI33" s="348">
        <v>0</v>
      </c>
      <c r="BJ33" s="348">
        <v>0</v>
      </c>
      <c r="BK33" s="348">
        <v>0</v>
      </c>
      <c r="BL33" s="348">
        <v>0</v>
      </c>
      <c r="BM33" s="348">
        <v>0</v>
      </c>
      <c r="BN33" s="348">
        <v>0</v>
      </c>
      <c r="BO33" s="348">
        <v>0</v>
      </c>
      <c r="BP33" s="348">
        <v>0</v>
      </c>
      <c r="BQ33" s="348">
        <v>0</v>
      </c>
      <c r="BR33" s="348">
        <v>0</v>
      </c>
      <c r="BS33" s="348">
        <v>0</v>
      </c>
      <c r="BT33" s="348">
        <v>0</v>
      </c>
      <c r="BU33" s="348">
        <v>0</v>
      </c>
      <c r="BV33" s="348">
        <v>0</v>
      </c>
      <c r="BW33" s="348">
        <v>0</v>
      </c>
      <c r="BX33" s="348">
        <v>0</v>
      </c>
      <c r="BY33" s="348">
        <v>0</v>
      </c>
      <c r="BZ33" s="348">
        <v>0</v>
      </c>
      <c r="CA33" s="348">
        <v>0</v>
      </c>
      <c r="CB33" s="348">
        <v>0</v>
      </c>
      <c r="CC33" s="348">
        <v>0</v>
      </c>
      <c r="CD33" s="348">
        <v>0</v>
      </c>
      <c r="CE33" s="348">
        <v>0</v>
      </c>
      <c r="CF33" s="348">
        <v>0</v>
      </c>
      <c r="CG33" s="348">
        <v>0</v>
      </c>
      <c r="CH33" s="348">
        <v>0</v>
      </c>
      <c r="CI33" s="348">
        <v>0</v>
      </c>
      <c r="CJ33" s="348">
        <v>0</v>
      </c>
      <c r="CK33" s="348">
        <v>0</v>
      </c>
      <c r="CL33" s="348">
        <v>0</v>
      </c>
      <c r="CM33" s="348">
        <v>0</v>
      </c>
      <c r="CN33" s="348">
        <v>0</v>
      </c>
      <c r="CO33" s="348">
        <v>0</v>
      </c>
      <c r="CP33" s="348">
        <v>0</v>
      </c>
      <c r="CQ33" s="348">
        <v>0</v>
      </c>
      <c r="CR33" s="348">
        <v>0</v>
      </c>
      <c r="CS33" s="348">
        <v>0</v>
      </c>
      <c r="CT33" s="348">
        <v>0</v>
      </c>
      <c r="CU33" s="348">
        <v>0</v>
      </c>
      <c r="CV33" s="348">
        <v>0</v>
      </c>
      <c r="CW33" s="348">
        <v>0</v>
      </c>
      <c r="CX33" s="348">
        <v>0</v>
      </c>
      <c r="CY33" s="348">
        <v>0</v>
      </c>
      <c r="CZ33" s="348">
        <v>0</v>
      </c>
      <c r="DA33" s="348">
        <v>0</v>
      </c>
      <c r="DB33" s="348">
        <v>0</v>
      </c>
      <c r="DC33" s="348">
        <v>0</v>
      </c>
      <c r="DD33" s="348">
        <v>0</v>
      </c>
      <c r="DE33" s="348">
        <v>0</v>
      </c>
      <c r="DF33" s="348">
        <v>0</v>
      </c>
      <c r="DG33" s="348">
        <v>0</v>
      </c>
      <c r="DH33" s="348">
        <v>0</v>
      </c>
      <c r="DI33" s="348">
        <v>0</v>
      </c>
      <c r="DJ33" s="348">
        <v>0</v>
      </c>
      <c r="DK33" s="348">
        <v>0</v>
      </c>
      <c r="DL33" s="348">
        <v>0</v>
      </c>
      <c r="DM33" s="348">
        <v>0</v>
      </c>
      <c r="DN33" s="348">
        <v>0</v>
      </c>
      <c r="DO33" s="348">
        <v>0</v>
      </c>
      <c r="DP33" s="348">
        <v>0</v>
      </c>
      <c r="DQ33" s="348">
        <v>0</v>
      </c>
      <c r="DR33" s="348">
        <v>0</v>
      </c>
      <c r="DS33" s="354">
        <v>2022</v>
      </c>
      <c r="DT33" s="354">
        <v>7</v>
      </c>
      <c r="DU33" s="354">
        <v>27</v>
      </c>
      <c r="DV33" s="345" t="s">
        <v>675</v>
      </c>
      <c r="DW33" s="345" t="s">
        <v>700</v>
      </c>
      <c r="DX33" s="345" t="s">
        <v>735</v>
      </c>
    </row>
    <row r="34" spans="1:128">
      <c r="A34" s="355">
        <v>55</v>
      </c>
      <c r="B34" s="348">
        <v>20255000</v>
      </c>
      <c r="C34" s="348">
        <v>0</v>
      </c>
      <c r="D34" s="348">
        <v>0</v>
      </c>
      <c r="E34" s="348">
        <v>0</v>
      </c>
      <c r="F34" s="348">
        <v>0</v>
      </c>
      <c r="G34" s="348">
        <v>0</v>
      </c>
      <c r="H34" s="348">
        <v>0</v>
      </c>
      <c r="I34" s="348">
        <v>0</v>
      </c>
      <c r="J34" s="348">
        <v>0</v>
      </c>
      <c r="K34" s="348">
        <v>11495104</v>
      </c>
      <c r="L34" s="348">
        <v>0</v>
      </c>
      <c r="M34" s="348">
        <v>11495104</v>
      </c>
      <c r="N34" s="348">
        <v>11495104</v>
      </c>
      <c r="O34" s="348">
        <v>11495104</v>
      </c>
      <c r="P34" s="348">
        <v>11495104</v>
      </c>
      <c r="Q34" s="348">
        <v>11495104</v>
      </c>
      <c r="R34" s="348">
        <v>11495000</v>
      </c>
      <c r="S34" s="348">
        <v>404965</v>
      </c>
      <c r="T34" s="348">
        <v>0</v>
      </c>
      <c r="U34" s="348">
        <v>404965</v>
      </c>
      <c r="V34" s="348">
        <v>404965</v>
      </c>
      <c r="W34" s="348">
        <v>2635200</v>
      </c>
      <c r="X34" s="348">
        <v>404965</v>
      </c>
      <c r="Y34" s="348">
        <v>404965</v>
      </c>
      <c r="Z34" s="348">
        <v>404000</v>
      </c>
      <c r="AA34" s="348">
        <v>0</v>
      </c>
      <c r="AB34" s="348">
        <v>0</v>
      </c>
      <c r="AC34" s="348">
        <v>0</v>
      </c>
      <c r="AD34" s="348">
        <v>0</v>
      </c>
      <c r="AE34" s="348">
        <v>0</v>
      </c>
      <c r="AF34" s="348">
        <v>0</v>
      </c>
      <c r="AG34" s="348">
        <v>0</v>
      </c>
      <c r="AH34" s="348">
        <v>0</v>
      </c>
      <c r="AI34" s="348">
        <v>0</v>
      </c>
      <c r="AJ34" s="348">
        <v>0</v>
      </c>
      <c r="AK34" s="348">
        <v>0</v>
      </c>
      <c r="AL34" s="348">
        <v>0</v>
      </c>
      <c r="AM34" s="348">
        <v>0</v>
      </c>
      <c r="AN34" s="348">
        <v>0</v>
      </c>
      <c r="AO34" s="348">
        <v>0</v>
      </c>
      <c r="AP34" s="348">
        <v>0</v>
      </c>
      <c r="AQ34" s="348">
        <v>0</v>
      </c>
      <c r="AR34" s="348">
        <v>0</v>
      </c>
      <c r="AS34" s="348">
        <v>0</v>
      </c>
      <c r="AT34" s="348">
        <v>0</v>
      </c>
      <c r="AU34" s="348">
        <v>0</v>
      </c>
      <c r="AV34" s="348">
        <v>0</v>
      </c>
      <c r="AW34" s="348">
        <v>0</v>
      </c>
      <c r="AX34" s="348">
        <v>0</v>
      </c>
      <c r="AY34" s="348">
        <v>0</v>
      </c>
      <c r="AZ34" s="348">
        <v>0</v>
      </c>
      <c r="BA34" s="348">
        <v>0</v>
      </c>
      <c r="BB34" s="348">
        <v>0</v>
      </c>
      <c r="BC34" s="348">
        <v>0</v>
      </c>
      <c r="BD34" s="348">
        <v>0</v>
      </c>
      <c r="BE34" s="348">
        <v>0</v>
      </c>
      <c r="BF34" s="348">
        <v>0</v>
      </c>
      <c r="BG34" s="348">
        <v>0</v>
      </c>
      <c r="BH34" s="348">
        <v>0</v>
      </c>
      <c r="BI34" s="348">
        <v>0</v>
      </c>
      <c r="BJ34" s="348">
        <v>0</v>
      </c>
      <c r="BK34" s="348">
        <v>0</v>
      </c>
      <c r="BL34" s="348">
        <v>0</v>
      </c>
      <c r="BM34" s="348">
        <v>0</v>
      </c>
      <c r="BN34" s="348">
        <v>0</v>
      </c>
      <c r="BO34" s="348">
        <v>0</v>
      </c>
      <c r="BP34" s="348">
        <v>0</v>
      </c>
      <c r="BQ34" s="348">
        <v>0</v>
      </c>
      <c r="BR34" s="348">
        <v>0</v>
      </c>
      <c r="BS34" s="348">
        <v>0</v>
      </c>
      <c r="BT34" s="348">
        <v>0</v>
      </c>
      <c r="BU34" s="348">
        <v>0</v>
      </c>
      <c r="BV34" s="348">
        <v>0</v>
      </c>
      <c r="BW34" s="348">
        <v>0</v>
      </c>
      <c r="BX34" s="348">
        <v>0</v>
      </c>
      <c r="BY34" s="348">
        <v>0</v>
      </c>
      <c r="BZ34" s="348">
        <v>0</v>
      </c>
      <c r="CA34" s="348">
        <v>0</v>
      </c>
      <c r="CB34" s="348">
        <v>0</v>
      </c>
      <c r="CC34" s="348">
        <v>0</v>
      </c>
      <c r="CD34" s="348">
        <v>0</v>
      </c>
      <c r="CE34" s="348">
        <v>0</v>
      </c>
      <c r="CF34" s="348">
        <v>0</v>
      </c>
      <c r="CG34" s="348">
        <v>0</v>
      </c>
      <c r="CH34" s="348">
        <v>0</v>
      </c>
      <c r="CI34" s="348">
        <v>0</v>
      </c>
      <c r="CJ34" s="348">
        <v>0</v>
      </c>
      <c r="CK34" s="348">
        <v>0</v>
      </c>
      <c r="CL34" s="348">
        <v>0</v>
      </c>
      <c r="CM34" s="348">
        <v>0</v>
      </c>
      <c r="CN34" s="348">
        <v>0</v>
      </c>
      <c r="CO34" s="348">
        <v>0</v>
      </c>
      <c r="CP34" s="348">
        <v>0</v>
      </c>
      <c r="CQ34" s="348">
        <v>0</v>
      </c>
      <c r="CR34" s="348">
        <v>0</v>
      </c>
      <c r="CS34" s="348">
        <v>0</v>
      </c>
      <c r="CT34" s="348">
        <v>0</v>
      </c>
      <c r="CU34" s="348">
        <v>8690000</v>
      </c>
      <c r="CV34" s="348">
        <v>0</v>
      </c>
      <c r="CW34" s="348">
        <v>8690000</v>
      </c>
      <c r="CX34" s="348">
        <v>8690000</v>
      </c>
      <c r="CY34" s="348">
        <v>8800000</v>
      </c>
      <c r="CZ34" s="348">
        <v>8356168</v>
      </c>
      <c r="DA34" s="348">
        <v>8356168</v>
      </c>
      <c r="DB34" s="348">
        <v>8356000</v>
      </c>
      <c r="DC34" s="348">
        <v>0</v>
      </c>
      <c r="DD34" s="348">
        <v>0</v>
      </c>
      <c r="DE34" s="348">
        <v>0</v>
      </c>
      <c r="DF34" s="348">
        <v>0</v>
      </c>
      <c r="DG34" s="348">
        <v>0</v>
      </c>
      <c r="DH34" s="348">
        <v>0</v>
      </c>
      <c r="DI34" s="348">
        <v>0</v>
      </c>
      <c r="DJ34" s="348">
        <v>0</v>
      </c>
      <c r="DK34" s="348">
        <v>0</v>
      </c>
      <c r="DL34" s="348">
        <v>0</v>
      </c>
      <c r="DM34" s="348">
        <v>0</v>
      </c>
      <c r="DN34" s="348">
        <v>0</v>
      </c>
      <c r="DO34" s="348">
        <v>0</v>
      </c>
      <c r="DP34" s="348">
        <v>0</v>
      </c>
      <c r="DQ34" s="348">
        <v>0</v>
      </c>
      <c r="DR34" s="348">
        <v>0</v>
      </c>
      <c r="DS34" s="354">
        <v>2022</v>
      </c>
      <c r="DT34" s="354">
        <v>7</v>
      </c>
      <c r="DU34" s="354">
        <v>27</v>
      </c>
      <c r="DV34" s="345" t="s">
        <v>677</v>
      </c>
      <c r="DW34" s="345" t="s">
        <v>706</v>
      </c>
      <c r="DX34" s="345" t="s">
        <v>736</v>
      </c>
    </row>
    <row r="35" spans="1:128">
      <c r="A35" s="355">
        <v>58</v>
      </c>
      <c r="B35" s="348">
        <v>30958000</v>
      </c>
      <c r="C35" s="348">
        <v>499431</v>
      </c>
      <c r="D35" s="348">
        <v>0</v>
      </c>
      <c r="E35" s="348">
        <v>499431</v>
      </c>
      <c r="F35" s="348">
        <v>499431</v>
      </c>
      <c r="G35" s="348">
        <v>399000</v>
      </c>
      <c r="H35" s="348">
        <v>399000</v>
      </c>
      <c r="I35" s="348">
        <v>399000</v>
      </c>
      <c r="J35" s="348">
        <v>399000</v>
      </c>
      <c r="K35" s="348">
        <v>4739090</v>
      </c>
      <c r="L35" s="348">
        <v>0</v>
      </c>
      <c r="M35" s="348">
        <v>4739090</v>
      </c>
      <c r="N35" s="348">
        <v>4739090</v>
      </c>
      <c r="O35" s="348">
        <v>4739090</v>
      </c>
      <c r="P35" s="348">
        <v>4739090</v>
      </c>
      <c r="Q35" s="348">
        <v>4739090</v>
      </c>
      <c r="R35" s="348">
        <v>4739000</v>
      </c>
      <c r="S35" s="348">
        <v>385440</v>
      </c>
      <c r="T35" s="348">
        <v>0</v>
      </c>
      <c r="U35" s="348">
        <v>385440</v>
      </c>
      <c r="V35" s="348">
        <v>385440</v>
      </c>
      <c r="W35" s="348">
        <v>2635200</v>
      </c>
      <c r="X35" s="348">
        <v>385440</v>
      </c>
      <c r="Y35" s="348">
        <v>385440</v>
      </c>
      <c r="Z35" s="348">
        <v>385000</v>
      </c>
      <c r="AA35" s="348">
        <v>2830696</v>
      </c>
      <c r="AB35" s="348">
        <v>0</v>
      </c>
      <c r="AC35" s="348">
        <v>2830696</v>
      </c>
      <c r="AD35" s="348">
        <v>2830696</v>
      </c>
      <c r="AE35" s="348">
        <v>8640000</v>
      </c>
      <c r="AF35" s="348">
        <v>2830696</v>
      </c>
      <c r="AG35" s="348">
        <v>2830696</v>
      </c>
      <c r="AH35" s="348">
        <v>2830000</v>
      </c>
      <c r="AI35" s="348">
        <v>0</v>
      </c>
      <c r="AJ35" s="348">
        <v>0</v>
      </c>
      <c r="AK35" s="348">
        <v>0</v>
      </c>
      <c r="AL35" s="348">
        <v>0</v>
      </c>
      <c r="AM35" s="348">
        <v>0</v>
      </c>
      <c r="AN35" s="348">
        <v>0</v>
      </c>
      <c r="AO35" s="348">
        <v>0</v>
      </c>
      <c r="AP35" s="348">
        <v>0</v>
      </c>
      <c r="AQ35" s="348">
        <v>0</v>
      </c>
      <c r="AR35" s="348">
        <v>0</v>
      </c>
      <c r="AS35" s="348">
        <v>0</v>
      </c>
      <c r="AT35" s="348">
        <v>0</v>
      </c>
      <c r="AU35" s="348">
        <v>0</v>
      </c>
      <c r="AV35" s="348">
        <v>0</v>
      </c>
      <c r="AW35" s="348">
        <v>0</v>
      </c>
      <c r="AX35" s="348">
        <v>0</v>
      </c>
      <c r="AY35" s="348">
        <v>606467</v>
      </c>
      <c r="AZ35" s="348">
        <v>0</v>
      </c>
      <c r="BA35" s="348">
        <v>606467</v>
      </c>
      <c r="BB35" s="348">
        <v>606467</v>
      </c>
      <c r="BC35" s="348">
        <v>606467</v>
      </c>
      <c r="BD35" s="348">
        <v>606467</v>
      </c>
      <c r="BE35" s="348">
        <v>606467</v>
      </c>
      <c r="BF35" s="348">
        <v>606000</v>
      </c>
      <c r="BG35" s="348">
        <v>4398900</v>
      </c>
      <c r="BH35" s="348">
        <v>0</v>
      </c>
      <c r="BI35" s="348">
        <v>4398900</v>
      </c>
      <c r="BJ35" s="348">
        <v>4398900</v>
      </c>
      <c r="BK35" s="348">
        <v>8000000</v>
      </c>
      <c r="BL35" s="348">
        <v>4398900</v>
      </c>
      <c r="BM35" s="348">
        <v>4398900</v>
      </c>
      <c r="BN35" s="348">
        <v>2199000</v>
      </c>
      <c r="BO35" s="348">
        <v>11000000</v>
      </c>
      <c r="BP35" s="348">
        <v>0</v>
      </c>
      <c r="BQ35" s="348">
        <v>11000000</v>
      </c>
      <c r="BR35" s="348">
        <v>11000000</v>
      </c>
      <c r="BS35" s="348">
        <v>11000000</v>
      </c>
      <c r="BT35" s="348">
        <v>11000000</v>
      </c>
      <c r="BU35" s="348">
        <v>11000000</v>
      </c>
      <c r="BV35" s="348">
        <v>11000000</v>
      </c>
      <c r="BW35" s="348">
        <v>0</v>
      </c>
      <c r="BX35" s="348">
        <v>0</v>
      </c>
      <c r="BY35" s="348">
        <v>0</v>
      </c>
      <c r="BZ35" s="348">
        <v>0</v>
      </c>
      <c r="CA35" s="348">
        <v>0</v>
      </c>
      <c r="CB35" s="348">
        <v>0</v>
      </c>
      <c r="CC35" s="348">
        <v>0</v>
      </c>
      <c r="CD35" s="348">
        <v>0</v>
      </c>
      <c r="CE35" s="348">
        <v>5500000</v>
      </c>
      <c r="CF35" s="348">
        <v>0</v>
      </c>
      <c r="CG35" s="348">
        <v>5500000</v>
      </c>
      <c r="CH35" s="348">
        <v>5500000</v>
      </c>
      <c r="CI35" s="348">
        <v>5500000</v>
      </c>
      <c r="CJ35" s="348">
        <v>5500000</v>
      </c>
      <c r="CK35" s="348">
        <v>5500000</v>
      </c>
      <c r="CL35" s="348">
        <v>5500000</v>
      </c>
      <c r="CM35" s="348">
        <v>0</v>
      </c>
      <c r="CN35" s="348">
        <v>0</v>
      </c>
      <c r="CO35" s="348">
        <v>0</v>
      </c>
      <c r="CP35" s="348">
        <v>0</v>
      </c>
      <c r="CQ35" s="348">
        <v>0</v>
      </c>
      <c r="CR35" s="348">
        <v>0</v>
      </c>
      <c r="CS35" s="348">
        <v>0</v>
      </c>
      <c r="CT35" s="348">
        <v>0</v>
      </c>
      <c r="CU35" s="348">
        <v>3300000</v>
      </c>
      <c r="CV35" s="348">
        <v>0</v>
      </c>
      <c r="CW35" s="348">
        <v>3300000</v>
      </c>
      <c r="CX35" s="348">
        <v>3300000</v>
      </c>
      <c r="CY35" s="348">
        <v>3300000</v>
      </c>
      <c r="CZ35" s="348">
        <v>3300000</v>
      </c>
      <c r="DA35" s="348">
        <v>3300000</v>
      </c>
      <c r="DB35" s="348">
        <v>3300000</v>
      </c>
      <c r="DC35" s="348">
        <v>0</v>
      </c>
      <c r="DD35" s="348">
        <v>0</v>
      </c>
      <c r="DE35" s="348">
        <v>0</v>
      </c>
      <c r="DF35" s="348">
        <v>0</v>
      </c>
      <c r="DG35" s="348">
        <v>0</v>
      </c>
      <c r="DH35" s="348">
        <v>0</v>
      </c>
      <c r="DI35" s="348">
        <v>0</v>
      </c>
      <c r="DJ35" s="348">
        <v>0</v>
      </c>
      <c r="DK35" s="348">
        <v>0</v>
      </c>
      <c r="DL35" s="348">
        <v>0</v>
      </c>
      <c r="DM35" s="348">
        <v>0</v>
      </c>
      <c r="DN35" s="348">
        <v>0</v>
      </c>
      <c r="DO35" s="348">
        <v>0</v>
      </c>
      <c r="DP35" s="348">
        <v>0</v>
      </c>
      <c r="DQ35" s="348">
        <v>0</v>
      </c>
      <c r="DR35" s="348">
        <v>0</v>
      </c>
      <c r="DS35" s="354">
        <v>2022</v>
      </c>
      <c r="DT35" s="354">
        <v>7</v>
      </c>
      <c r="DU35" s="354">
        <v>27</v>
      </c>
      <c r="DV35" s="345" t="s">
        <v>677</v>
      </c>
      <c r="DW35" s="345" t="s">
        <v>707</v>
      </c>
      <c r="DX35" s="345" t="s">
        <v>735</v>
      </c>
    </row>
    <row r="36" spans="1:128">
      <c r="A36" s="355">
        <v>59</v>
      </c>
      <c r="B36" s="348">
        <v>110000</v>
      </c>
      <c r="C36" s="348">
        <v>0</v>
      </c>
      <c r="D36" s="348">
        <v>0</v>
      </c>
      <c r="E36" s="348">
        <v>0</v>
      </c>
      <c r="F36" s="348">
        <v>0</v>
      </c>
      <c r="G36" s="348">
        <v>0</v>
      </c>
      <c r="H36" s="348">
        <v>0</v>
      </c>
      <c r="I36" s="348">
        <v>0</v>
      </c>
      <c r="J36" s="348">
        <v>0</v>
      </c>
      <c r="K36" s="348">
        <v>0</v>
      </c>
      <c r="L36" s="348">
        <v>0</v>
      </c>
      <c r="M36" s="348">
        <v>0</v>
      </c>
      <c r="N36" s="348">
        <v>0</v>
      </c>
      <c r="O36" s="348">
        <v>0</v>
      </c>
      <c r="P36" s="348">
        <v>0</v>
      </c>
      <c r="Q36" s="348">
        <v>0</v>
      </c>
      <c r="R36" s="348">
        <v>0</v>
      </c>
      <c r="S36" s="348">
        <v>110000</v>
      </c>
      <c r="T36" s="348">
        <v>0</v>
      </c>
      <c r="U36" s="348">
        <v>110000</v>
      </c>
      <c r="V36" s="348">
        <v>110000</v>
      </c>
      <c r="W36" s="348">
        <v>6588000</v>
      </c>
      <c r="X36" s="348">
        <v>110000</v>
      </c>
      <c r="Y36" s="348">
        <v>110000</v>
      </c>
      <c r="Z36" s="348">
        <v>110000</v>
      </c>
      <c r="AA36" s="348">
        <v>0</v>
      </c>
      <c r="AB36" s="348">
        <v>0</v>
      </c>
      <c r="AC36" s="348">
        <v>0</v>
      </c>
      <c r="AD36" s="348">
        <v>0</v>
      </c>
      <c r="AE36" s="348">
        <v>0</v>
      </c>
      <c r="AF36" s="348">
        <v>0</v>
      </c>
      <c r="AG36" s="348">
        <v>0</v>
      </c>
      <c r="AH36" s="348">
        <v>0</v>
      </c>
      <c r="AI36" s="348">
        <v>0</v>
      </c>
      <c r="AJ36" s="348">
        <v>0</v>
      </c>
      <c r="AK36" s="348">
        <v>0</v>
      </c>
      <c r="AL36" s="348">
        <v>0</v>
      </c>
      <c r="AM36" s="348">
        <v>0</v>
      </c>
      <c r="AN36" s="348">
        <v>0</v>
      </c>
      <c r="AO36" s="348">
        <v>0</v>
      </c>
      <c r="AP36" s="348">
        <v>0</v>
      </c>
      <c r="AQ36" s="348">
        <v>0</v>
      </c>
      <c r="AR36" s="348">
        <v>0</v>
      </c>
      <c r="AS36" s="348">
        <v>0</v>
      </c>
      <c r="AT36" s="348">
        <v>0</v>
      </c>
      <c r="AU36" s="348">
        <v>0</v>
      </c>
      <c r="AV36" s="348">
        <v>0</v>
      </c>
      <c r="AW36" s="348">
        <v>0</v>
      </c>
      <c r="AX36" s="348">
        <v>0</v>
      </c>
      <c r="AY36" s="348">
        <v>0</v>
      </c>
      <c r="AZ36" s="348">
        <v>0</v>
      </c>
      <c r="BA36" s="348">
        <v>0</v>
      </c>
      <c r="BB36" s="348">
        <v>0</v>
      </c>
      <c r="BC36" s="348">
        <v>0</v>
      </c>
      <c r="BD36" s="348">
        <v>0</v>
      </c>
      <c r="BE36" s="348">
        <v>0</v>
      </c>
      <c r="BF36" s="348">
        <v>0</v>
      </c>
      <c r="BG36" s="348">
        <v>0</v>
      </c>
      <c r="BH36" s="348">
        <v>0</v>
      </c>
      <c r="BI36" s="348">
        <v>0</v>
      </c>
      <c r="BJ36" s="348">
        <v>0</v>
      </c>
      <c r="BK36" s="348">
        <v>0</v>
      </c>
      <c r="BL36" s="348">
        <v>0</v>
      </c>
      <c r="BM36" s="348">
        <v>0</v>
      </c>
      <c r="BN36" s="348">
        <v>0</v>
      </c>
      <c r="BO36" s="348">
        <v>0</v>
      </c>
      <c r="BP36" s="348">
        <v>0</v>
      </c>
      <c r="BQ36" s="348">
        <v>0</v>
      </c>
      <c r="BR36" s="348">
        <v>0</v>
      </c>
      <c r="BS36" s="348">
        <v>0</v>
      </c>
      <c r="BT36" s="348">
        <v>0</v>
      </c>
      <c r="BU36" s="348">
        <v>0</v>
      </c>
      <c r="BV36" s="348">
        <v>0</v>
      </c>
      <c r="BW36" s="348">
        <v>0</v>
      </c>
      <c r="BX36" s="348">
        <v>0</v>
      </c>
      <c r="BY36" s="348">
        <v>0</v>
      </c>
      <c r="BZ36" s="348">
        <v>0</v>
      </c>
      <c r="CA36" s="348">
        <v>0</v>
      </c>
      <c r="CB36" s="348">
        <v>0</v>
      </c>
      <c r="CC36" s="348">
        <v>0</v>
      </c>
      <c r="CD36" s="348">
        <v>0</v>
      </c>
      <c r="CE36" s="348">
        <v>0</v>
      </c>
      <c r="CF36" s="348">
        <v>0</v>
      </c>
      <c r="CG36" s="348">
        <v>0</v>
      </c>
      <c r="CH36" s="348">
        <v>0</v>
      </c>
      <c r="CI36" s="348">
        <v>0</v>
      </c>
      <c r="CJ36" s="348">
        <v>0</v>
      </c>
      <c r="CK36" s="348">
        <v>0</v>
      </c>
      <c r="CL36" s="348">
        <v>0</v>
      </c>
      <c r="CM36" s="348">
        <v>0</v>
      </c>
      <c r="CN36" s="348">
        <v>0</v>
      </c>
      <c r="CO36" s="348">
        <v>0</v>
      </c>
      <c r="CP36" s="348">
        <v>0</v>
      </c>
      <c r="CQ36" s="348">
        <v>0</v>
      </c>
      <c r="CR36" s="348">
        <v>0</v>
      </c>
      <c r="CS36" s="348">
        <v>0</v>
      </c>
      <c r="CT36" s="348">
        <v>0</v>
      </c>
      <c r="CU36" s="348">
        <v>0</v>
      </c>
      <c r="CV36" s="348">
        <v>0</v>
      </c>
      <c r="CW36" s="348">
        <v>0</v>
      </c>
      <c r="CX36" s="348">
        <v>0</v>
      </c>
      <c r="CY36" s="348">
        <v>0</v>
      </c>
      <c r="CZ36" s="348">
        <v>0</v>
      </c>
      <c r="DA36" s="348">
        <v>0</v>
      </c>
      <c r="DB36" s="348">
        <v>0</v>
      </c>
      <c r="DC36" s="348">
        <v>0</v>
      </c>
      <c r="DD36" s="348">
        <v>0</v>
      </c>
      <c r="DE36" s="348">
        <v>0</v>
      </c>
      <c r="DF36" s="348">
        <v>0</v>
      </c>
      <c r="DG36" s="348">
        <v>0</v>
      </c>
      <c r="DH36" s="348">
        <v>0</v>
      </c>
      <c r="DI36" s="348">
        <v>0</v>
      </c>
      <c r="DJ36" s="348">
        <v>0</v>
      </c>
      <c r="DK36" s="348">
        <v>0</v>
      </c>
      <c r="DL36" s="348">
        <v>0</v>
      </c>
      <c r="DM36" s="348">
        <v>0</v>
      </c>
      <c r="DN36" s="348">
        <v>0</v>
      </c>
      <c r="DO36" s="348">
        <v>0</v>
      </c>
      <c r="DP36" s="348">
        <v>0</v>
      </c>
      <c r="DQ36" s="348">
        <v>0</v>
      </c>
      <c r="DR36" s="348">
        <v>0</v>
      </c>
      <c r="DS36" s="354">
        <v>2022</v>
      </c>
      <c r="DT36" s="354">
        <v>7</v>
      </c>
      <c r="DU36" s="354">
        <v>27</v>
      </c>
      <c r="DV36" s="345" t="s">
        <v>673</v>
      </c>
      <c r="DW36" s="345" t="s">
        <v>708</v>
      </c>
      <c r="DX36" s="345" t="s">
        <v>735</v>
      </c>
    </row>
    <row r="37" spans="1:128">
      <c r="A37" s="355">
        <v>61</v>
      </c>
      <c r="B37" s="348">
        <v>208000</v>
      </c>
      <c r="C37" s="348">
        <v>0</v>
      </c>
      <c r="D37" s="348">
        <v>0</v>
      </c>
      <c r="E37" s="348">
        <v>0</v>
      </c>
      <c r="F37" s="348">
        <v>0</v>
      </c>
      <c r="G37" s="348">
        <v>0</v>
      </c>
      <c r="H37" s="348">
        <v>0</v>
      </c>
      <c r="I37" s="348">
        <v>0</v>
      </c>
      <c r="J37" s="348">
        <v>0</v>
      </c>
      <c r="K37" s="348">
        <v>0</v>
      </c>
      <c r="L37" s="348">
        <v>0</v>
      </c>
      <c r="M37" s="348">
        <v>0</v>
      </c>
      <c r="N37" s="348">
        <v>0</v>
      </c>
      <c r="O37" s="348">
        <v>0</v>
      </c>
      <c r="P37" s="348">
        <v>0</v>
      </c>
      <c r="Q37" s="348">
        <v>0</v>
      </c>
      <c r="R37" s="348">
        <v>0</v>
      </c>
      <c r="S37" s="348">
        <v>208589.1</v>
      </c>
      <c r="T37" s="348">
        <v>0</v>
      </c>
      <c r="U37" s="348">
        <v>208589.1</v>
      </c>
      <c r="V37" s="348">
        <v>208589.1</v>
      </c>
      <c r="W37" s="348">
        <v>13834800</v>
      </c>
      <c r="X37" s="348">
        <v>208589.1</v>
      </c>
      <c r="Y37" s="348">
        <v>208589.1</v>
      </c>
      <c r="Z37" s="348">
        <v>208000</v>
      </c>
      <c r="AA37" s="348">
        <v>0</v>
      </c>
      <c r="AB37" s="348">
        <v>0</v>
      </c>
      <c r="AC37" s="348">
        <v>0</v>
      </c>
      <c r="AD37" s="348">
        <v>0</v>
      </c>
      <c r="AE37" s="348">
        <v>0</v>
      </c>
      <c r="AF37" s="348">
        <v>0</v>
      </c>
      <c r="AG37" s="348">
        <v>0</v>
      </c>
      <c r="AH37" s="348">
        <v>0</v>
      </c>
      <c r="AI37" s="348">
        <v>0</v>
      </c>
      <c r="AJ37" s="348">
        <v>0</v>
      </c>
      <c r="AK37" s="348">
        <v>0</v>
      </c>
      <c r="AL37" s="348">
        <v>0</v>
      </c>
      <c r="AM37" s="348">
        <v>0</v>
      </c>
      <c r="AN37" s="348">
        <v>0</v>
      </c>
      <c r="AO37" s="348">
        <v>0</v>
      </c>
      <c r="AP37" s="348">
        <v>0</v>
      </c>
      <c r="AQ37" s="348">
        <v>0</v>
      </c>
      <c r="AR37" s="348">
        <v>0</v>
      </c>
      <c r="AS37" s="348">
        <v>0</v>
      </c>
      <c r="AT37" s="348">
        <v>0</v>
      </c>
      <c r="AU37" s="348">
        <v>0</v>
      </c>
      <c r="AV37" s="348">
        <v>0</v>
      </c>
      <c r="AW37" s="348">
        <v>0</v>
      </c>
      <c r="AX37" s="348">
        <v>0</v>
      </c>
      <c r="AY37" s="348">
        <v>0</v>
      </c>
      <c r="AZ37" s="348">
        <v>0</v>
      </c>
      <c r="BA37" s="348">
        <v>0</v>
      </c>
      <c r="BB37" s="348">
        <v>0</v>
      </c>
      <c r="BC37" s="348">
        <v>0</v>
      </c>
      <c r="BD37" s="348">
        <v>0</v>
      </c>
      <c r="BE37" s="348">
        <v>0</v>
      </c>
      <c r="BF37" s="348">
        <v>0</v>
      </c>
      <c r="BG37" s="348">
        <v>0</v>
      </c>
      <c r="BH37" s="348">
        <v>0</v>
      </c>
      <c r="BI37" s="348">
        <v>0</v>
      </c>
      <c r="BJ37" s="348">
        <v>0</v>
      </c>
      <c r="BK37" s="348">
        <v>0</v>
      </c>
      <c r="BL37" s="348">
        <v>0</v>
      </c>
      <c r="BM37" s="348">
        <v>0</v>
      </c>
      <c r="BN37" s="348">
        <v>0</v>
      </c>
      <c r="BO37" s="348">
        <v>0</v>
      </c>
      <c r="BP37" s="348">
        <v>0</v>
      </c>
      <c r="BQ37" s="348">
        <v>0</v>
      </c>
      <c r="BR37" s="348">
        <v>0</v>
      </c>
      <c r="BS37" s="348">
        <v>0</v>
      </c>
      <c r="BT37" s="348">
        <v>0</v>
      </c>
      <c r="BU37" s="348">
        <v>0</v>
      </c>
      <c r="BV37" s="348">
        <v>0</v>
      </c>
      <c r="BW37" s="348">
        <v>0</v>
      </c>
      <c r="BX37" s="348">
        <v>0</v>
      </c>
      <c r="BY37" s="348">
        <v>0</v>
      </c>
      <c r="BZ37" s="348">
        <v>0</v>
      </c>
      <c r="CA37" s="348">
        <v>0</v>
      </c>
      <c r="CB37" s="348">
        <v>0</v>
      </c>
      <c r="CC37" s="348">
        <v>0</v>
      </c>
      <c r="CD37" s="348">
        <v>0</v>
      </c>
      <c r="CE37" s="348">
        <v>0</v>
      </c>
      <c r="CF37" s="348">
        <v>0</v>
      </c>
      <c r="CG37" s="348">
        <v>0</v>
      </c>
      <c r="CH37" s="348">
        <v>0</v>
      </c>
      <c r="CI37" s="348">
        <v>0</v>
      </c>
      <c r="CJ37" s="348">
        <v>0</v>
      </c>
      <c r="CK37" s="348">
        <v>0</v>
      </c>
      <c r="CL37" s="348">
        <v>0</v>
      </c>
      <c r="CM37" s="348">
        <v>0</v>
      </c>
      <c r="CN37" s="348">
        <v>0</v>
      </c>
      <c r="CO37" s="348">
        <v>0</v>
      </c>
      <c r="CP37" s="348">
        <v>0</v>
      </c>
      <c r="CQ37" s="348">
        <v>0</v>
      </c>
      <c r="CR37" s="348">
        <v>0</v>
      </c>
      <c r="CS37" s="348">
        <v>0</v>
      </c>
      <c r="CT37" s="348">
        <v>0</v>
      </c>
      <c r="CU37" s="348">
        <v>0</v>
      </c>
      <c r="CV37" s="348">
        <v>0</v>
      </c>
      <c r="CW37" s="348">
        <v>0</v>
      </c>
      <c r="CX37" s="348">
        <v>0</v>
      </c>
      <c r="CY37" s="348">
        <v>0</v>
      </c>
      <c r="CZ37" s="348">
        <v>0</v>
      </c>
      <c r="DA37" s="348">
        <v>0</v>
      </c>
      <c r="DB37" s="348">
        <v>0</v>
      </c>
      <c r="DC37" s="348">
        <v>0</v>
      </c>
      <c r="DD37" s="348">
        <v>0</v>
      </c>
      <c r="DE37" s="348">
        <v>0</v>
      </c>
      <c r="DF37" s="348">
        <v>0</v>
      </c>
      <c r="DG37" s="348">
        <v>0</v>
      </c>
      <c r="DH37" s="348">
        <v>0</v>
      </c>
      <c r="DI37" s="348">
        <v>0</v>
      </c>
      <c r="DJ37" s="348">
        <v>0</v>
      </c>
      <c r="DK37" s="348">
        <v>0</v>
      </c>
      <c r="DL37" s="348">
        <v>0</v>
      </c>
      <c r="DM37" s="348">
        <v>0</v>
      </c>
      <c r="DN37" s="348">
        <v>0</v>
      </c>
      <c r="DO37" s="348">
        <v>0</v>
      </c>
      <c r="DP37" s="348">
        <v>0</v>
      </c>
      <c r="DQ37" s="348">
        <v>0</v>
      </c>
      <c r="DR37" s="348">
        <v>0</v>
      </c>
      <c r="DS37" s="354">
        <v>2022</v>
      </c>
      <c r="DT37" s="354">
        <v>7</v>
      </c>
      <c r="DU37" s="354">
        <v>27</v>
      </c>
      <c r="DV37" s="345" t="s">
        <v>677</v>
      </c>
      <c r="DW37" s="345" t="s">
        <v>674</v>
      </c>
      <c r="DX37" s="345" t="s">
        <v>735</v>
      </c>
    </row>
    <row r="38" spans="1:128">
      <c r="A38" s="355">
        <v>62</v>
      </c>
      <c r="B38" s="348">
        <v>5040000</v>
      </c>
      <c r="C38" s="348">
        <v>0</v>
      </c>
      <c r="D38" s="348">
        <v>0</v>
      </c>
      <c r="E38" s="348">
        <v>0</v>
      </c>
      <c r="F38" s="348">
        <v>0</v>
      </c>
      <c r="G38" s="348">
        <v>0</v>
      </c>
      <c r="H38" s="348">
        <v>0</v>
      </c>
      <c r="I38" s="348">
        <v>0</v>
      </c>
      <c r="J38" s="348">
        <v>0</v>
      </c>
      <c r="K38" s="348">
        <v>0</v>
      </c>
      <c r="L38" s="348">
        <v>0</v>
      </c>
      <c r="M38" s="348">
        <v>0</v>
      </c>
      <c r="N38" s="348">
        <v>0</v>
      </c>
      <c r="O38" s="348">
        <v>0</v>
      </c>
      <c r="P38" s="348">
        <v>0</v>
      </c>
      <c r="Q38" s="348">
        <v>0</v>
      </c>
      <c r="R38" s="348">
        <v>0</v>
      </c>
      <c r="S38" s="348">
        <v>750750</v>
      </c>
      <c r="T38" s="348">
        <v>0</v>
      </c>
      <c r="U38" s="348">
        <v>750750</v>
      </c>
      <c r="V38" s="348">
        <v>750750</v>
      </c>
      <c r="W38" s="348">
        <v>5400000</v>
      </c>
      <c r="X38" s="348">
        <v>750750</v>
      </c>
      <c r="Y38" s="348">
        <v>750750</v>
      </c>
      <c r="Z38" s="348">
        <v>750000</v>
      </c>
      <c r="AA38" s="348">
        <v>4290000</v>
      </c>
      <c r="AB38" s="348">
        <v>0</v>
      </c>
      <c r="AC38" s="348">
        <v>4290000</v>
      </c>
      <c r="AD38" s="348">
        <v>4290000</v>
      </c>
      <c r="AE38" s="348">
        <v>4320000</v>
      </c>
      <c r="AF38" s="348">
        <v>4290000</v>
      </c>
      <c r="AG38" s="348">
        <v>4290000</v>
      </c>
      <c r="AH38" s="348">
        <v>4290000</v>
      </c>
      <c r="AI38" s="348">
        <v>0</v>
      </c>
      <c r="AJ38" s="348">
        <v>0</v>
      </c>
      <c r="AK38" s="348">
        <v>0</v>
      </c>
      <c r="AL38" s="348">
        <v>0</v>
      </c>
      <c r="AM38" s="348">
        <v>0</v>
      </c>
      <c r="AN38" s="348">
        <v>0</v>
      </c>
      <c r="AO38" s="348">
        <v>0</v>
      </c>
      <c r="AP38" s="348">
        <v>0</v>
      </c>
      <c r="AQ38" s="348">
        <v>0</v>
      </c>
      <c r="AR38" s="348">
        <v>0</v>
      </c>
      <c r="AS38" s="348">
        <v>0</v>
      </c>
      <c r="AT38" s="348">
        <v>0</v>
      </c>
      <c r="AU38" s="348">
        <v>0</v>
      </c>
      <c r="AV38" s="348">
        <v>0</v>
      </c>
      <c r="AW38" s="348">
        <v>0</v>
      </c>
      <c r="AX38" s="348">
        <v>0</v>
      </c>
      <c r="AY38" s="348">
        <v>0</v>
      </c>
      <c r="AZ38" s="348">
        <v>0</v>
      </c>
      <c r="BA38" s="348">
        <v>0</v>
      </c>
      <c r="BB38" s="348">
        <v>0</v>
      </c>
      <c r="BC38" s="348">
        <v>0</v>
      </c>
      <c r="BD38" s="348">
        <v>0</v>
      </c>
      <c r="BE38" s="348">
        <v>0</v>
      </c>
      <c r="BF38" s="348">
        <v>0</v>
      </c>
      <c r="BG38" s="348">
        <v>0</v>
      </c>
      <c r="BH38" s="348">
        <v>0</v>
      </c>
      <c r="BI38" s="348">
        <v>0</v>
      </c>
      <c r="BJ38" s="348">
        <v>0</v>
      </c>
      <c r="BK38" s="348">
        <v>0</v>
      </c>
      <c r="BL38" s="348">
        <v>0</v>
      </c>
      <c r="BM38" s="348">
        <v>0</v>
      </c>
      <c r="BN38" s="348">
        <v>0</v>
      </c>
      <c r="BO38" s="348">
        <v>0</v>
      </c>
      <c r="BP38" s="348">
        <v>0</v>
      </c>
      <c r="BQ38" s="348">
        <v>0</v>
      </c>
      <c r="BR38" s="348">
        <v>0</v>
      </c>
      <c r="BS38" s="348">
        <v>0</v>
      </c>
      <c r="BT38" s="348">
        <v>0</v>
      </c>
      <c r="BU38" s="348">
        <v>0</v>
      </c>
      <c r="BV38" s="348">
        <v>0</v>
      </c>
      <c r="BW38" s="348">
        <v>0</v>
      </c>
      <c r="BX38" s="348">
        <v>0</v>
      </c>
      <c r="BY38" s="348">
        <v>0</v>
      </c>
      <c r="BZ38" s="348">
        <v>0</v>
      </c>
      <c r="CA38" s="348">
        <v>0</v>
      </c>
      <c r="CB38" s="348">
        <v>0</v>
      </c>
      <c r="CC38" s="348">
        <v>0</v>
      </c>
      <c r="CD38" s="348">
        <v>0</v>
      </c>
      <c r="CE38" s="348">
        <v>0</v>
      </c>
      <c r="CF38" s="348">
        <v>0</v>
      </c>
      <c r="CG38" s="348">
        <v>0</v>
      </c>
      <c r="CH38" s="348">
        <v>0</v>
      </c>
      <c r="CI38" s="348">
        <v>0</v>
      </c>
      <c r="CJ38" s="348">
        <v>0</v>
      </c>
      <c r="CK38" s="348">
        <v>0</v>
      </c>
      <c r="CL38" s="348">
        <v>0</v>
      </c>
      <c r="CM38" s="348">
        <v>0</v>
      </c>
      <c r="CN38" s="348">
        <v>0</v>
      </c>
      <c r="CO38" s="348">
        <v>0</v>
      </c>
      <c r="CP38" s="348">
        <v>0</v>
      </c>
      <c r="CQ38" s="348">
        <v>0</v>
      </c>
      <c r="CR38" s="348">
        <v>0</v>
      </c>
      <c r="CS38" s="348">
        <v>0</v>
      </c>
      <c r="CT38" s="348">
        <v>0</v>
      </c>
      <c r="CU38" s="348">
        <v>0</v>
      </c>
      <c r="CV38" s="348">
        <v>0</v>
      </c>
      <c r="CW38" s="348">
        <v>0</v>
      </c>
      <c r="CX38" s="348">
        <v>0</v>
      </c>
      <c r="CY38" s="348">
        <v>0</v>
      </c>
      <c r="CZ38" s="348">
        <v>0</v>
      </c>
      <c r="DA38" s="348">
        <v>0</v>
      </c>
      <c r="DB38" s="348">
        <v>0</v>
      </c>
      <c r="DC38" s="348">
        <v>0</v>
      </c>
      <c r="DD38" s="348">
        <v>0</v>
      </c>
      <c r="DE38" s="348">
        <v>0</v>
      </c>
      <c r="DF38" s="348">
        <v>0</v>
      </c>
      <c r="DG38" s="348">
        <v>0</v>
      </c>
      <c r="DH38" s="348">
        <v>0</v>
      </c>
      <c r="DI38" s="348">
        <v>0</v>
      </c>
      <c r="DJ38" s="348">
        <v>0</v>
      </c>
      <c r="DK38" s="348">
        <v>0</v>
      </c>
      <c r="DL38" s="348">
        <v>0</v>
      </c>
      <c r="DM38" s="348">
        <v>0</v>
      </c>
      <c r="DN38" s="348">
        <v>0</v>
      </c>
      <c r="DO38" s="348">
        <v>0</v>
      </c>
      <c r="DP38" s="348">
        <v>0</v>
      </c>
      <c r="DQ38" s="348">
        <v>0</v>
      </c>
      <c r="DR38" s="348">
        <v>0</v>
      </c>
      <c r="DS38" s="354">
        <v>2022</v>
      </c>
      <c r="DT38" s="354">
        <v>7</v>
      </c>
      <c r="DU38" s="354">
        <v>27</v>
      </c>
      <c r="DV38" s="345" t="s">
        <v>675</v>
      </c>
      <c r="DW38" s="345" t="s">
        <v>709</v>
      </c>
      <c r="DX38" s="345" t="s">
        <v>735</v>
      </c>
    </row>
    <row r="39" spans="1:128">
      <c r="A39" s="355">
        <v>63</v>
      </c>
      <c r="B39" s="348">
        <v>975000</v>
      </c>
      <c r="C39" s="348">
        <v>79600</v>
      </c>
      <c r="D39" s="348">
        <v>0</v>
      </c>
      <c r="E39" s="348">
        <v>79600</v>
      </c>
      <c r="F39" s="348">
        <v>79600</v>
      </c>
      <c r="G39" s="348">
        <v>133000</v>
      </c>
      <c r="H39" s="348">
        <v>79600</v>
      </c>
      <c r="I39" s="348">
        <v>79600</v>
      </c>
      <c r="J39" s="348">
        <v>79000</v>
      </c>
      <c r="K39" s="348">
        <v>0</v>
      </c>
      <c r="L39" s="348">
        <v>0</v>
      </c>
      <c r="M39" s="348">
        <v>0</v>
      </c>
      <c r="N39" s="348">
        <v>0</v>
      </c>
      <c r="O39" s="348">
        <v>0</v>
      </c>
      <c r="P39" s="348">
        <v>0</v>
      </c>
      <c r="Q39" s="348">
        <v>0</v>
      </c>
      <c r="R39" s="348">
        <v>0</v>
      </c>
      <c r="S39" s="348">
        <v>0</v>
      </c>
      <c r="T39" s="348">
        <v>0</v>
      </c>
      <c r="U39" s="348">
        <v>0</v>
      </c>
      <c r="V39" s="348">
        <v>0</v>
      </c>
      <c r="W39" s="348">
        <v>0</v>
      </c>
      <c r="X39" s="348">
        <v>0</v>
      </c>
      <c r="Y39" s="348">
        <v>0</v>
      </c>
      <c r="Z39" s="348">
        <v>0</v>
      </c>
      <c r="AA39" s="348">
        <v>896500</v>
      </c>
      <c r="AB39" s="348">
        <v>0</v>
      </c>
      <c r="AC39" s="348">
        <v>896500</v>
      </c>
      <c r="AD39" s="348">
        <v>896500</v>
      </c>
      <c r="AE39" s="348">
        <v>4320000</v>
      </c>
      <c r="AF39" s="348">
        <v>896500</v>
      </c>
      <c r="AG39" s="348">
        <v>896500</v>
      </c>
      <c r="AH39" s="348">
        <v>896000</v>
      </c>
      <c r="AI39" s="348">
        <v>0</v>
      </c>
      <c r="AJ39" s="348">
        <v>0</v>
      </c>
      <c r="AK39" s="348">
        <v>0</v>
      </c>
      <c r="AL39" s="348">
        <v>0</v>
      </c>
      <c r="AM39" s="348">
        <v>0</v>
      </c>
      <c r="AN39" s="348">
        <v>0</v>
      </c>
      <c r="AO39" s="348">
        <v>0</v>
      </c>
      <c r="AP39" s="348">
        <v>0</v>
      </c>
      <c r="AQ39" s="348">
        <v>0</v>
      </c>
      <c r="AR39" s="348">
        <v>0</v>
      </c>
      <c r="AS39" s="348">
        <v>0</v>
      </c>
      <c r="AT39" s="348">
        <v>0</v>
      </c>
      <c r="AU39" s="348">
        <v>0</v>
      </c>
      <c r="AV39" s="348">
        <v>0</v>
      </c>
      <c r="AW39" s="348">
        <v>0</v>
      </c>
      <c r="AX39" s="348">
        <v>0</v>
      </c>
      <c r="AY39" s="348">
        <v>0</v>
      </c>
      <c r="AZ39" s="348">
        <v>0</v>
      </c>
      <c r="BA39" s="348">
        <v>0</v>
      </c>
      <c r="BB39" s="348">
        <v>0</v>
      </c>
      <c r="BC39" s="348">
        <v>0</v>
      </c>
      <c r="BD39" s="348">
        <v>0</v>
      </c>
      <c r="BE39" s="348">
        <v>0</v>
      </c>
      <c r="BF39" s="348">
        <v>0</v>
      </c>
      <c r="BG39" s="348">
        <v>0</v>
      </c>
      <c r="BH39" s="348">
        <v>0</v>
      </c>
      <c r="BI39" s="348">
        <v>0</v>
      </c>
      <c r="BJ39" s="348">
        <v>0</v>
      </c>
      <c r="BK39" s="348">
        <v>0</v>
      </c>
      <c r="BL39" s="348">
        <v>0</v>
      </c>
      <c r="BM39" s="348">
        <v>0</v>
      </c>
      <c r="BN39" s="348">
        <v>0</v>
      </c>
      <c r="BO39" s="348">
        <v>0</v>
      </c>
      <c r="BP39" s="348">
        <v>0</v>
      </c>
      <c r="BQ39" s="348">
        <v>0</v>
      </c>
      <c r="BR39" s="348">
        <v>0</v>
      </c>
      <c r="BS39" s="348">
        <v>0</v>
      </c>
      <c r="BT39" s="348">
        <v>0</v>
      </c>
      <c r="BU39" s="348">
        <v>0</v>
      </c>
      <c r="BV39" s="348">
        <v>0</v>
      </c>
      <c r="BW39" s="348">
        <v>0</v>
      </c>
      <c r="BX39" s="348">
        <v>0</v>
      </c>
      <c r="BY39" s="348">
        <v>0</v>
      </c>
      <c r="BZ39" s="348">
        <v>0</v>
      </c>
      <c r="CA39" s="348">
        <v>0</v>
      </c>
      <c r="CB39" s="348">
        <v>0</v>
      </c>
      <c r="CC39" s="348">
        <v>0</v>
      </c>
      <c r="CD39" s="348">
        <v>0</v>
      </c>
      <c r="CE39" s="348">
        <v>0</v>
      </c>
      <c r="CF39" s="348">
        <v>0</v>
      </c>
      <c r="CG39" s="348">
        <v>0</v>
      </c>
      <c r="CH39" s="348">
        <v>0</v>
      </c>
      <c r="CI39" s="348">
        <v>0</v>
      </c>
      <c r="CJ39" s="348">
        <v>0</v>
      </c>
      <c r="CK39" s="348">
        <v>0</v>
      </c>
      <c r="CL39" s="348">
        <v>0</v>
      </c>
      <c r="CM39" s="348">
        <v>0</v>
      </c>
      <c r="CN39" s="348">
        <v>0</v>
      </c>
      <c r="CO39" s="348">
        <v>0</v>
      </c>
      <c r="CP39" s="348">
        <v>0</v>
      </c>
      <c r="CQ39" s="348">
        <v>0</v>
      </c>
      <c r="CR39" s="348">
        <v>0</v>
      </c>
      <c r="CS39" s="348">
        <v>0</v>
      </c>
      <c r="CT39" s="348">
        <v>0</v>
      </c>
      <c r="CU39" s="348">
        <v>0</v>
      </c>
      <c r="CV39" s="348">
        <v>0</v>
      </c>
      <c r="CW39" s="348">
        <v>0</v>
      </c>
      <c r="CX39" s="348">
        <v>0</v>
      </c>
      <c r="CY39" s="348">
        <v>0</v>
      </c>
      <c r="CZ39" s="348">
        <v>0</v>
      </c>
      <c r="DA39" s="348">
        <v>0</v>
      </c>
      <c r="DB39" s="348">
        <v>0</v>
      </c>
      <c r="DC39" s="348">
        <v>0</v>
      </c>
      <c r="DD39" s="348">
        <v>0</v>
      </c>
      <c r="DE39" s="348">
        <v>0</v>
      </c>
      <c r="DF39" s="348">
        <v>0</v>
      </c>
      <c r="DG39" s="348">
        <v>0</v>
      </c>
      <c r="DH39" s="348">
        <v>0</v>
      </c>
      <c r="DI39" s="348">
        <v>0</v>
      </c>
      <c r="DJ39" s="348">
        <v>0</v>
      </c>
      <c r="DK39" s="348">
        <v>0</v>
      </c>
      <c r="DL39" s="348">
        <v>0</v>
      </c>
      <c r="DM39" s="348">
        <v>0</v>
      </c>
      <c r="DN39" s="348">
        <v>0</v>
      </c>
      <c r="DO39" s="348">
        <v>0</v>
      </c>
      <c r="DP39" s="348">
        <v>0</v>
      </c>
      <c r="DQ39" s="348">
        <v>0</v>
      </c>
      <c r="DR39" s="348">
        <v>0</v>
      </c>
      <c r="DS39" s="354">
        <v>2022</v>
      </c>
      <c r="DT39" s="354">
        <v>7</v>
      </c>
      <c r="DU39" s="354">
        <v>27</v>
      </c>
      <c r="DV39" s="345" t="s">
        <v>675</v>
      </c>
      <c r="DW39" s="345" t="s">
        <v>710</v>
      </c>
      <c r="DX39" s="345" t="s">
        <v>735</v>
      </c>
    </row>
    <row r="40" spans="1:128">
      <c r="A40" s="355">
        <v>64</v>
      </c>
      <c r="B40" s="348">
        <v>4356000</v>
      </c>
      <c r="C40" s="348">
        <v>0</v>
      </c>
      <c r="D40" s="348">
        <v>0</v>
      </c>
      <c r="E40" s="348">
        <v>0</v>
      </c>
      <c r="F40" s="348">
        <v>0</v>
      </c>
      <c r="G40" s="348">
        <v>0</v>
      </c>
      <c r="H40" s="348">
        <v>0</v>
      </c>
      <c r="I40" s="348">
        <v>0</v>
      </c>
      <c r="J40" s="348">
        <v>0</v>
      </c>
      <c r="K40" s="348">
        <v>0</v>
      </c>
      <c r="L40" s="348">
        <v>0</v>
      </c>
      <c r="M40" s="348">
        <v>0</v>
      </c>
      <c r="N40" s="348">
        <v>0</v>
      </c>
      <c r="O40" s="348">
        <v>0</v>
      </c>
      <c r="P40" s="348">
        <v>0</v>
      </c>
      <c r="Q40" s="348">
        <v>0</v>
      </c>
      <c r="R40" s="348">
        <v>0</v>
      </c>
      <c r="S40" s="348">
        <v>0</v>
      </c>
      <c r="T40" s="348">
        <v>0</v>
      </c>
      <c r="U40" s="348">
        <v>0</v>
      </c>
      <c r="V40" s="348">
        <v>0</v>
      </c>
      <c r="W40" s="348">
        <v>0</v>
      </c>
      <c r="X40" s="348">
        <v>0</v>
      </c>
      <c r="Y40" s="348">
        <v>0</v>
      </c>
      <c r="Z40" s="348">
        <v>0</v>
      </c>
      <c r="AA40" s="348">
        <v>0</v>
      </c>
      <c r="AB40" s="348">
        <v>0</v>
      </c>
      <c r="AC40" s="348">
        <v>0</v>
      </c>
      <c r="AD40" s="348">
        <v>0</v>
      </c>
      <c r="AE40" s="348">
        <v>0</v>
      </c>
      <c r="AF40" s="348">
        <v>0</v>
      </c>
      <c r="AG40" s="348">
        <v>0</v>
      </c>
      <c r="AH40" s="348">
        <v>0</v>
      </c>
      <c r="AI40" s="348">
        <v>0</v>
      </c>
      <c r="AJ40" s="348">
        <v>0</v>
      </c>
      <c r="AK40" s="348">
        <v>0</v>
      </c>
      <c r="AL40" s="348">
        <v>0</v>
      </c>
      <c r="AM40" s="348">
        <v>0</v>
      </c>
      <c r="AN40" s="348">
        <v>0</v>
      </c>
      <c r="AO40" s="348">
        <v>0</v>
      </c>
      <c r="AP40" s="348">
        <v>0</v>
      </c>
      <c r="AQ40" s="348">
        <v>0</v>
      </c>
      <c r="AR40" s="348">
        <v>0</v>
      </c>
      <c r="AS40" s="348">
        <v>0</v>
      </c>
      <c r="AT40" s="348">
        <v>0</v>
      </c>
      <c r="AU40" s="348">
        <v>0</v>
      </c>
      <c r="AV40" s="348">
        <v>0</v>
      </c>
      <c r="AW40" s="348">
        <v>0</v>
      </c>
      <c r="AX40" s="348">
        <v>0</v>
      </c>
      <c r="AY40" s="348">
        <v>0</v>
      </c>
      <c r="AZ40" s="348">
        <v>0</v>
      </c>
      <c r="BA40" s="348">
        <v>0</v>
      </c>
      <c r="BB40" s="348">
        <v>0</v>
      </c>
      <c r="BC40" s="348">
        <v>0</v>
      </c>
      <c r="BD40" s="348">
        <v>0</v>
      </c>
      <c r="BE40" s="348">
        <v>0</v>
      </c>
      <c r="BF40" s="348">
        <v>0</v>
      </c>
      <c r="BG40" s="348">
        <v>0</v>
      </c>
      <c r="BH40" s="348">
        <v>0</v>
      </c>
      <c r="BI40" s="348">
        <v>0</v>
      </c>
      <c r="BJ40" s="348">
        <v>0</v>
      </c>
      <c r="BK40" s="348">
        <v>0</v>
      </c>
      <c r="BL40" s="348">
        <v>0</v>
      </c>
      <c r="BM40" s="348">
        <v>0</v>
      </c>
      <c r="BN40" s="348">
        <v>0</v>
      </c>
      <c r="BO40" s="348">
        <v>0</v>
      </c>
      <c r="BP40" s="348">
        <v>0</v>
      </c>
      <c r="BQ40" s="348">
        <v>0</v>
      </c>
      <c r="BR40" s="348">
        <v>0</v>
      </c>
      <c r="BS40" s="348">
        <v>0</v>
      </c>
      <c r="BT40" s="348">
        <v>0</v>
      </c>
      <c r="BU40" s="348">
        <v>0</v>
      </c>
      <c r="BV40" s="348">
        <v>0</v>
      </c>
      <c r="BW40" s="348">
        <v>0</v>
      </c>
      <c r="BX40" s="348">
        <v>0</v>
      </c>
      <c r="BY40" s="348">
        <v>0</v>
      </c>
      <c r="BZ40" s="348">
        <v>0</v>
      </c>
      <c r="CA40" s="348">
        <v>0</v>
      </c>
      <c r="CB40" s="348">
        <v>0</v>
      </c>
      <c r="CC40" s="348">
        <v>0</v>
      </c>
      <c r="CD40" s="348">
        <v>0</v>
      </c>
      <c r="CE40" s="348">
        <v>0</v>
      </c>
      <c r="CF40" s="348">
        <v>0</v>
      </c>
      <c r="CG40" s="348">
        <v>0</v>
      </c>
      <c r="CH40" s="348">
        <v>0</v>
      </c>
      <c r="CI40" s="348">
        <v>0</v>
      </c>
      <c r="CJ40" s="348">
        <v>0</v>
      </c>
      <c r="CK40" s="348">
        <v>0</v>
      </c>
      <c r="CL40" s="348">
        <v>0</v>
      </c>
      <c r="CM40" s="348">
        <v>0</v>
      </c>
      <c r="CN40" s="348">
        <v>0</v>
      </c>
      <c r="CO40" s="348">
        <v>0</v>
      </c>
      <c r="CP40" s="348">
        <v>0</v>
      </c>
      <c r="CQ40" s="348">
        <v>0</v>
      </c>
      <c r="CR40" s="348">
        <v>0</v>
      </c>
      <c r="CS40" s="348">
        <v>0</v>
      </c>
      <c r="CT40" s="348">
        <v>0</v>
      </c>
      <c r="CU40" s="348">
        <v>4356000</v>
      </c>
      <c r="CV40" s="348">
        <v>0</v>
      </c>
      <c r="CW40" s="348">
        <v>4356000</v>
      </c>
      <c r="CX40" s="348">
        <v>4356000</v>
      </c>
      <c r="CY40" s="348">
        <v>4400000</v>
      </c>
      <c r="CZ40" s="348">
        <v>4356000</v>
      </c>
      <c r="DA40" s="348">
        <v>4356000</v>
      </c>
      <c r="DB40" s="348">
        <v>4356000</v>
      </c>
      <c r="DC40" s="348">
        <v>0</v>
      </c>
      <c r="DD40" s="348">
        <v>0</v>
      </c>
      <c r="DE40" s="348">
        <v>0</v>
      </c>
      <c r="DF40" s="348">
        <v>0</v>
      </c>
      <c r="DG40" s="348">
        <v>0</v>
      </c>
      <c r="DH40" s="348">
        <v>0</v>
      </c>
      <c r="DI40" s="348">
        <v>0</v>
      </c>
      <c r="DJ40" s="348">
        <v>0</v>
      </c>
      <c r="DK40" s="348">
        <v>0</v>
      </c>
      <c r="DL40" s="348">
        <v>0</v>
      </c>
      <c r="DM40" s="348">
        <v>0</v>
      </c>
      <c r="DN40" s="348">
        <v>0</v>
      </c>
      <c r="DO40" s="348">
        <v>0</v>
      </c>
      <c r="DP40" s="348">
        <v>0</v>
      </c>
      <c r="DQ40" s="348">
        <v>0</v>
      </c>
      <c r="DR40" s="348">
        <v>0</v>
      </c>
      <c r="DS40" s="354">
        <v>2022</v>
      </c>
      <c r="DT40" s="354">
        <v>7</v>
      </c>
      <c r="DU40" s="354">
        <v>27</v>
      </c>
      <c r="DV40" s="345" t="s">
        <v>711</v>
      </c>
      <c r="DW40" s="345" t="s">
        <v>712</v>
      </c>
      <c r="DX40" s="345" t="s">
        <v>735</v>
      </c>
    </row>
    <row r="41" spans="1:128">
      <c r="A41" s="355">
        <v>65</v>
      </c>
      <c r="B41" s="348">
        <v>21113000</v>
      </c>
      <c r="C41" s="348">
        <v>0</v>
      </c>
      <c r="D41" s="348">
        <v>0</v>
      </c>
      <c r="E41" s="348">
        <v>0</v>
      </c>
      <c r="F41" s="348">
        <v>0</v>
      </c>
      <c r="G41" s="348">
        <v>0</v>
      </c>
      <c r="H41" s="348">
        <v>0</v>
      </c>
      <c r="I41" s="348">
        <v>0</v>
      </c>
      <c r="J41" s="348">
        <v>0</v>
      </c>
      <c r="K41" s="348">
        <v>0</v>
      </c>
      <c r="L41" s="348">
        <v>0</v>
      </c>
      <c r="M41" s="348">
        <v>0</v>
      </c>
      <c r="N41" s="348">
        <v>0</v>
      </c>
      <c r="O41" s="348">
        <v>0</v>
      </c>
      <c r="P41" s="348">
        <v>0</v>
      </c>
      <c r="Q41" s="348">
        <v>0</v>
      </c>
      <c r="R41" s="348">
        <v>0</v>
      </c>
      <c r="S41" s="348">
        <v>4063175</v>
      </c>
      <c r="T41" s="348">
        <v>0</v>
      </c>
      <c r="U41" s="348">
        <v>4063175</v>
      </c>
      <c r="V41" s="348">
        <v>4063175</v>
      </c>
      <c r="W41" s="348">
        <v>46116000</v>
      </c>
      <c r="X41" s="348">
        <v>4063175</v>
      </c>
      <c r="Y41" s="348">
        <v>4063175</v>
      </c>
      <c r="Z41" s="348">
        <v>4063000</v>
      </c>
      <c r="AA41" s="348">
        <v>0</v>
      </c>
      <c r="AB41" s="348">
        <v>0</v>
      </c>
      <c r="AC41" s="348">
        <v>0</v>
      </c>
      <c r="AD41" s="348">
        <v>0</v>
      </c>
      <c r="AE41" s="348">
        <v>0</v>
      </c>
      <c r="AF41" s="348">
        <v>0</v>
      </c>
      <c r="AG41" s="348">
        <v>0</v>
      </c>
      <c r="AH41" s="348">
        <v>0</v>
      </c>
      <c r="AI41" s="348">
        <v>0</v>
      </c>
      <c r="AJ41" s="348">
        <v>0</v>
      </c>
      <c r="AK41" s="348">
        <v>0</v>
      </c>
      <c r="AL41" s="348">
        <v>0</v>
      </c>
      <c r="AM41" s="348">
        <v>0</v>
      </c>
      <c r="AN41" s="348">
        <v>0</v>
      </c>
      <c r="AO41" s="348">
        <v>0</v>
      </c>
      <c r="AP41" s="348">
        <v>0</v>
      </c>
      <c r="AQ41" s="348">
        <v>0</v>
      </c>
      <c r="AR41" s="348">
        <v>0</v>
      </c>
      <c r="AS41" s="348">
        <v>0</v>
      </c>
      <c r="AT41" s="348">
        <v>0</v>
      </c>
      <c r="AU41" s="348">
        <v>0</v>
      </c>
      <c r="AV41" s="348">
        <v>0</v>
      </c>
      <c r="AW41" s="348">
        <v>0</v>
      </c>
      <c r="AX41" s="348">
        <v>0</v>
      </c>
      <c r="AY41" s="348">
        <v>0</v>
      </c>
      <c r="AZ41" s="348">
        <v>0</v>
      </c>
      <c r="BA41" s="348">
        <v>0</v>
      </c>
      <c r="BB41" s="348">
        <v>0</v>
      </c>
      <c r="BC41" s="348">
        <v>0</v>
      </c>
      <c r="BD41" s="348">
        <v>0</v>
      </c>
      <c r="BE41" s="348">
        <v>0</v>
      </c>
      <c r="BF41" s="348">
        <v>0</v>
      </c>
      <c r="BG41" s="348">
        <v>0</v>
      </c>
      <c r="BH41" s="348">
        <v>0</v>
      </c>
      <c r="BI41" s="348">
        <v>0</v>
      </c>
      <c r="BJ41" s="348">
        <v>0</v>
      </c>
      <c r="BK41" s="348">
        <v>0</v>
      </c>
      <c r="BL41" s="348">
        <v>0</v>
      </c>
      <c r="BM41" s="348">
        <v>0</v>
      </c>
      <c r="BN41" s="348">
        <v>0</v>
      </c>
      <c r="BO41" s="348">
        <v>0</v>
      </c>
      <c r="BP41" s="348">
        <v>0</v>
      </c>
      <c r="BQ41" s="348">
        <v>0</v>
      </c>
      <c r="BR41" s="348">
        <v>0</v>
      </c>
      <c r="BS41" s="348">
        <v>0</v>
      </c>
      <c r="BT41" s="348">
        <v>0</v>
      </c>
      <c r="BU41" s="348">
        <v>0</v>
      </c>
      <c r="BV41" s="348">
        <v>0</v>
      </c>
      <c r="BW41" s="348">
        <v>0</v>
      </c>
      <c r="BX41" s="348">
        <v>0</v>
      </c>
      <c r="BY41" s="348">
        <v>0</v>
      </c>
      <c r="BZ41" s="348">
        <v>0</v>
      </c>
      <c r="CA41" s="348">
        <v>0</v>
      </c>
      <c r="CB41" s="348">
        <v>0</v>
      </c>
      <c r="CC41" s="348">
        <v>0</v>
      </c>
      <c r="CD41" s="348">
        <v>0</v>
      </c>
      <c r="CE41" s="348">
        <v>0</v>
      </c>
      <c r="CF41" s="348">
        <v>0</v>
      </c>
      <c r="CG41" s="348">
        <v>0</v>
      </c>
      <c r="CH41" s="348">
        <v>0</v>
      </c>
      <c r="CI41" s="348">
        <v>0</v>
      </c>
      <c r="CJ41" s="348">
        <v>0</v>
      </c>
      <c r="CK41" s="348">
        <v>0</v>
      </c>
      <c r="CL41" s="348">
        <v>0</v>
      </c>
      <c r="CM41" s="348">
        <v>17050000</v>
      </c>
      <c r="CN41" s="348">
        <v>0</v>
      </c>
      <c r="CO41" s="348">
        <v>17050000</v>
      </c>
      <c r="CP41" s="348">
        <v>17050000</v>
      </c>
      <c r="CQ41" s="348">
        <v>66000000</v>
      </c>
      <c r="CR41" s="348">
        <v>17050000</v>
      </c>
      <c r="CS41" s="348">
        <v>17050000</v>
      </c>
      <c r="CT41" s="348">
        <v>17050000</v>
      </c>
      <c r="CU41" s="348">
        <v>0</v>
      </c>
      <c r="CV41" s="348">
        <v>0</v>
      </c>
      <c r="CW41" s="348">
        <v>0</v>
      </c>
      <c r="CX41" s="348">
        <v>0</v>
      </c>
      <c r="CY41" s="348">
        <v>0</v>
      </c>
      <c r="CZ41" s="348">
        <v>0</v>
      </c>
      <c r="DA41" s="348">
        <v>0</v>
      </c>
      <c r="DB41" s="348">
        <v>0</v>
      </c>
      <c r="DC41" s="348">
        <v>0</v>
      </c>
      <c r="DD41" s="348">
        <v>0</v>
      </c>
      <c r="DE41" s="348">
        <v>0</v>
      </c>
      <c r="DF41" s="348">
        <v>0</v>
      </c>
      <c r="DG41" s="348">
        <v>0</v>
      </c>
      <c r="DH41" s="348">
        <v>0</v>
      </c>
      <c r="DI41" s="348">
        <v>0</v>
      </c>
      <c r="DJ41" s="348">
        <v>0</v>
      </c>
      <c r="DK41" s="348">
        <v>0</v>
      </c>
      <c r="DL41" s="348">
        <v>0</v>
      </c>
      <c r="DM41" s="348">
        <v>0</v>
      </c>
      <c r="DN41" s="348">
        <v>0</v>
      </c>
      <c r="DO41" s="348">
        <v>0</v>
      </c>
      <c r="DP41" s="348">
        <v>0</v>
      </c>
      <c r="DQ41" s="348">
        <v>0</v>
      </c>
      <c r="DR41" s="348">
        <v>0</v>
      </c>
      <c r="DS41" s="354">
        <v>2022</v>
      </c>
      <c r="DT41" s="354">
        <v>7</v>
      </c>
      <c r="DU41" s="354">
        <v>27</v>
      </c>
      <c r="DV41" s="345" t="s">
        <v>675</v>
      </c>
      <c r="DW41" s="345" t="s">
        <v>713</v>
      </c>
      <c r="DX41" s="345" t="s">
        <v>735</v>
      </c>
    </row>
    <row r="42" spans="1:128">
      <c r="A42" s="355">
        <v>66</v>
      </c>
      <c r="B42" s="348">
        <v>12027000</v>
      </c>
      <c r="C42" s="348">
        <v>0</v>
      </c>
      <c r="D42" s="348">
        <v>0</v>
      </c>
      <c r="E42" s="348">
        <v>0</v>
      </c>
      <c r="F42" s="348">
        <v>0</v>
      </c>
      <c r="G42" s="348">
        <v>0</v>
      </c>
      <c r="H42" s="348">
        <v>0</v>
      </c>
      <c r="I42" s="348">
        <v>0</v>
      </c>
      <c r="J42" s="348">
        <v>0</v>
      </c>
      <c r="K42" s="348">
        <v>8381450</v>
      </c>
      <c r="L42" s="348">
        <v>0</v>
      </c>
      <c r="M42" s="348">
        <v>8381450</v>
      </c>
      <c r="N42" s="348">
        <v>8381450</v>
      </c>
      <c r="O42" s="348">
        <v>8381450</v>
      </c>
      <c r="P42" s="348">
        <v>8381450</v>
      </c>
      <c r="Q42" s="348">
        <v>8381450</v>
      </c>
      <c r="R42" s="348">
        <v>8381000</v>
      </c>
      <c r="S42" s="348">
        <v>0</v>
      </c>
      <c r="T42" s="348">
        <v>0</v>
      </c>
      <c r="U42" s="348">
        <v>0</v>
      </c>
      <c r="V42" s="348">
        <v>0</v>
      </c>
      <c r="W42" s="348">
        <v>0</v>
      </c>
      <c r="X42" s="348">
        <v>0</v>
      </c>
      <c r="Y42" s="348">
        <v>0</v>
      </c>
      <c r="Z42" s="348">
        <v>0</v>
      </c>
      <c r="AA42" s="348">
        <v>0</v>
      </c>
      <c r="AB42" s="348">
        <v>0</v>
      </c>
      <c r="AC42" s="348">
        <v>0</v>
      </c>
      <c r="AD42" s="348">
        <v>0</v>
      </c>
      <c r="AE42" s="348">
        <v>0</v>
      </c>
      <c r="AF42" s="348">
        <v>0</v>
      </c>
      <c r="AG42" s="348">
        <v>0</v>
      </c>
      <c r="AH42" s="348">
        <v>0</v>
      </c>
      <c r="AI42" s="348">
        <v>0</v>
      </c>
      <c r="AJ42" s="348">
        <v>0</v>
      </c>
      <c r="AK42" s="348">
        <v>0</v>
      </c>
      <c r="AL42" s="348">
        <v>0</v>
      </c>
      <c r="AM42" s="348">
        <v>0</v>
      </c>
      <c r="AN42" s="348">
        <v>0</v>
      </c>
      <c r="AO42" s="348">
        <v>0</v>
      </c>
      <c r="AP42" s="348">
        <v>0</v>
      </c>
      <c r="AQ42" s="348">
        <v>0</v>
      </c>
      <c r="AR42" s="348">
        <v>0</v>
      </c>
      <c r="AS42" s="348">
        <v>0</v>
      </c>
      <c r="AT42" s="348">
        <v>0</v>
      </c>
      <c r="AU42" s="348">
        <v>0</v>
      </c>
      <c r="AV42" s="348">
        <v>0</v>
      </c>
      <c r="AW42" s="348">
        <v>0</v>
      </c>
      <c r="AX42" s="348">
        <v>0</v>
      </c>
      <c r="AY42" s="348">
        <v>0</v>
      </c>
      <c r="AZ42" s="348">
        <v>0</v>
      </c>
      <c r="BA42" s="348">
        <v>0</v>
      </c>
      <c r="BB42" s="348">
        <v>0</v>
      </c>
      <c r="BC42" s="348">
        <v>0</v>
      </c>
      <c r="BD42" s="348">
        <v>0</v>
      </c>
      <c r="BE42" s="348">
        <v>0</v>
      </c>
      <c r="BF42" s="348">
        <v>0</v>
      </c>
      <c r="BG42" s="348">
        <v>0</v>
      </c>
      <c r="BH42" s="348">
        <v>0</v>
      </c>
      <c r="BI42" s="348">
        <v>0</v>
      </c>
      <c r="BJ42" s="348">
        <v>0</v>
      </c>
      <c r="BK42" s="348">
        <v>0</v>
      </c>
      <c r="BL42" s="348">
        <v>0</v>
      </c>
      <c r="BM42" s="348">
        <v>0</v>
      </c>
      <c r="BN42" s="348">
        <v>0</v>
      </c>
      <c r="BO42" s="348">
        <v>0</v>
      </c>
      <c r="BP42" s="348">
        <v>0</v>
      </c>
      <c r="BQ42" s="348">
        <v>0</v>
      </c>
      <c r="BR42" s="348">
        <v>0</v>
      </c>
      <c r="BS42" s="348">
        <v>0</v>
      </c>
      <c r="BT42" s="348">
        <v>0</v>
      </c>
      <c r="BU42" s="348">
        <v>0</v>
      </c>
      <c r="BV42" s="348">
        <v>0</v>
      </c>
      <c r="BW42" s="348">
        <v>0</v>
      </c>
      <c r="BX42" s="348">
        <v>0</v>
      </c>
      <c r="BY42" s="348">
        <v>0</v>
      </c>
      <c r="BZ42" s="348">
        <v>0</v>
      </c>
      <c r="CA42" s="348">
        <v>0</v>
      </c>
      <c r="CB42" s="348">
        <v>0</v>
      </c>
      <c r="CC42" s="348">
        <v>0</v>
      </c>
      <c r="CD42" s="348">
        <v>0</v>
      </c>
      <c r="CE42" s="348">
        <v>0</v>
      </c>
      <c r="CF42" s="348">
        <v>0</v>
      </c>
      <c r="CG42" s="348">
        <v>0</v>
      </c>
      <c r="CH42" s="348">
        <v>0</v>
      </c>
      <c r="CI42" s="348">
        <v>0</v>
      </c>
      <c r="CJ42" s="348">
        <v>0</v>
      </c>
      <c r="CK42" s="348">
        <v>0</v>
      </c>
      <c r="CL42" s="348">
        <v>0</v>
      </c>
      <c r="CM42" s="348">
        <v>0</v>
      </c>
      <c r="CN42" s="348">
        <v>0</v>
      </c>
      <c r="CO42" s="348">
        <v>0</v>
      </c>
      <c r="CP42" s="348">
        <v>0</v>
      </c>
      <c r="CQ42" s="348">
        <v>0</v>
      </c>
      <c r="CR42" s="348">
        <v>0</v>
      </c>
      <c r="CS42" s="348">
        <v>0</v>
      </c>
      <c r="CT42" s="348">
        <v>0</v>
      </c>
      <c r="CU42" s="348">
        <v>0</v>
      </c>
      <c r="CV42" s="348">
        <v>0</v>
      </c>
      <c r="CW42" s="348">
        <v>0</v>
      </c>
      <c r="CX42" s="348">
        <v>0</v>
      </c>
      <c r="CY42" s="348">
        <v>0</v>
      </c>
      <c r="CZ42" s="348">
        <v>0</v>
      </c>
      <c r="DA42" s="348">
        <v>0</v>
      </c>
      <c r="DB42" s="348">
        <v>0</v>
      </c>
      <c r="DC42" s="348">
        <v>3646500</v>
      </c>
      <c r="DD42" s="348">
        <v>0</v>
      </c>
      <c r="DE42" s="348">
        <v>3646500</v>
      </c>
      <c r="DF42" s="348">
        <v>3646500</v>
      </c>
      <c r="DG42" s="348">
        <v>6600000</v>
      </c>
      <c r="DH42" s="348">
        <v>3646500</v>
      </c>
      <c r="DI42" s="348">
        <v>3646500</v>
      </c>
      <c r="DJ42" s="348">
        <v>3646000</v>
      </c>
      <c r="DK42" s="348">
        <v>0</v>
      </c>
      <c r="DL42" s="348">
        <v>0</v>
      </c>
      <c r="DM42" s="348">
        <v>0</v>
      </c>
      <c r="DN42" s="348">
        <v>0</v>
      </c>
      <c r="DO42" s="348">
        <v>0</v>
      </c>
      <c r="DP42" s="348">
        <v>0</v>
      </c>
      <c r="DQ42" s="348">
        <v>0</v>
      </c>
      <c r="DR42" s="348">
        <v>0</v>
      </c>
      <c r="DS42" s="354">
        <v>2022</v>
      </c>
      <c r="DT42" s="354">
        <v>7</v>
      </c>
      <c r="DU42" s="354">
        <v>27</v>
      </c>
      <c r="DV42" s="345" t="s">
        <v>675</v>
      </c>
      <c r="DW42" s="345" t="s">
        <v>714</v>
      </c>
      <c r="DX42" s="345" t="s">
        <v>735</v>
      </c>
    </row>
    <row r="43" spans="1:128">
      <c r="A43" s="355">
        <v>67</v>
      </c>
      <c r="B43" s="348">
        <v>41406000</v>
      </c>
      <c r="C43" s="348">
        <v>0</v>
      </c>
      <c r="D43" s="348">
        <v>0</v>
      </c>
      <c r="E43" s="348">
        <v>0</v>
      </c>
      <c r="F43" s="348">
        <v>0</v>
      </c>
      <c r="G43" s="348">
        <v>0</v>
      </c>
      <c r="H43" s="348">
        <v>0</v>
      </c>
      <c r="I43" s="348">
        <v>0</v>
      </c>
      <c r="J43" s="348">
        <v>0</v>
      </c>
      <c r="K43" s="348">
        <v>12823690</v>
      </c>
      <c r="L43" s="348">
        <v>0</v>
      </c>
      <c r="M43" s="348">
        <v>12823690</v>
      </c>
      <c r="N43" s="348">
        <v>12823690</v>
      </c>
      <c r="O43" s="348">
        <v>12823690</v>
      </c>
      <c r="P43" s="348">
        <v>12823690</v>
      </c>
      <c r="Q43" s="348">
        <v>12823690</v>
      </c>
      <c r="R43" s="348">
        <v>12823000</v>
      </c>
      <c r="S43" s="348">
        <v>15691881</v>
      </c>
      <c r="T43" s="348">
        <v>0</v>
      </c>
      <c r="U43" s="348">
        <v>15691881</v>
      </c>
      <c r="V43" s="348">
        <v>15691881</v>
      </c>
      <c r="W43" s="348">
        <v>21081600</v>
      </c>
      <c r="X43" s="348">
        <v>15691881</v>
      </c>
      <c r="Y43" s="348">
        <v>15691881</v>
      </c>
      <c r="Z43" s="348">
        <v>15691000</v>
      </c>
      <c r="AA43" s="348">
        <v>0</v>
      </c>
      <c r="AB43" s="348">
        <v>0</v>
      </c>
      <c r="AC43" s="348">
        <v>0</v>
      </c>
      <c r="AD43" s="348">
        <v>0</v>
      </c>
      <c r="AE43" s="348">
        <v>0</v>
      </c>
      <c r="AF43" s="348">
        <v>0</v>
      </c>
      <c r="AG43" s="348">
        <v>0</v>
      </c>
      <c r="AH43" s="348">
        <v>0</v>
      </c>
      <c r="AI43" s="348">
        <v>0</v>
      </c>
      <c r="AJ43" s="348">
        <v>0</v>
      </c>
      <c r="AK43" s="348">
        <v>0</v>
      </c>
      <c r="AL43" s="348">
        <v>0</v>
      </c>
      <c r="AM43" s="348">
        <v>0</v>
      </c>
      <c r="AN43" s="348">
        <v>0</v>
      </c>
      <c r="AO43" s="348">
        <v>0</v>
      </c>
      <c r="AP43" s="348">
        <v>0</v>
      </c>
      <c r="AQ43" s="348">
        <v>0</v>
      </c>
      <c r="AR43" s="348">
        <v>0</v>
      </c>
      <c r="AS43" s="348">
        <v>0</v>
      </c>
      <c r="AT43" s="348">
        <v>0</v>
      </c>
      <c r="AU43" s="348">
        <v>0</v>
      </c>
      <c r="AV43" s="348">
        <v>0</v>
      </c>
      <c r="AW43" s="348">
        <v>0</v>
      </c>
      <c r="AX43" s="348">
        <v>0</v>
      </c>
      <c r="AY43" s="348">
        <v>0</v>
      </c>
      <c r="AZ43" s="348">
        <v>0</v>
      </c>
      <c r="BA43" s="348">
        <v>0</v>
      </c>
      <c r="BB43" s="348">
        <v>0</v>
      </c>
      <c r="BC43" s="348">
        <v>0</v>
      </c>
      <c r="BD43" s="348">
        <v>0</v>
      </c>
      <c r="BE43" s="348">
        <v>0</v>
      </c>
      <c r="BF43" s="348">
        <v>0</v>
      </c>
      <c r="BG43" s="348">
        <v>0</v>
      </c>
      <c r="BH43" s="348">
        <v>0</v>
      </c>
      <c r="BI43" s="348">
        <v>0</v>
      </c>
      <c r="BJ43" s="348">
        <v>0</v>
      </c>
      <c r="BK43" s="348">
        <v>0</v>
      </c>
      <c r="BL43" s="348">
        <v>0</v>
      </c>
      <c r="BM43" s="348">
        <v>0</v>
      </c>
      <c r="BN43" s="348">
        <v>0</v>
      </c>
      <c r="BO43" s="348">
        <v>10252000</v>
      </c>
      <c r="BP43" s="348">
        <v>0</v>
      </c>
      <c r="BQ43" s="348">
        <v>10252000</v>
      </c>
      <c r="BR43" s="348">
        <v>10252000</v>
      </c>
      <c r="BS43" s="348">
        <v>11000000</v>
      </c>
      <c r="BT43" s="348">
        <v>10252000</v>
      </c>
      <c r="BU43" s="348">
        <v>10252000</v>
      </c>
      <c r="BV43" s="348">
        <v>10252000</v>
      </c>
      <c r="BW43" s="348">
        <v>0</v>
      </c>
      <c r="BX43" s="348">
        <v>0</v>
      </c>
      <c r="BY43" s="348">
        <v>0</v>
      </c>
      <c r="BZ43" s="348">
        <v>0</v>
      </c>
      <c r="CA43" s="348">
        <v>0</v>
      </c>
      <c r="CB43" s="348">
        <v>0</v>
      </c>
      <c r="CC43" s="348">
        <v>0</v>
      </c>
      <c r="CD43" s="348">
        <v>0</v>
      </c>
      <c r="CE43" s="348">
        <v>2640000</v>
      </c>
      <c r="CF43" s="348">
        <v>0</v>
      </c>
      <c r="CG43" s="348">
        <v>2640000</v>
      </c>
      <c r="CH43" s="348">
        <v>2640000</v>
      </c>
      <c r="CI43" s="348">
        <v>11000000</v>
      </c>
      <c r="CJ43" s="348">
        <v>2640000</v>
      </c>
      <c r="CK43" s="348">
        <v>2640000</v>
      </c>
      <c r="CL43" s="348">
        <v>2640000</v>
      </c>
      <c r="CM43" s="348">
        <v>0</v>
      </c>
      <c r="CN43" s="348">
        <v>0</v>
      </c>
      <c r="CO43" s="348">
        <v>0</v>
      </c>
      <c r="CP43" s="348">
        <v>0</v>
      </c>
      <c r="CQ43" s="348">
        <v>0</v>
      </c>
      <c r="CR43" s="348">
        <v>0</v>
      </c>
      <c r="CS43" s="348">
        <v>0</v>
      </c>
      <c r="CT43" s="348">
        <v>0</v>
      </c>
      <c r="CU43" s="348">
        <v>0</v>
      </c>
      <c r="CV43" s="348">
        <v>0</v>
      </c>
      <c r="CW43" s="348">
        <v>0</v>
      </c>
      <c r="CX43" s="348">
        <v>0</v>
      </c>
      <c r="CY43" s="348">
        <v>0</v>
      </c>
      <c r="CZ43" s="348">
        <v>0</v>
      </c>
      <c r="DA43" s="348">
        <v>0</v>
      </c>
      <c r="DB43" s="348">
        <v>0</v>
      </c>
      <c r="DC43" s="348">
        <v>0</v>
      </c>
      <c r="DD43" s="348">
        <v>0</v>
      </c>
      <c r="DE43" s="348">
        <v>0</v>
      </c>
      <c r="DF43" s="348">
        <v>0</v>
      </c>
      <c r="DG43" s="348">
        <v>0</v>
      </c>
      <c r="DH43" s="348">
        <v>0</v>
      </c>
      <c r="DI43" s="348">
        <v>0</v>
      </c>
      <c r="DJ43" s="348">
        <v>0</v>
      </c>
      <c r="DK43" s="348">
        <v>0</v>
      </c>
      <c r="DL43" s="348">
        <v>0</v>
      </c>
      <c r="DM43" s="348">
        <v>0</v>
      </c>
      <c r="DN43" s="348">
        <v>0</v>
      </c>
      <c r="DO43" s="348">
        <v>0</v>
      </c>
      <c r="DP43" s="348">
        <v>0</v>
      </c>
      <c r="DQ43" s="348">
        <v>0</v>
      </c>
      <c r="DR43" s="348">
        <v>0</v>
      </c>
      <c r="DS43" s="354">
        <v>2022</v>
      </c>
      <c r="DT43" s="354">
        <v>7</v>
      </c>
      <c r="DU43" s="354">
        <v>27</v>
      </c>
      <c r="DV43" s="345" t="s">
        <v>675</v>
      </c>
      <c r="DW43" s="345" t="s">
        <v>703</v>
      </c>
      <c r="DX43" s="345" t="s">
        <v>736</v>
      </c>
    </row>
    <row r="44" spans="1:128">
      <c r="A44" s="355">
        <v>68</v>
      </c>
      <c r="B44" s="348">
        <v>45152000</v>
      </c>
      <c r="C44" s="348">
        <v>0</v>
      </c>
      <c r="D44" s="348">
        <v>0</v>
      </c>
      <c r="E44" s="348">
        <v>0</v>
      </c>
      <c r="F44" s="348">
        <v>0</v>
      </c>
      <c r="G44" s="348">
        <v>0</v>
      </c>
      <c r="H44" s="348">
        <v>0</v>
      </c>
      <c r="I44" s="348">
        <v>0</v>
      </c>
      <c r="J44" s="348">
        <v>0</v>
      </c>
      <c r="K44" s="348">
        <v>0</v>
      </c>
      <c r="L44" s="348">
        <v>0</v>
      </c>
      <c r="M44" s="348">
        <v>0</v>
      </c>
      <c r="N44" s="348">
        <v>0</v>
      </c>
      <c r="O44" s="348">
        <v>0</v>
      </c>
      <c r="P44" s="348">
        <v>0</v>
      </c>
      <c r="Q44" s="348">
        <v>0</v>
      </c>
      <c r="R44" s="348">
        <v>0</v>
      </c>
      <c r="S44" s="348">
        <v>16994793</v>
      </c>
      <c r="T44" s="348">
        <v>0</v>
      </c>
      <c r="U44" s="348">
        <v>16994793</v>
      </c>
      <c r="V44" s="348">
        <v>16994793</v>
      </c>
      <c r="W44" s="348">
        <v>36234000</v>
      </c>
      <c r="X44" s="348">
        <v>16994793</v>
      </c>
      <c r="Y44" s="348">
        <v>16994793</v>
      </c>
      <c r="Z44" s="348">
        <v>16994000</v>
      </c>
      <c r="AA44" s="348">
        <v>1595000</v>
      </c>
      <c r="AB44" s="348">
        <v>0</v>
      </c>
      <c r="AC44" s="348">
        <v>1595000</v>
      </c>
      <c r="AD44" s="348">
        <v>1595000</v>
      </c>
      <c r="AE44" s="348">
        <v>8640000</v>
      </c>
      <c r="AF44" s="348">
        <v>1595000</v>
      </c>
      <c r="AG44" s="348">
        <v>1595000</v>
      </c>
      <c r="AH44" s="348">
        <v>1595000</v>
      </c>
      <c r="AI44" s="348">
        <v>0</v>
      </c>
      <c r="AJ44" s="348">
        <v>0</v>
      </c>
      <c r="AK44" s="348">
        <v>0</v>
      </c>
      <c r="AL44" s="348">
        <v>0</v>
      </c>
      <c r="AM44" s="348">
        <v>0</v>
      </c>
      <c r="AN44" s="348">
        <v>0</v>
      </c>
      <c r="AO44" s="348">
        <v>0</v>
      </c>
      <c r="AP44" s="348">
        <v>0</v>
      </c>
      <c r="AQ44" s="348">
        <v>0</v>
      </c>
      <c r="AR44" s="348">
        <v>0</v>
      </c>
      <c r="AS44" s="348">
        <v>0</v>
      </c>
      <c r="AT44" s="348">
        <v>0</v>
      </c>
      <c r="AU44" s="348">
        <v>0</v>
      </c>
      <c r="AV44" s="348">
        <v>0</v>
      </c>
      <c r="AW44" s="348">
        <v>0</v>
      </c>
      <c r="AX44" s="348">
        <v>0</v>
      </c>
      <c r="AY44" s="348">
        <v>0</v>
      </c>
      <c r="AZ44" s="348">
        <v>0</v>
      </c>
      <c r="BA44" s="348">
        <v>0</v>
      </c>
      <c r="BB44" s="348">
        <v>0</v>
      </c>
      <c r="BC44" s="348">
        <v>0</v>
      </c>
      <c r="BD44" s="348">
        <v>0</v>
      </c>
      <c r="BE44" s="348">
        <v>0</v>
      </c>
      <c r="BF44" s="348">
        <v>0</v>
      </c>
      <c r="BG44" s="348">
        <v>0</v>
      </c>
      <c r="BH44" s="348">
        <v>0</v>
      </c>
      <c r="BI44" s="348">
        <v>0</v>
      </c>
      <c r="BJ44" s="348">
        <v>0</v>
      </c>
      <c r="BK44" s="348">
        <v>0</v>
      </c>
      <c r="BL44" s="348">
        <v>0</v>
      </c>
      <c r="BM44" s="348">
        <v>0</v>
      </c>
      <c r="BN44" s="348">
        <v>0</v>
      </c>
      <c r="BO44" s="348">
        <v>0</v>
      </c>
      <c r="BP44" s="348">
        <v>0</v>
      </c>
      <c r="BQ44" s="348">
        <v>0</v>
      </c>
      <c r="BR44" s="348">
        <v>0</v>
      </c>
      <c r="BS44" s="348">
        <v>0</v>
      </c>
      <c r="BT44" s="348">
        <v>0</v>
      </c>
      <c r="BU44" s="348">
        <v>0</v>
      </c>
      <c r="BV44" s="348">
        <v>0</v>
      </c>
      <c r="BW44" s="348">
        <v>0</v>
      </c>
      <c r="BX44" s="348">
        <v>0</v>
      </c>
      <c r="BY44" s="348">
        <v>0</v>
      </c>
      <c r="BZ44" s="348">
        <v>0</v>
      </c>
      <c r="CA44" s="348">
        <v>0</v>
      </c>
      <c r="CB44" s="348">
        <v>0</v>
      </c>
      <c r="CC44" s="348">
        <v>0</v>
      </c>
      <c r="CD44" s="348">
        <v>0</v>
      </c>
      <c r="CE44" s="348">
        <v>0</v>
      </c>
      <c r="CF44" s="348">
        <v>0</v>
      </c>
      <c r="CG44" s="348">
        <v>0</v>
      </c>
      <c r="CH44" s="348">
        <v>0</v>
      </c>
      <c r="CI44" s="348">
        <v>0</v>
      </c>
      <c r="CJ44" s="348">
        <v>0</v>
      </c>
      <c r="CK44" s="348">
        <v>0</v>
      </c>
      <c r="CL44" s="348">
        <v>0</v>
      </c>
      <c r="CM44" s="348">
        <v>21945000</v>
      </c>
      <c r="CN44" s="348">
        <v>0</v>
      </c>
      <c r="CO44" s="348">
        <v>21945000</v>
      </c>
      <c r="CP44" s="348">
        <v>21945000</v>
      </c>
      <c r="CQ44" s="348">
        <v>66000000</v>
      </c>
      <c r="CR44" s="348">
        <v>21945000</v>
      </c>
      <c r="CS44" s="348">
        <v>21945000</v>
      </c>
      <c r="CT44" s="348">
        <v>21945000</v>
      </c>
      <c r="CU44" s="348">
        <v>4618900</v>
      </c>
      <c r="CV44" s="348">
        <v>0</v>
      </c>
      <c r="CW44" s="348">
        <v>4618900</v>
      </c>
      <c r="CX44" s="348">
        <v>4618900</v>
      </c>
      <c r="CY44" s="348">
        <v>13200000</v>
      </c>
      <c r="CZ44" s="348">
        <v>4618900</v>
      </c>
      <c r="DA44" s="348">
        <v>4618900</v>
      </c>
      <c r="DB44" s="348">
        <v>4618000</v>
      </c>
      <c r="DC44" s="348">
        <v>0</v>
      </c>
      <c r="DD44" s="348">
        <v>0</v>
      </c>
      <c r="DE44" s="348">
        <v>0</v>
      </c>
      <c r="DF44" s="348">
        <v>0</v>
      </c>
      <c r="DG44" s="348">
        <v>0</v>
      </c>
      <c r="DH44" s="348">
        <v>0</v>
      </c>
      <c r="DI44" s="348">
        <v>0</v>
      </c>
      <c r="DJ44" s="348">
        <v>0</v>
      </c>
      <c r="DK44" s="348">
        <v>0</v>
      </c>
      <c r="DL44" s="348">
        <v>0</v>
      </c>
      <c r="DM44" s="348">
        <v>0</v>
      </c>
      <c r="DN44" s="348">
        <v>0</v>
      </c>
      <c r="DO44" s="348">
        <v>0</v>
      </c>
      <c r="DP44" s="348">
        <v>0</v>
      </c>
      <c r="DQ44" s="348">
        <v>0</v>
      </c>
      <c r="DR44" s="348">
        <v>0</v>
      </c>
      <c r="DS44" s="354">
        <v>2022</v>
      </c>
      <c r="DT44" s="354">
        <v>7</v>
      </c>
      <c r="DU44" s="354">
        <v>27</v>
      </c>
      <c r="DV44" s="345" t="s">
        <v>677</v>
      </c>
      <c r="DW44" s="345" t="s">
        <v>691</v>
      </c>
      <c r="DX44" s="345" t="s">
        <v>735</v>
      </c>
    </row>
    <row r="45" spans="1:128">
      <c r="A45" s="355">
        <v>69</v>
      </c>
      <c r="B45" s="348">
        <v>13132000</v>
      </c>
      <c r="C45" s="348">
        <v>0</v>
      </c>
      <c r="D45" s="348">
        <v>0</v>
      </c>
      <c r="E45" s="348">
        <v>0</v>
      </c>
      <c r="F45" s="348">
        <v>0</v>
      </c>
      <c r="G45" s="348">
        <v>0</v>
      </c>
      <c r="H45" s="348">
        <v>0</v>
      </c>
      <c r="I45" s="348">
        <v>0</v>
      </c>
      <c r="J45" s="348">
        <v>0</v>
      </c>
      <c r="K45" s="348">
        <v>2030000</v>
      </c>
      <c r="L45" s="348">
        <v>0</v>
      </c>
      <c r="M45" s="348">
        <v>2030000</v>
      </c>
      <c r="N45" s="348">
        <v>2030000</v>
      </c>
      <c r="O45" s="348">
        <v>2030000</v>
      </c>
      <c r="P45" s="348">
        <v>2030000</v>
      </c>
      <c r="Q45" s="348">
        <v>2030000</v>
      </c>
      <c r="R45" s="348">
        <v>2030000</v>
      </c>
      <c r="S45" s="348">
        <v>7090413</v>
      </c>
      <c r="T45" s="348">
        <v>0</v>
      </c>
      <c r="U45" s="348">
        <v>7090413</v>
      </c>
      <c r="V45" s="348">
        <v>7090413</v>
      </c>
      <c r="W45" s="348">
        <v>39528000</v>
      </c>
      <c r="X45" s="348">
        <v>7090413</v>
      </c>
      <c r="Y45" s="348">
        <v>7090413</v>
      </c>
      <c r="Z45" s="348">
        <v>7090000</v>
      </c>
      <c r="AA45" s="348">
        <v>0</v>
      </c>
      <c r="AB45" s="348">
        <v>0</v>
      </c>
      <c r="AC45" s="348">
        <v>0</v>
      </c>
      <c r="AD45" s="348">
        <v>0</v>
      </c>
      <c r="AE45" s="348">
        <v>0</v>
      </c>
      <c r="AF45" s="348">
        <v>0</v>
      </c>
      <c r="AG45" s="348">
        <v>0</v>
      </c>
      <c r="AH45" s="348">
        <v>0</v>
      </c>
      <c r="AI45" s="348">
        <v>0</v>
      </c>
      <c r="AJ45" s="348">
        <v>0</v>
      </c>
      <c r="AK45" s="348">
        <v>0</v>
      </c>
      <c r="AL45" s="348">
        <v>0</v>
      </c>
      <c r="AM45" s="348">
        <v>0</v>
      </c>
      <c r="AN45" s="348">
        <v>0</v>
      </c>
      <c r="AO45" s="348">
        <v>0</v>
      </c>
      <c r="AP45" s="348">
        <v>0</v>
      </c>
      <c r="AQ45" s="348">
        <v>0</v>
      </c>
      <c r="AR45" s="348">
        <v>0</v>
      </c>
      <c r="AS45" s="348">
        <v>0</v>
      </c>
      <c r="AT45" s="348">
        <v>0</v>
      </c>
      <c r="AU45" s="348">
        <v>0</v>
      </c>
      <c r="AV45" s="348">
        <v>0</v>
      </c>
      <c r="AW45" s="348">
        <v>0</v>
      </c>
      <c r="AX45" s="348">
        <v>0</v>
      </c>
      <c r="AY45" s="348">
        <v>0</v>
      </c>
      <c r="AZ45" s="348">
        <v>0</v>
      </c>
      <c r="BA45" s="348">
        <v>0</v>
      </c>
      <c r="BB45" s="348">
        <v>0</v>
      </c>
      <c r="BC45" s="348">
        <v>0</v>
      </c>
      <c r="BD45" s="348">
        <v>0</v>
      </c>
      <c r="BE45" s="348">
        <v>0</v>
      </c>
      <c r="BF45" s="348">
        <v>0</v>
      </c>
      <c r="BG45" s="348">
        <v>0</v>
      </c>
      <c r="BH45" s="348">
        <v>0</v>
      </c>
      <c r="BI45" s="348">
        <v>0</v>
      </c>
      <c r="BJ45" s="348">
        <v>0</v>
      </c>
      <c r="BK45" s="348">
        <v>0</v>
      </c>
      <c r="BL45" s="348">
        <v>0</v>
      </c>
      <c r="BM45" s="348">
        <v>0</v>
      </c>
      <c r="BN45" s="348">
        <v>0</v>
      </c>
      <c r="BO45" s="348">
        <v>0</v>
      </c>
      <c r="BP45" s="348">
        <v>0</v>
      </c>
      <c r="BQ45" s="348">
        <v>0</v>
      </c>
      <c r="BR45" s="348">
        <v>0</v>
      </c>
      <c r="BS45" s="348">
        <v>0</v>
      </c>
      <c r="BT45" s="348">
        <v>0</v>
      </c>
      <c r="BU45" s="348">
        <v>0</v>
      </c>
      <c r="BV45" s="348">
        <v>0</v>
      </c>
      <c r="BW45" s="348">
        <v>0</v>
      </c>
      <c r="BX45" s="348">
        <v>0</v>
      </c>
      <c r="BY45" s="348">
        <v>0</v>
      </c>
      <c r="BZ45" s="348">
        <v>0</v>
      </c>
      <c r="CA45" s="348">
        <v>0</v>
      </c>
      <c r="CB45" s="348">
        <v>0</v>
      </c>
      <c r="CC45" s="348">
        <v>0</v>
      </c>
      <c r="CD45" s="348">
        <v>0</v>
      </c>
      <c r="CE45" s="348">
        <v>4012000</v>
      </c>
      <c r="CF45" s="348">
        <v>0</v>
      </c>
      <c r="CG45" s="348">
        <v>4012000</v>
      </c>
      <c r="CH45" s="348">
        <v>4012000</v>
      </c>
      <c r="CI45" s="348">
        <v>5500000</v>
      </c>
      <c r="CJ45" s="348">
        <v>4012000</v>
      </c>
      <c r="CK45" s="348">
        <v>4012000</v>
      </c>
      <c r="CL45" s="348">
        <v>4012000</v>
      </c>
      <c r="CM45" s="348">
        <v>0</v>
      </c>
      <c r="CN45" s="348">
        <v>0</v>
      </c>
      <c r="CO45" s="348">
        <v>0</v>
      </c>
      <c r="CP45" s="348">
        <v>0</v>
      </c>
      <c r="CQ45" s="348">
        <v>0</v>
      </c>
      <c r="CR45" s="348">
        <v>0</v>
      </c>
      <c r="CS45" s="348">
        <v>0</v>
      </c>
      <c r="CT45" s="348">
        <v>0</v>
      </c>
      <c r="CU45" s="348">
        <v>0</v>
      </c>
      <c r="CV45" s="348">
        <v>0</v>
      </c>
      <c r="CW45" s="348">
        <v>0</v>
      </c>
      <c r="CX45" s="348">
        <v>0</v>
      </c>
      <c r="CY45" s="348">
        <v>0</v>
      </c>
      <c r="CZ45" s="348">
        <v>0</v>
      </c>
      <c r="DA45" s="348">
        <v>0</v>
      </c>
      <c r="DB45" s="348">
        <v>0</v>
      </c>
      <c r="DC45" s="348">
        <v>0</v>
      </c>
      <c r="DD45" s="348">
        <v>0</v>
      </c>
      <c r="DE45" s="348">
        <v>0</v>
      </c>
      <c r="DF45" s="348">
        <v>0</v>
      </c>
      <c r="DG45" s="348">
        <v>0</v>
      </c>
      <c r="DH45" s="348">
        <v>0</v>
      </c>
      <c r="DI45" s="348">
        <v>0</v>
      </c>
      <c r="DJ45" s="348">
        <v>0</v>
      </c>
      <c r="DK45" s="348">
        <v>0</v>
      </c>
      <c r="DL45" s="348">
        <v>0</v>
      </c>
      <c r="DM45" s="348">
        <v>0</v>
      </c>
      <c r="DN45" s="348">
        <v>0</v>
      </c>
      <c r="DO45" s="348">
        <v>0</v>
      </c>
      <c r="DP45" s="348">
        <v>0</v>
      </c>
      <c r="DQ45" s="348">
        <v>0</v>
      </c>
      <c r="DR45" s="348">
        <v>0</v>
      </c>
      <c r="DS45" s="354">
        <v>2022</v>
      </c>
      <c r="DT45" s="354">
        <v>7</v>
      </c>
      <c r="DU45" s="354">
        <v>27</v>
      </c>
      <c r="DV45" s="345" t="s">
        <v>677</v>
      </c>
      <c r="DW45" s="345" t="s">
        <v>691</v>
      </c>
      <c r="DX45" s="345" t="s">
        <v>735</v>
      </c>
    </row>
    <row r="46" spans="1:128">
      <c r="A46" s="355">
        <v>70</v>
      </c>
      <c r="B46" s="348">
        <v>97653000</v>
      </c>
      <c r="C46" s="348">
        <v>0</v>
      </c>
      <c r="D46" s="348">
        <v>0</v>
      </c>
      <c r="E46" s="348">
        <v>0</v>
      </c>
      <c r="F46" s="348">
        <v>0</v>
      </c>
      <c r="G46" s="348">
        <v>0</v>
      </c>
      <c r="H46" s="348">
        <v>0</v>
      </c>
      <c r="I46" s="348">
        <v>0</v>
      </c>
      <c r="J46" s="348">
        <v>0</v>
      </c>
      <c r="K46" s="348">
        <v>466125</v>
      </c>
      <c r="L46" s="348">
        <v>0</v>
      </c>
      <c r="M46" s="348">
        <v>466125</v>
      </c>
      <c r="N46" s="348">
        <v>466125</v>
      </c>
      <c r="O46" s="348">
        <v>466125</v>
      </c>
      <c r="P46" s="348">
        <v>466125</v>
      </c>
      <c r="Q46" s="348">
        <v>466125</v>
      </c>
      <c r="R46" s="348">
        <v>466000</v>
      </c>
      <c r="S46" s="348">
        <v>39941000</v>
      </c>
      <c r="T46" s="348">
        <v>0</v>
      </c>
      <c r="U46" s="348">
        <v>39941000</v>
      </c>
      <c r="V46" s="348">
        <v>39941000</v>
      </c>
      <c r="W46" s="348">
        <v>52704000</v>
      </c>
      <c r="X46" s="348">
        <v>39941000</v>
      </c>
      <c r="Y46" s="348">
        <v>39941000</v>
      </c>
      <c r="Z46" s="348">
        <v>39941000</v>
      </c>
      <c r="AA46" s="348">
        <v>0</v>
      </c>
      <c r="AB46" s="348">
        <v>0</v>
      </c>
      <c r="AC46" s="348">
        <v>0</v>
      </c>
      <c r="AD46" s="348">
        <v>0</v>
      </c>
      <c r="AE46" s="348">
        <v>0</v>
      </c>
      <c r="AF46" s="348">
        <v>0</v>
      </c>
      <c r="AG46" s="348">
        <v>0</v>
      </c>
      <c r="AH46" s="348">
        <v>0</v>
      </c>
      <c r="AI46" s="348">
        <v>0</v>
      </c>
      <c r="AJ46" s="348">
        <v>0</v>
      </c>
      <c r="AK46" s="348">
        <v>0</v>
      </c>
      <c r="AL46" s="348">
        <v>0</v>
      </c>
      <c r="AM46" s="348">
        <v>0</v>
      </c>
      <c r="AN46" s="348">
        <v>0</v>
      </c>
      <c r="AO46" s="348">
        <v>0</v>
      </c>
      <c r="AP46" s="348">
        <v>0</v>
      </c>
      <c r="AQ46" s="348">
        <v>0</v>
      </c>
      <c r="AR46" s="348">
        <v>0</v>
      </c>
      <c r="AS46" s="348">
        <v>0</v>
      </c>
      <c r="AT46" s="348">
        <v>0</v>
      </c>
      <c r="AU46" s="348">
        <v>0</v>
      </c>
      <c r="AV46" s="348">
        <v>0</v>
      </c>
      <c r="AW46" s="348">
        <v>0</v>
      </c>
      <c r="AX46" s="348">
        <v>0</v>
      </c>
      <c r="AY46" s="348">
        <v>0</v>
      </c>
      <c r="AZ46" s="348">
        <v>0</v>
      </c>
      <c r="BA46" s="348">
        <v>0</v>
      </c>
      <c r="BB46" s="348">
        <v>0</v>
      </c>
      <c r="BC46" s="348">
        <v>0</v>
      </c>
      <c r="BD46" s="348">
        <v>0</v>
      </c>
      <c r="BE46" s="348">
        <v>0</v>
      </c>
      <c r="BF46" s="348">
        <v>0</v>
      </c>
      <c r="BG46" s="348">
        <v>8250000</v>
      </c>
      <c r="BH46" s="348">
        <v>0</v>
      </c>
      <c r="BI46" s="348">
        <v>8250000</v>
      </c>
      <c r="BJ46" s="348">
        <v>8250000</v>
      </c>
      <c r="BK46" s="348">
        <v>8000000</v>
      </c>
      <c r="BL46" s="348">
        <v>8000000</v>
      </c>
      <c r="BM46" s="348">
        <v>8000000</v>
      </c>
      <c r="BN46" s="348">
        <v>4000000</v>
      </c>
      <c r="BO46" s="348">
        <v>18238000</v>
      </c>
      <c r="BP46" s="348">
        <v>0</v>
      </c>
      <c r="BQ46" s="348">
        <v>18238000</v>
      </c>
      <c r="BR46" s="348">
        <v>18238000</v>
      </c>
      <c r="BS46" s="348">
        <v>22000000</v>
      </c>
      <c r="BT46" s="348">
        <v>18238000</v>
      </c>
      <c r="BU46" s="348">
        <v>18238000</v>
      </c>
      <c r="BV46" s="348">
        <v>18238000</v>
      </c>
      <c r="BW46" s="348">
        <v>0</v>
      </c>
      <c r="BX46" s="348">
        <v>0</v>
      </c>
      <c r="BY46" s="348">
        <v>0</v>
      </c>
      <c r="BZ46" s="348">
        <v>0</v>
      </c>
      <c r="CA46" s="348">
        <v>0</v>
      </c>
      <c r="CB46" s="348">
        <v>0</v>
      </c>
      <c r="CC46" s="348">
        <v>0</v>
      </c>
      <c r="CD46" s="348">
        <v>0</v>
      </c>
      <c r="CE46" s="348">
        <v>3366000</v>
      </c>
      <c r="CF46" s="348">
        <v>0</v>
      </c>
      <c r="CG46" s="348">
        <v>3366000</v>
      </c>
      <c r="CH46" s="348">
        <v>3366000</v>
      </c>
      <c r="CI46" s="348">
        <v>5500000</v>
      </c>
      <c r="CJ46" s="348">
        <v>3366000</v>
      </c>
      <c r="CK46" s="348">
        <v>3366000</v>
      </c>
      <c r="CL46" s="348">
        <v>3366000</v>
      </c>
      <c r="CM46" s="348">
        <v>23100000</v>
      </c>
      <c r="CN46" s="348">
        <v>0</v>
      </c>
      <c r="CO46" s="348">
        <v>23100000</v>
      </c>
      <c r="CP46" s="348">
        <v>23100000</v>
      </c>
      <c r="CQ46" s="348">
        <v>66000000</v>
      </c>
      <c r="CR46" s="348">
        <v>23100000</v>
      </c>
      <c r="CS46" s="348">
        <v>23100000</v>
      </c>
      <c r="CT46" s="348">
        <v>23100000</v>
      </c>
      <c r="CU46" s="348">
        <v>9699999</v>
      </c>
      <c r="CV46" s="348">
        <v>0</v>
      </c>
      <c r="CW46" s="348">
        <v>9699999</v>
      </c>
      <c r="CX46" s="348">
        <v>9699999</v>
      </c>
      <c r="CY46" s="348">
        <v>11000000</v>
      </c>
      <c r="CZ46" s="348">
        <v>8542433</v>
      </c>
      <c r="DA46" s="348">
        <v>8542433</v>
      </c>
      <c r="DB46" s="348">
        <v>8542000</v>
      </c>
      <c r="DC46" s="348">
        <v>0</v>
      </c>
      <c r="DD46" s="348">
        <v>0</v>
      </c>
      <c r="DE46" s="348">
        <v>0</v>
      </c>
      <c r="DF46" s="348">
        <v>0</v>
      </c>
      <c r="DG46" s="348">
        <v>0</v>
      </c>
      <c r="DH46" s="348">
        <v>0</v>
      </c>
      <c r="DI46" s="348">
        <v>0</v>
      </c>
      <c r="DJ46" s="348">
        <v>0</v>
      </c>
      <c r="DK46" s="348">
        <v>0</v>
      </c>
      <c r="DL46" s="348">
        <v>0</v>
      </c>
      <c r="DM46" s="348">
        <v>0</v>
      </c>
      <c r="DN46" s="348">
        <v>0</v>
      </c>
      <c r="DO46" s="348">
        <v>0</v>
      </c>
      <c r="DP46" s="348">
        <v>0</v>
      </c>
      <c r="DQ46" s="348">
        <v>0</v>
      </c>
      <c r="DR46" s="348">
        <v>0</v>
      </c>
      <c r="DS46" s="354">
        <v>2022</v>
      </c>
      <c r="DT46" s="354">
        <v>7</v>
      </c>
      <c r="DU46" s="354">
        <v>27</v>
      </c>
      <c r="DV46" s="345" t="s">
        <v>675</v>
      </c>
      <c r="DW46" s="345" t="s">
        <v>706</v>
      </c>
      <c r="DX46" s="345" t="s">
        <v>735</v>
      </c>
    </row>
    <row r="47" spans="1:128">
      <c r="A47" s="355">
        <v>71</v>
      </c>
      <c r="B47" s="348">
        <v>1723000</v>
      </c>
      <c r="C47" s="348">
        <v>0</v>
      </c>
      <c r="D47" s="348">
        <v>0</v>
      </c>
      <c r="E47" s="348">
        <v>0</v>
      </c>
      <c r="F47" s="348">
        <v>0</v>
      </c>
      <c r="G47" s="348">
        <v>0</v>
      </c>
      <c r="H47" s="348">
        <v>0</v>
      </c>
      <c r="I47" s="348">
        <v>0</v>
      </c>
      <c r="J47" s="348">
        <v>0</v>
      </c>
      <c r="K47" s="348">
        <v>0</v>
      </c>
      <c r="L47" s="348">
        <v>0</v>
      </c>
      <c r="M47" s="348">
        <v>0</v>
      </c>
      <c r="N47" s="348">
        <v>0</v>
      </c>
      <c r="O47" s="348">
        <v>0</v>
      </c>
      <c r="P47" s="348">
        <v>0</v>
      </c>
      <c r="Q47" s="348">
        <v>0</v>
      </c>
      <c r="R47" s="348">
        <v>0</v>
      </c>
      <c r="S47" s="348">
        <v>1723700</v>
      </c>
      <c r="T47" s="348">
        <v>0</v>
      </c>
      <c r="U47" s="348">
        <v>1723700</v>
      </c>
      <c r="V47" s="348">
        <v>1723700</v>
      </c>
      <c r="W47" s="348">
        <v>2635200</v>
      </c>
      <c r="X47" s="348">
        <v>1723700</v>
      </c>
      <c r="Y47" s="348">
        <v>1723700</v>
      </c>
      <c r="Z47" s="348">
        <v>1723000</v>
      </c>
      <c r="AA47" s="348">
        <v>0</v>
      </c>
      <c r="AB47" s="348">
        <v>0</v>
      </c>
      <c r="AC47" s="348">
        <v>0</v>
      </c>
      <c r="AD47" s="348">
        <v>0</v>
      </c>
      <c r="AE47" s="348">
        <v>0</v>
      </c>
      <c r="AF47" s="348">
        <v>0</v>
      </c>
      <c r="AG47" s="348">
        <v>0</v>
      </c>
      <c r="AH47" s="348">
        <v>0</v>
      </c>
      <c r="AI47" s="348">
        <v>0</v>
      </c>
      <c r="AJ47" s="348">
        <v>0</v>
      </c>
      <c r="AK47" s="348">
        <v>0</v>
      </c>
      <c r="AL47" s="348">
        <v>0</v>
      </c>
      <c r="AM47" s="348">
        <v>0</v>
      </c>
      <c r="AN47" s="348">
        <v>0</v>
      </c>
      <c r="AO47" s="348">
        <v>0</v>
      </c>
      <c r="AP47" s="348">
        <v>0</v>
      </c>
      <c r="AQ47" s="348">
        <v>0</v>
      </c>
      <c r="AR47" s="348">
        <v>0</v>
      </c>
      <c r="AS47" s="348">
        <v>0</v>
      </c>
      <c r="AT47" s="348">
        <v>0</v>
      </c>
      <c r="AU47" s="348">
        <v>0</v>
      </c>
      <c r="AV47" s="348">
        <v>0</v>
      </c>
      <c r="AW47" s="348">
        <v>0</v>
      </c>
      <c r="AX47" s="348">
        <v>0</v>
      </c>
      <c r="AY47" s="348">
        <v>0</v>
      </c>
      <c r="AZ47" s="348">
        <v>0</v>
      </c>
      <c r="BA47" s="348">
        <v>0</v>
      </c>
      <c r="BB47" s="348">
        <v>0</v>
      </c>
      <c r="BC47" s="348">
        <v>0</v>
      </c>
      <c r="BD47" s="348">
        <v>0</v>
      </c>
      <c r="BE47" s="348">
        <v>0</v>
      </c>
      <c r="BF47" s="348">
        <v>0</v>
      </c>
      <c r="BG47" s="348">
        <v>0</v>
      </c>
      <c r="BH47" s="348">
        <v>0</v>
      </c>
      <c r="BI47" s="348">
        <v>0</v>
      </c>
      <c r="BJ47" s="348">
        <v>0</v>
      </c>
      <c r="BK47" s="348">
        <v>0</v>
      </c>
      <c r="BL47" s="348">
        <v>0</v>
      </c>
      <c r="BM47" s="348">
        <v>0</v>
      </c>
      <c r="BN47" s="348">
        <v>0</v>
      </c>
      <c r="BO47" s="348">
        <v>0</v>
      </c>
      <c r="BP47" s="348">
        <v>0</v>
      </c>
      <c r="BQ47" s="348">
        <v>0</v>
      </c>
      <c r="BR47" s="348">
        <v>0</v>
      </c>
      <c r="BS47" s="348">
        <v>0</v>
      </c>
      <c r="BT47" s="348">
        <v>0</v>
      </c>
      <c r="BU47" s="348">
        <v>0</v>
      </c>
      <c r="BV47" s="348">
        <v>0</v>
      </c>
      <c r="BW47" s="348">
        <v>0</v>
      </c>
      <c r="BX47" s="348">
        <v>0</v>
      </c>
      <c r="BY47" s="348">
        <v>0</v>
      </c>
      <c r="BZ47" s="348">
        <v>0</v>
      </c>
      <c r="CA47" s="348">
        <v>0</v>
      </c>
      <c r="CB47" s="348">
        <v>0</v>
      </c>
      <c r="CC47" s="348">
        <v>0</v>
      </c>
      <c r="CD47" s="348">
        <v>0</v>
      </c>
      <c r="CE47" s="348">
        <v>0</v>
      </c>
      <c r="CF47" s="348">
        <v>0</v>
      </c>
      <c r="CG47" s="348">
        <v>0</v>
      </c>
      <c r="CH47" s="348">
        <v>0</v>
      </c>
      <c r="CI47" s="348">
        <v>0</v>
      </c>
      <c r="CJ47" s="348">
        <v>0</v>
      </c>
      <c r="CK47" s="348">
        <v>0</v>
      </c>
      <c r="CL47" s="348">
        <v>0</v>
      </c>
      <c r="CM47" s="348">
        <v>0</v>
      </c>
      <c r="CN47" s="348">
        <v>0</v>
      </c>
      <c r="CO47" s="348">
        <v>0</v>
      </c>
      <c r="CP47" s="348">
        <v>0</v>
      </c>
      <c r="CQ47" s="348">
        <v>0</v>
      </c>
      <c r="CR47" s="348">
        <v>0</v>
      </c>
      <c r="CS47" s="348">
        <v>0</v>
      </c>
      <c r="CT47" s="348">
        <v>0</v>
      </c>
      <c r="CU47" s="348">
        <v>0</v>
      </c>
      <c r="CV47" s="348">
        <v>0</v>
      </c>
      <c r="CW47" s="348">
        <v>0</v>
      </c>
      <c r="CX47" s="348">
        <v>0</v>
      </c>
      <c r="CY47" s="348">
        <v>0</v>
      </c>
      <c r="CZ47" s="348">
        <v>0</v>
      </c>
      <c r="DA47" s="348">
        <v>0</v>
      </c>
      <c r="DB47" s="348">
        <v>0</v>
      </c>
      <c r="DC47" s="348">
        <v>0</v>
      </c>
      <c r="DD47" s="348">
        <v>0</v>
      </c>
      <c r="DE47" s="348">
        <v>0</v>
      </c>
      <c r="DF47" s="348">
        <v>0</v>
      </c>
      <c r="DG47" s="348">
        <v>0</v>
      </c>
      <c r="DH47" s="348">
        <v>0</v>
      </c>
      <c r="DI47" s="348">
        <v>0</v>
      </c>
      <c r="DJ47" s="348">
        <v>0</v>
      </c>
      <c r="DK47" s="348">
        <v>0</v>
      </c>
      <c r="DL47" s="348">
        <v>0</v>
      </c>
      <c r="DM47" s="348">
        <v>0</v>
      </c>
      <c r="DN47" s="348">
        <v>0</v>
      </c>
      <c r="DO47" s="348">
        <v>0</v>
      </c>
      <c r="DP47" s="348">
        <v>0</v>
      </c>
      <c r="DQ47" s="348">
        <v>0</v>
      </c>
      <c r="DR47" s="348">
        <v>0</v>
      </c>
      <c r="DS47" s="354">
        <v>2022</v>
      </c>
      <c r="DT47" s="354">
        <v>7</v>
      </c>
      <c r="DU47" s="354">
        <v>27</v>
      </c>
      <c r="DV47" s="345" t="s">
        <v>671</v>
      </c>
      <c r="DW47" s="345" t="s">
        <v>672</v>
      </c>
      <c r="DX47" s="345" t="s">
        <v>735</v>
      </c>
    </row>
    <row r="48" spans="1:128">
      <c r="A48" s="355">
        <v>73</v>
      </c>
      <c r="B48" s="348">
        <v>12612000</v>
      </c>
      <c r="C48" s="348">
        <v>0</v>
      </c>
      <c r="D48" s="348">
        <v>0</v>
      </c>
      <c r="E48" s="348">
        <v>0</v>
      </c>
      <c r="F48" s="348">
        <v>0</v>
      </c>
      <c r="G48" s="348">
        <v>0</v>
      </c>
      <c r="H48" s="348">
        <v>0</v>
      </c>
      <c r="I48" s="348">
        <v>0</v>
      </c>
      <c r="J48" s="348">
        <v>0</v>
      </c>
      <c r="K48" s="348">
        <v>0</v>
      </c>
      <c r="L48" s="348">
        <v>0</v>
      </c>
      <c r="M48" s="348">
        <v>0</v>
      </c>
      <c r="N48" s="348">
        <v>0</v>
      </c>
      <c r="O48" s="348">
        <v>0</v>
      </c>
      <c r="P48" s="348">
        <v>0</v>
      </c>
      <c r="Q48" s="348">
        <v>0</v>
      </c>
      <c r="R48" s="348">
        <v>0</v>
      </c>
      <c r="S48" s="348">
        <v>1612462</v>
      </c>
      <c r="T48" s="348">
        <v>0</v>
      </c>
      <c r="U48" s="348">
        <v>1612462</v>
      </c>
      <c r="V48" s="348">
        <v>1612462</v>
      </c>
      <c r="W48" s="348">
        <v>1976400</v>
      </c>
      <c r="X48" s="348">
        <v>1612462</v>
      </c>
      <c r="Y48" s="348">
        <v>1612462</v>
      </c>
      <c r="Z48" s="348">
        <v>1612000</v>
      </c>
      <c r="AA48" s="348">
        <v>0</v>
      </c>
      <c r="AB48" s="348">
        <v>0</v>
      </c>
      <c r="AC48" s="348">
        <v>0</v>
      </c>
      <c r="AD48" s="348">
        <v>0</v>
      </c>
      <c r="AE48" s="348">
        <v>0</v>
      </c>
      <c r="AF48" s="348">
        <v>0</v>
      </c>
      <c r="AG48" s="348">
        <v>0</v>
      </c>
      <c r="AH48" s="348">
        <v>0</v>
      </c>
      <c r="AI48" s="348">
        <v>0</v>
      </c>
      <c r="AJ48" s="348">
        <v>0</v>
      </c>
      <c r="AK48" s="348">
        <v>0</v>
      </c>
      <c r="AL48" s="348">
        <v>0</v>
      </c>
      <c r="AM48" s="348">
        <v>0</v>
      </c>
      <c r="AN48" s="348">
        <v>0</v>
      </c>
      <c r="AO48" s="348">
        <v>0</v>
      </c>
      <c r="AP48" s="348">
        <v>0</v>
      </c>
      <c r="AQ48" s="348">
        <v>0</v>
      </c>
      <c r="AR48" s="348">
        <v>0</v>
      </c>
      <c r="AS48" s="348">
        <v>0</v>
      </c>
      <c r="AT48" s="348">
        <v>0</v>
      </c>
      <c r="AU48" s="348">
        <v>0</v>
      </c>
      <c r="AV48" s="348">
        <v>0</v>
      </c>
      <c r="AW48" s="348">
        <v>0</v>
      </c>
      <c r="AX48" s="348">
        <v>0</v>
      </c>
      <c r="AY48" s="348">
        <v>0</v>
      </c>
      <c r="AZ48" s="348">
        <v>0</v>
      </c>
      <c r="BA48" s="348">
        <v>0</v>
      </c>
      <c r="BB48" s="348">
        <v>0</v>
      </c>
      <c r="BC48" s="348">
        <v>0</v>
      </c>
      <c r="BD48" s="348">
        <v>0</v>
      </c>
      <c r="BE48" s="348">
        <v>0</v>
      </c>
      <c r="BF48" s="348">
        <v>0</v>
      </c>
      <c r="BG48" s="348">
        <v>0</v>
      </c>
      <c r="BH48" s="348">
        <v>0</v>
      </c>
      <c r="BI48" s="348">
        <v>0</v>
      </c>
      <c r="BJ48" s="348">
        <v>0</v>
      </c>
      <c r="BK48" s="348">
        <v>0</v>
      </c>
      <c r="BL48" s="348">
        <v>0</v>
      </c>
      <c r="BM48" s="348">
        <v>0</v>
      </c>
      <c r="BN48" s="348">
        <v>0</v>
      </c>
      <c r="BO48" s="348">
        <v>0</v>
      </c>
      <c r="BP48" s="348">
        <v>0</v>
      </c>
      <c r="BQ48" s="348">
        <v>0</v>
      </c>
      <c r="BR48" s="348">
        <v>0</v>
      </c>
      <c r="BS48" s="348">
        <v>0</v>
      </c>
      <c r="BT48" s="348">
        <v>0</v>
      </c>
      <c r="BU48" s="348">
        <v>0</v>
      </c>
      <c r="BV48" s="348">
        <v>0</v>
      </c>
      <c r="BW48" s="348">
        <v>0</v>
      </c>
      <c r="BX48" s="348">
        <v>0</v>
      </c>
      <c r="BY48" s="348">
        <v>0</v>
      </c>
      <c r="BZ48" s="348">
        <v>0</v>
      </c>
      <c r="CA48" s="348">
        <v>0</v>
      </c>
      <c r="CB48" s="348">
        <v>0</v>
      </c>
      <c r="CC48" s="348">
        <v>0</v>
      </c>
      <c r="CD48" s="348">
        <v>0</v>
      </c>
      <c r="CE48" s="348">
        <v>0</v>
      </c>
      <c r="CF48" s="348">
        <v>0</v>
      </c>
      <c r="CG48" s="348">
        <v>0</v>
      </c>
      <c r="CH48" s="348">
        <v>0</v>
      </c>
      <c r="CI48" s="348">
        <v>0</v>
      </c>
      <c r="CJ48" s="348">
        <v>0</v>
      </c>
      <c r="CK48" s="348">
        <v>0</v>
      </c>
      <c r="CL48" s="348">
        <v>0</v>
      </c>
      <c r="CM48" s="348">
        <v>0</v>
      </c>
      <c r="CN48" s="348">
        <v>0</v>
      </c>
      <c r="CO48" s="348">
        <v>0</v>
      </c>
      <c r="CP48" s="348">
        <v>0</v>
      </c>
      <c r="CQ48" s="348">
        <v>0</v>
      </c>
      <c r="CR48" s="348">
        <v>0</v>
      </c>
      <c r="CS48" s="348">
        <v>0</v>
      </c>
      <c r="CT48" s="348">
        <v>0</v>
      </c>
      <c r="CU48" s="348">
        <v>9460000</v>
      </c>
      <c r="CV48" s="348">
        <v>0</v>
      </c>
      <c r="CW48" s="348">
        <v>9460000</v>
      </c>
      <c r="CX48" s="348">
        <v>9460000</v>
      </c>
      <c r="CY48" s="348">
        <v>8800000</v>
      </c>
      <c r="CZ48" s="348">
        <v>8800000</v>
      </c>
      <c r="DA48" s="348">
        <v>8800000</v>
      </c>
      <c r="DB48" s="348">
        <v>8800000</v>
      </c>
      <c r="DC48" s="348">
        <v>4862000</v>
      </c>
      <c r="DD48" s="348">
        <v>0</v>
      </c>
      <c r="DE48" s="348">
        <v>4862000</v>
      </c>
      <c r="DF48" s="348">
        <v>4862000</v>
      </c>
      <c r="DG48" s="348">
        <v>2200000</v>
      </c>
      <c r="DH48" s="348">
        <v>2200000</v>
      </c>
      <c r="DI48" s="348">
        <v>2200000</v>
      </c>
      <c r="DJ48" s="348">
        <v>2200000</v>
      </c>
      <c r="DK48" s="348">
        <v>0</v>
      </c>
      <c r="DL48" s="348">
        <v>0</v>
      </c>
      <c r="DM48" s="348">
        <v>0</v>
      </c>
      <c r="DN48" s="348">
        <v>0</v>
      </c>
      <c r="DO48" s="348">
        <v>0</v>
      </c>
      <c r="DP48" s="348">
        <v>0</v>
      </c>
      <c r="DQ48" s="348">
        <v>0</v>
      </c>
      <c r="DR48" s="348">
        <v>0</v>
      </c>
      <c r="DS48" s="354">
        <v>2022</v>
      </c>
      <c r="DT48" s="354">
        <v>7</v>
      </c>
      <c r="DU48" s="354">
        <v>27</v>
      </c>
      <c r="DV48" s="345" t="s">
        <v>675</v>
      </c>
      <c r="DW48" s="345" t="s">
        <v>715</v>
      </c>
      <c r="DX48" s="345" t="s">
        <v>735</v>
      </c>
    </row>
    <row r="49" spans="1:128">
      <c r="A49" s="355">
        <v>74</v>
      </c>
      <c r="B49" s="348">
        <v>17504000</v>
      </c>
      <c r="C49" s="348">
        <v>0</v>
      </c>
      <c r="D49" s="348">
        <v>0</v>
      </c>
      <c r="E49" s="348">
        <v>0</v>
      </c>
      <c r="F49" s="348">
        <v>0</v>
      </c>
      <c r="G49" s="348">
        <v>0</v>
      </c>
      <c r="H49" s="348">
        <v>0</v>
      </c>
      <c r="I49" s="348">
        <v>0</v>
      </c>
      <c r="J49" s="348">
        <v>0</v>
      </c>
      <c r="K49" s="348">
        <v>0</v>
      </c>
      <c r="L49" s="348">
        <v>0</v>
      </c>
      <c r="M49" s="348">
        <v>0</v>
      </c>
      <c r="N49" s="348">
        <v>0</v>
      </c>
      <c r="O49" s="348">
        <v>0</v>
      </c>
      <c r="P49" s="348">
        <v>0</v>
      </c>
      <c r="Q49" s="348">
        <v>0</v>
      </c>
      <c r="R49" s="348">
        <v>0</v>
      </c>
      <c r="S49" s="348">
        <v>16508341</v>
      </c>
      <c r="T49" s="348">
        <v>0</v>
      </c>
      <c r="U49" s="348">
        <v>16508341</v>
      </c>
      <c r="V49" s="348">
        <v>16508341</v>
      </c>
      <c r="W49" s="348">
        <v>16470000</v>
      </c>
      <c r="X49" s="348">
        <v>16470000</v>
      </c>
      <c r="Y49" s="348">
        <v>16470000</v>
      </c>
      <c r="Z49" s="348">
        <v>16470000</v>
      </c>
      <c r="AA49" s="348">
        <v>1034000</v>
      </c>
      <c r="AB49" s="348">
        <v>0</v>
      </c>
      <c r="AC49" s="348">
        <v>1034000</v>
      </c>
      <c r="AD49" s="348">
        <v>1034000</v>
      </c>
      <c r="AE49" s="348">
        <v>8640000</v>
      </c>
      <c r="AF49" s="348">
        <v>1034000</v>
      </c>
      <c r="AG49" s="348">
        <v>1034000</v>
      </c>
      <c r="AH49" s="348">
        <v>1034000</v>
      </c>
      <c r="AI49" s="348">
        <v>0</v>
      </c>
      <c r="AJ49" s="348">
        <v>0</v>
      </c>
      <c r="AK49" s="348">
        <v>0</v>
      </c>
      <c r="AL49" s="348">
        <v>0</v>
      </c>
      <c r="AM49" s="348">
        <v>0</v>
      </c>
      <c r="AN49" s="348">
        <v>0</v>
      </c>
      <c r="AO49" s="348">
        <v>0</v>
      </c>
      <c r="AP49" s="348">
        <v>0</v>
      </c>
      <c r="AQ49" s="348">
        <v>0</v>
      </c>
      <c r="AR49" s="348">
        <v>0</v>
      </c>
      <c r="AS49" s="348">
        <v>0</v>
      </c>
      <c r="AT49" s="348">
        <v>0</v>
      </c>
      <c r="AU49" s="348">
        <v>0</v>
      </c>
      <c r="AV49" s="348">
        <v>0</v>
      </c>
      <c r="AW49" s="348">
        <v>0</v>
      </c>
      <c r="AX49" s="348">
        <v>0</v>
      </c>
      <c r="AY49" s="348">
        <v>0</v>
      </c>
      <c r="AZ49" s="348">
        <v>0</v>
      </c>
      <c r="BA49" s="348">
        <v>0</v>
      </c>
      <c r="BB49" s="348">
        <v>0</v>
      </c>
      <c r="BC49" s="348">
        <v>0</v>
      </c>
      <c r="BD49" s="348">
        <v>0</v>
      </c>
      <c r="BE49" s="348">
        <v>0</v>
      </c>
      <c r="BF49" s="348">
        <v>0</v>
      </c>
      <c r="BG49" s="348">
        <v>0</v>
      </c>
      <c r="BH49" s="348">
        <v>0</v>
      </c>
      <c r="BI49" s="348">
        <v>0</v>
      </c>
      <c r="BJ49" s="348">
        <v>0</v>
      </c>
      <c r="BK49" s="348">
        <v>0</v>
      </c>
      <c r="BL49" s="348">
        <v>0</v>
      </c>
      <c r="BM49" s="348">
        <v>0</v>
      </c>
      <c r="BN49" s="348">
        <v>0</v>
      </c>
      <c r="BO49" s="348">
        <v>0</v>
      </c>
      <c r="BP49" s="348">
        <v>0</v>
      </c>
      <c r="BQ49" s="348">
        <v>0</v>
      </c>
      <c r="BR49" s="348">
        <v>0</v>
      </c>
      <c r="BS49" s="348">
        <v>0</v>
      </c>
      <c r="BT49" s="348">
        <v>0</v>
      </c>
      <c r="BU49" s="348">
        <v>0</v>
      </c>
      <c r="BV49" s="348">
        <v>0</v>
      </c>
      <c r="BW49" s="348">
        <v>0</v>
      </c>
      <c r="BX49" s="348">
        <v>0</v>
      </c>
      <c r="BY49" s="348">
        <v>0</v>
      </c>
      <c r="BZ49" s="348">
        <v>0</v>
      </c>
      <c r="CA49" s="348">
        <v>0</v>
      </c>
      <c r="CB49" s="348">
        <v>0</v>
      </c>
      <c r="CC49" s="348">
        <v>0</v>
      </c>
      <c r="CD49" s="348">
        <v>0</v>
      </c>
      <c r="CE49" s="348">
        <v>0</v>
      </c>
      <c r="CF49" s="348">
        <v>0</v>
      </c>
      <c r="CG49" s="348">
        <v>0</v>
      </c>
      <c r="CH49" s="348">
        <v>0</v>
      </c>
      <c r="CI49" s="348">
        <v>0</v>
      </c>
      <c r="CJ49" s="348">
        <v>0</v>
      </c>
      <c r="CK49" s="348">
        <v>0</v>
      </c>
      <c r="CL49" s="348">
        <v>0</v>
      </c>
      <c r="CM49" s="348">
        <v>0</v>
      </c>
      <c r="CN49" s="348">
        <v>0</v>
      </c>
      <c r="CO49" s="348">
        <v>0</v>
      </c>
      <c r="CP49" s="348">
        <v>0</v>
      </c>
      <c r="CQ49" s="348">
        <v>0</v>
      </c>
      <c r="CR49" s="348">
        <v>0</v>
      </c>
      <c r="CS49" s="348">
        <v>0</v>
      </c>
      <c r="CT49" s="348">
        <v>0</v>
      </c>
      <c r="CU49" s="348">
        <v>0</v>
      </c>
      <c r="CV49" s="348">
        <v>0</v>
      </c>
      <c r="CW49" s="348">
        <v>0</v>
      </c>
      <c r="CX49" s="348">
        <v>0</v>
      </c>
      <c r="CY49" s="348">
        <v>0</v>
      </c>
      <c r="CZ49" s="348">
        <v>0</v>
      </c>
      <c r="DA49" s="348">
        <v>0</v>
      </c>
      <c r="DB49" s="348">
        <v>0</v>
      </c>
      <c r="DC49" s="348">
        <v>0</v>
      </c>
      <c r="DD49" s="348">
        <v>0</v>
      </c>
      <c r="DE49" s="348">
        <v>0</v>
      </c>
      <c r="DF49" s="348">
        <v>0</v>
      </c>
      <c r="DG49" s="348">
        <v>0</v>
      </c>
      <c r="DH49" s="348">
        <v>0</v>
      </c>
      <c r="DI49" s="348">
        <v>0</v>
      </c>
      <c r="DJ49" s="348">
        <v>0</v>
      </c>
      <c r="DK49" s="348">
        <v>0</v>
      </c>
      <c r="DL49" s="348">
        <v>0</v>
      </c>
      <c r="DM49" s="348">
        <v>0</v>
      </c>
      <c r="DN49" s="348">
        <v>0</v>
      </c>
      <c r="DO49" s="348">
        <v>0</v>
      </c>
      <c r="DP49" s="348">
        <v>0</v>
      </c>
      <c r="DQ49" s="348">
        <v>0</v>
      </c>
      <c r="DR49" s="348">
        <v>0</v>
      </c>
      <c r="DS49" s="354">
        <v>2022</v>
      </c>
      <c r="DT49" s="354">
        <v>7</v>
      </c>
      <c r="DU49" s="354">
        <v>27</v>
      </c>
      <c r="DV49" s="345" t="s">
        <v>675</v>
      </c>
      <c r="DW49" s="345" t="s">
        <v>716</v>
      </c>
      <c r="DX49" s="345" t="s">
        <v>735</v>
      </c>
    </row>
    <row r="50" spans="1:128">
      <c r="A50" s="355">
        <v>75</v>
      </c>
      <c r="B50" s="348">
        <v>6723000</v>
      </c>
      <c r="C50" s="348">
        <v>0</v>
      </c>
      <c r="D50" s="348">
        <v>0</v>
      </c>
      <c r="E50" s="348">
        <v>0</v>
      </c>
      <c r="F50" s="348">
        <v>0</v>
      </c>
      <c r="G50" s="348">
        <v>0</v>
      </c>
      <c r="H50" s="348">
        <v>0</v>
      </c>
      <c r="I50" s="348">
        <v>0</v>
      </c>
      <c r="J50" s="348">
        <v>0</v>
      </c>
      <c r="K50" s="348">
        <v>0</v>
      </c>
      <c r="L50" s="348">
        <v>0</v>
      </c>
      <c r="M50" s="348">
        <v>0</v>
      </c>
      <c r="N50" s="348">
        <v>0</v>
      </c>
      <c r="O50" s="348">
        <v>0</v>
      </c>
      <c r="P50" s="348">
        <v>0</v>
      </c>
      <c r="Q50" s="348">
        <v>0</v>
      </c>
      <c r="R50" s="348">
        <v>0</v>
      </c>
      <c r="S50" s="348">
        <v>3291860</v>
      </c>
      <c r="T50" s="348">
        <v>0</v>
      </c>
      <c r="U50" s="348">
        <v>3291860</v>
      </c>
      <c r="V50" s="348">
        <v>3291860</v>
      </c>
      <c r="W50" s="348">
        <v>3294000</v>
      </c>
      <c r="X50" s="348">
        <v>3291860</v>
      </c>
      <c r="Y50" s="348">
        <v>3291860</v>
      </c>
      <c r="Z50" s="348">
        <v>3291000</v>
      </c>
      <c r="AA50" s="348">
        <v>0</v>
      </c>
      <c r="AB50" s="348">
        <v>0</v>
      </c>
      <c r="AC50" s="348">
        <v>0</v>
      </c>
      <c r="AD50" s="348">
        <v>0</v>
      </c>
      <c r="AE50" s="348">
        <v>0</v>
      </c>
      <c r="AF50" s="348">
        <v>0</v>
      </c>
      <c r="AG50" s="348">
        <v>0</v>
      </c>
      <c r="AH50" s="348">
        <v>0</v>
      </c>
      <c r="AI50" s="348">
        <v>0</v>
      </c>
      <c r="AJ50" s="348">
        <v>0</v>
      </c>
      <c r="AK50" s="348">
        <v>0</v>
      </c>
      <c r="AL50" s="348">
        <v>0</v>
      </c>
      <c r="AM50" s="348">
        <v>0</v>
      </c>
      <c r="AN50" s="348">
        <v>0</v>
      </c>
      <c r="AO50" s="348">
        <v>0</v>
      </c>
      <c r="AP50" s="348">
        <v>0</v>
      </c>
      <c r="AQ50" s="348">
        <v>0</v>
      </c>
      <c r="AR50" s="348">
        <v>0</v>
      </c>
      <c r="AS50" s="348">
        <v>0</v>
      </c>
      <c r="AT50" s="348">
        <v>0</v>
      </c>
      <c r="AU50" s="348">
        <v>0</v>
      </c>
      <c r="AV50" s="348">
        <v>0</v>
      </c>
      <c r="AW50" s="348">
        <v>0</v>
      </c>
      <c r="AX50" s="348">
        <v>0</v>
      </c>
      <c r="AY50" s="348">
        <v>0</v>
      </c>
      <c r="AZ50" s="348">
        <v>0</v>
      </c>
      <c r="BA50" s="348">
        <v>0</v>
      </c>
      <c r="BB50" s="348">
        <v>0</v>
      </c>
      <c r="BC50" s="348">
        <v>0</v>
      </c>
      <c r="BD50" s="348">
        <v>0</v>
      </c>
      <c r="BE50" s="348">
        <v>0</v>
      </c>
      <c r="BF50" s="348">
        <v>0</v>
      </c>
      <c r="BG50" s="348">
        <v>0</v>
      </c>
      <c r="BH50" s="348">
        <v>0</v>
      </c>
      <c r="BI50" s="348">
        <v>0</v>
      </c>
      <c r="BJ50" s="348">
        <v>0</v>
      </c>
      <c r="BK50" s="348">
        <v>0</v>
      </c>
      <c r="BL50" s="348">
        <v>0</v>
      </c>
      <c r="BM50" s="348">
        <v>0</v>
      </c>
      <c r="BN50" s="348">
        <v>0</v>
      </c>
      <c r="BO50" s="348">
        <v>0</v>
      </c>
      <c r="BP50" s="348">
        <v>0</v>
      </c>
      <c r="BQ50" s="348">
        <v>0</v>
      </c>
      <c r="BR50" s="348">
        <v>0</v>
      </c>
      <c r="BS50" s="348">
        <v>0</v>
      </c>
      <c r="BT50" s="348">
        <v>0</v>
      </c>
      <c r="BU50" s="348">
        <v>0</v>
      </c>
      <c r="BV50" s="348">
        <v>0</v>
      </c>
      <c r="BW50" s="348">
        <v>0</v>
      </c>
      <c r="BX50" s="348">
        <v>0</v>
      </c>
      <c r="BY50" s="348">
        <v>0</v>
      </c>
      <c r="BZ50" s="348">
        <v>0</v>
      </c>
      <c r="CA50" s="348">
        <v>0</v>
      </c>
      <c r="CB50" s="348">
        <v>0</v>
      </c>
      <c r="CC50" s="348">
        <v>0</v>
      </c>
      <c r="CD50" s="348">
        <v>0</v>
      </c>
      <c r="CE50" s="348">
        <v>0</v>
      </c>
      <c r="CF50" s="348">
        <v>0</v>
      </c>
      <c r="CG50" s="348">
        <v>0</v>
      </c>
      <c r="CH50" s="348">
        <v>0</v>
      </c>
      <c r="CI50" s="348">
        <v>0</v>
      </c>
      <c r="CJ50" s="348">
        <v>0</v>
      </c>
      <c r="CK50" s="348">
        <v>0</v>
      </c>
      <c r="CL50" s="348">
        <v>0</v>
      </c>
      <c r="CM50" s="348">
        <v>0</v>
      </c>
      <c r="CN50" s="348">
        <v>0</v>
      </c>
      <c r="CO50" s="348">
        <v>0</v>
      </c>
      <c r="CP50" s="348">
        <v>0</v>
      </c>
      <c r="CQ50" s="348">
        <v>0</v>
      </c>
      <c r="CR50" s="348">
        <v>0</v>
      </c>
      <c r="CS50" s="348">
        <v>0</v>
      </c>
      <c r="CT50" s="348">
        <v>0</v>
      </c>
      <c r="CU50" s="348">
        <v>3432000</v>
      </c>
      <c r="CV50" s="348">
        <v>0</v>
      </c>
      <c r="CW50" s="348">
        <v>3432000</v>
      </c>
      <c r="CX50" s="348">
        <v>3432000</v>
      </c>
      <c r="CY50" s="348">
        <v>4400000</v>
      </c>
      <c r="CZ50" s="348">
        <v>3432000</v>
      </c>
      <c r="DA50" s="348">
        <v>3432000</v>
      </c>
      <c r="DB50" s="348">
        <v>3432000</v>
      </c>
      <c r="DC50" s="348">
        <v>0</v>
      </c>
      <c r="DD50" s="348">
        <v>0</v>
      </c>
      <c r="DE50" s="348">
        <v>0</v>
      </c>
      <c r="DF50" s="348">
        <v>0</v>
      </c>
      <c r="DG50" s="348">
        <v>0</v>
      </c>
      <c r="DH50" s="348">
        <v>0</v>
      </c>
      <c r="DI50" s="348">
        <v>0</v>
      </c>
      <c r="DJ50" s="348">
        <v>0</v>
      </c>
      <c r="DK50" s="348">
        <v>0</v>
      </c>
      <c r="DL50" s="348">
        <v>0</v>
      </c>
      <c r="DM50" s="348">
        <v>0</v>
      </c>
      <c r="DN50" s="348">
        <v>0</v>
      </c>
      <c r="DO50" s="348">
        <v>0</v>
      </c>
      <c r="DP50" s="348">
        <v>0</v>
      </c>
      <c r="DQ50" s="348">
        <v>0</v>
      </c>
      <c r="DR50" s="348">
        <v>0</v>
      </c>
      <c r="DS50" s="354">
        <v>2022</v>
      </c>
      <c r="DT50" s="354">
        <v>7</v>
      </c>
      <c r="DU50" s="354">
        <v>27</v>
      </c>
      <c r="DV50" s="345" t="s">
        <v>686</v>
      </c>
      <c r="DW50" s="345" t="s">
        <v>674</v>
      </c>
      <c r="DX50" s="345" t="s">
        <v>735</v>
      </c>
    </row>
    <row r="51" spans="1:128">
      <c r="A51" s="355">
        <v>76</v>
      </c>
      <c r="B51" s="348">
        <v>11199000</v>
      </c>
      <c r="C51" s="348">
        <v>0</v>
      </c>
      <c r="D51" s="348">
        <v>0</v>
      </c>
      <c r="E51" s="348">
        <v>0</v>
      </c>
      <c r="F51" s="348">
        <v>0</v>
      </c>
      <c r="G51" s="348">
        <v>0</v>
      </c>
      <c r="H51" s="348">
        <v>0</v>
      </c>
      <c r="I51" s="348">
        <v>0</v>
      </c>
      <c r="J51" s="348">
        <v>0</v>
      </c>
      <c r="K51" s="348">
        <v>0</v>
      </c>
      <c r="L51" s="348">
        <v>0</v>
      </c>
      <c r="M51" s="348">
        <v>0</v>
      </c>
      <c r="N51" s="348">
        <v>0</v>
      </c>
      <c r="O51" s="348">
        <v>0</v>
      </c>
      <c r="P51" s="348">
        <v>0</v>
      </c>
      <c r="Q51" s="348">
        <v>0</v>
      </c>
      <c r="R51" s="348">
        <v>0</v>
      </c>
      <c r="S51" s="348">
        <v>11212476</v>
      </c>
      <c r="T51" s="348">
        <v>0</v>
      </c>
      <c r="U51" s="348">
        <v>11212476</v>
      </c>
      <c r="V51" s="348">
        <v>11212476</v>
      </c>
      <c r="W51" s="348">
        <v>11199600</v>
      </c>
      <c r="X51" s="348">
        <v>11199600</v>
      </c>
      <c r="Y51" s="348">
        <v>11199600</v>
      </c>
      <c r="Z51" s="348">
        <v>11199000</v>
      </c>
      <c r="AA51" s="348">
        <v>0</v>
      </c>
      <c r="AB51" s="348">
        <v>0</v>
      </c>
      <c r="AC51" s="348">
        <v>0</v>
      </c>
      <c r="AD51" s="348">
        <v>0</v>
      </c>
      <c r="AE51" s="348">
        <v>0</v>
      </c>
      <c r="AF51" s="348">
        <v>0</v>
      </c>
      <c r="AG51" s="348">
        <v>0</v>
      </c>
      <c r="AH51" s="348">
        <v>0</v>
      </c>
      <c r="AI51" s="348">
        <v>0</v>
      </c>
      <c r="AJ51" s="348">
        <v>0</v>
      </c>
      <c r="AK51" s="348">
        <v>0</v>
      </c>
      <c r="AL51" s="348">
        <v>0</v>
      </c>
      <c r="AM51" s="348">
        <v>0</v>
      </c>
      <c r="AN51" s="348">
        <v>0</v>
      </c>
      <c r="AO51" s="348">
        <v>0</v>
      </c>
      <c r="AP51" s="348">
        <v>0</v>
      </c>
      <c r="AQ51" s="348">
        <v>0</v>
      </c>
      <c r="AR51" s="348">
        <v>0</v>
      </c>
      <c r="AS51" s="348">
        <v>0</v>
      </c>
      <c r="AT51" s="348">
        <v>0</v>
      </c>
      <c r="AU51" s="348">
        <v>0</v>
      </c>
      <c r="AV51" s="348">
        <v>0</v>
      </c>
      <c r="AW51" s="348">
        <v>0</v>
      </c>
      <c r="AX51" s="348">
        <v>0</v>
      </c>
      <c r="AY51" s="348">
        <v>0</v>
      </c>
      <c r="AZ51" s="348">
        <v>0</v>
      </c>
      <c r="BA51" s="348">
        <v>0</v>
      </c>
      <c r="BB51" s="348">
        <v>0</v>
      </c>
      <c r="BC51" s="348">
        <v>0</v>
      </c>
      <c r="BD51" s="348">
        <v>0</v>
      </c>
      <c r="BE51" s="348">
        <v>0</v>
      </c>
      <c r="BF51" s="348">
        <v>0</v>
      </c>
      <c r="BG51" s="348">
        <v>0</v>
      </c>
      <c r="BH51" s="348">
        <v>0</v>
      </c>
      <c r="BI51" s="348">
        <v>0</v>
      </c>
      <c r="BJ51" s="348">
        <v>0</v>
      </c>
      <c r="BK51" s="348">
        <v>0</v>
      </c>
      <c r="BL51" s="348">
        <v>0</v>
      </c>
      <c r="BM51" s="348">
        <v>0</v>
      </c>
      <c r="BN51" s="348">
        <v>0</v>
      </c>
      <c r="BO51" s="348">
        <v>0</v>
      </c>
      <c r="BP51" s="348">
        <v>0</v>
      </c>
      <c r="BQ51" s="348">
        <v>0</v>
      </c>
      <c r="BR51" s="348">
        <v>0</v>
      </c>
      <c r="BS51" s="348">
        <v>0</v>
      </c>
      <c r="BT51" s="348">
        <v>0</v>
      </c>
      <c r="BU51" s="348">
        <v>0</v>
      </c>
      <c r="BV51" s="348">
        <v>0</v>
      </c>
      <c r="BW51" s="348">
        <v>0</v>
      </c>
      <c r="BX51" s="348">
        <v>0</v>
      </c>
      <c r="BY51" s="348">
        <v>0</v>
      </c>
      <c r="BZ51" s="348">
        <v>0</v>
      </c>
      <c r="CA51" s="348">
        <v>0</v>
      </c>
      <c r="CB51" s="348">
        <v>0</v>
      </c>
      <c r="CC51" s="348">
        <v>0</v>
      </c>
      <c r="CD51" s="348">
        <v>0</v>
      </c>
      <c r="CE51" s="348">
        <v>0</v>
      </c>
      <c r="CF51" s="348">
        <v>0</v>
      </c>
      <c r="CG51" s="348">
        <v>0</v>
      </c>
      <c r="CH51" s="348">
        <v>0</v>
      </c>
      <c r="CI51" s="348">
        <v>0</v>
      </c>
      <c r="CJ51" s="348">
        <v>0</v>
      </c>
      <c r="CK51" s="348">
        <v>0</v>
      </c>
      <c r="CL51" s="348">
        <v>0</v>
      </c>
      <c r="CM51" s="348">
        <v>0</v>
      </c>
      <c r="CN51" s="348">
        <v>0</v>
      </c>
      <c r="CO51" s="348">
        <v>0</v>
      </c>
      <c r="CP51" s="348">
        <v>0</v>
      </c>
      <c r="CQ51" s="348">
        <v>0</v>
      </c>
      <c r="CR51" s="348">
        <v>0</v>
      </c>
      <c r="CS51" s="348">
        <v>0</v>
      </c>
      <c r="CT51" s="348">
        <v>0</v>
      </c>
      <c r="CU51" s="348">
        <v>0</v>
      </c>
      <c r="CV51" s="348">
        <v>0</v>
      </c>
      <c r="CW51" s="348">
        <v>0</v>
      </c>
      <c r="CX51" s="348">
        <v>0</v>
      </c>
      <c r="CY51" s="348">
        <v>0</v>
      </c>
      <c r="CZ51" s="348">
        <v>0</v>
      </c>
      <c r="DA51" s="348">
        <v>0</v>
      </c>
      <c r="DB51" s="348">
        <v>0</v>
      </c>
      <c r="DC51" s="348">
        <v>0</v>
      </c>
      <c r="DD51" s="348">
        <v>0</v>
      </c>
      <c r="DE51" s="348">
        <v>0</v>
      </c>
      <c r="DF51" s="348">
        <v>0</v>
      </c>
      <c r="DG51" s="348">
        <v>0</v>
      </c>
      <c r="DH51" s="348">
        <v>0</v>
      </c>
      <c r="DI51" s="348">
        <v>0</v>
      </c>
      <c r="DJ51" s="348">
        <v>0</v>
      </c>
      <c r="DK51" s="348">
        <v>0</v>
      </c>
      <c r="DL51" s="348">
        <v>0</v>
      </c>
      <c r="DM51" s="348">
        <v>0</v>
      </c>
      <c r="DN51" s="348">
        <v>0</v>
      </c>
      <c r="DO51" s="348">
        <v>0</v>
      </c>
      <c r="DP51" s="348">
        <v>0</v>
      </c>
      <c r="DQ51" s="348">
        <v>0</v>
      </c>
      <c r="DR51" s="348">
        <v>0</v>
      </c>
      <c r="DS51" s="354">
        <v>2022</v>
      </c>
      <c r="DT51" s="354">
        <v>7</v>
      </c>
      <c r="DU51" s="354">
        <v>27</v>
      </c>
      <c r="DV51" s="345" t="s">
        <v>675</v>
      </c>
      <c r="DW51" s="345" t="s">
        <v>717</v>
      </c>
      <c r="DX51" s="345" t="s">
        <v>735</v>
      </c>
    </row>
    <row r="52" spans="1:128">
      <c r="A52" s="355">
        <v>77</v>
      </c>
      <c r="B52" s="348">
        <v>7275000</v>
      </c>
      <c r="C52" s="348">
        <v>0</v>
      </c>
      <c r="D52" s="348">
        <v>0</v>
      </c>
      <c r="E52" s="348">
        <v>0</v>
      </c>
      <c r="F52" s="348">
        <v>0</v>
      </c>
      <c r="G52" s="348">
        <v>0</v>
      </c>
      <c r="H52" s="348">
        <v>0</v>
      </c>
      <c r="I52" s="348">
        <v>0</v>
      </c>
      <c r="J52" s="348">
        <v>0</v>
      </c>
      <c r="K52" s="348">
        <v>0</v>
      </c>
      <c r="L52" s="348">
        <v>0</v>
      </c>
      <c r="M52" s="348">
        <v>0</v>
      </c>
      <c r="N52" s="348">
        <v>0</v>
      </c>
      <c r="O52" s="348">
        <v>0</v>
      </c>
      <c r="P52" s="348">
        <v>0</v>
      </c>
      <c r="Q52" s="348">
        <v>0</v>
      </c>
      <c r="R52" s="348">
        <v>0</v>
      </c>
      <c r="S52" s="348">
        <v>3004450</v>
      </c>
      <c r="T52" s="348">
        <v>0</v>
      </c>
      <c r="U52" s="348">
        <v>3004450</v>
      </c>
      <c r="V52" s="348">
        <v>3004450</v>
      </c>
      <c r="W52" s="348">
        <v>5929200</v>
      </c>
      <c r="X52" s="348">
        <v>3004450</v>
      </c>
      <c r="Y52" s="348">
        <v>3004450</v>
      </c>
      <c r="Z52" s="348">
        <v>3004000</v>
      </c>
      <c r="AA52" s="348">
        <v>4271832</v>
      </c>
      <c r="AB52" s="348">
        <v>0</v>
      </c>
      <c r="AC52" s="348">
        <v>4271832</v>
      </c>
      <c r="AD52" s="348">
        <v>4271832</v>
      </c>
      <c r="AE52" s="348">
        <v>4320000</v>
      </c>
      <c r="AF52" s="348">
        <v>4271832</v>
      </c>
      <c r="AG52" s="348">
        <v>4271832</v>
      </c>
      <c r="AH52" s="348">
        <v>4271000</v>
      </c>
      <c r="AI52" s="348">
        <v>0</v>
      </c>
      <c r="AJ52" s="348">
        <v>0</v>
      </c>
      <c r="AK52" s="348">
        <v>0</v>
      </c>
      <c r="AL52" s="348">
        <v>0</v>
      </c>
      <c r="AM52" s="348">
        <v>0</v>
      </c>
      <c r="AN52" s="348">
        <v>0</v>
      </c>
      <c r="AO52" s="348">
        <v>0</v>
      </c>
      <c r="AP52" s="348">
        <v>0</v>
      </c>
      <c r="AQ52" s="348">
        <v>0</v>
      </c>
      <c r="AR52" s="348">
        <v>0</v>
      </c>
      <c r="AS52" s="348">
        <v>0</v>
      </c>
      <c r="AT52" s="348">
        <v>0</v>
      </c>
      <c r="AU52" s="348">
        <v>0</v>
      </c>
      <c r="AV52" s="348">
        <v>0</v>
      </c>
      <c r="AW52" s="348">
        <v>0</v>
      </c>
      <c r="AX52" s="348">
        <v>0</v>
      </c>
      <c r="AY52" s="348">
        <v>0</v>
      </c>
      <c r="AZ52" s="348">
        <v>0</v>
      </c>
      <c r="BA52" s="348">
        <v>0</v>
      </c>
      <c r="BB52" s="348">
        <v>0</v>
      </c>
      <c r="BC52" s="348">
        <v>0</v>
      </c>
      <c r="BD52" s="348">
        <v>0</v>
      </c>
      <c r="BE52" s="348">
        <v>0</v>
      </c>
      <c r="BF52" s="348">
        <v>0</v>
      </c>
      <c r="BG52" s="348">
        <v>0</v>
      </c>
      <c r="BH52" s="348">
        <v>0</v>
      </c>
      <c r="BI52" s="348">
        <v>0</v>
      </c>
      <c r="BJ52" s="348">
        <v>0</v>
      </c>
      <c r="BK52" s="348">
        <v>0</v>
      </c>
      <c r="BL52" s="348">
        <v>0</v>
      </c>
      <c r="BM52" s="348">
        <v>0</v>
      </c>
      <c r="BN52" s="348">
        <v>0</v>
      </c>
      <c r="BO52" s="348">
        <v>0</v>
      </c>
      <c r="BP52" s="348">
        <v>0</v>
      </c>
      <c r="BQ52" s="348">
        <v>0</v>
      </c>
      <c r="BR52" s="348">
        <v>0</v>
      </c>
      <c r="BS52" s="348">
        <v>0</v>
      </c>
      <c r="BT52" s="348">
        <v>0</v>
      </c>
      <c r="BU52" s="348">
        <v>0</v>
      </c>
      <c r="BV52" s="348">
        <v>0</v>
      </c>
      <c r="BW52" s="348">
        <v>0</v>
      </c>
      <c r="BX52" s="348">
        <v>0</v>
      </c>
      <c r="BY52" s="348">
        <v>0</v>
      </c>
      <c r="BZ52" s="348">
        <v>0</v>
      </c>
      <c r="CA52" s="348">
        <v>0</v>
      </c>
      <c r="CB52" s="348">
        <v>0</v>
      </c>
      <c r="CC52" s="348">
        <v>0</v>
      </c>
      <c r="CD52" s="348">
        <v>0</v>
      </c>
      <c r="CE52" s="348">
        <v>0</v>
      </c>
      <c r="CF52" s="348">
        <v>0</v>
      </c>
      <c r="CG52" s="348">
        <v>0</v>
      </c>
      <c r="CH52" s="348">
        <v>0</v>
      </c>
      <c r="CI52" s="348">
        <v>0</v>
      </c>
      <c r="CJ52" s="348">
        <v>0</v>
      </c>
      <c r="CK52" s="348">
        <v>0</v>
      </c>
      <c r="CL52" s="348">
        <v>0</v>
      </c>
      <c r="CM52" s="348">
        <v>0</v>
      </c>
      <c r="CN52" s="348">
        <v>0</v>
      </c>
      <c r="CO52" s="348">
        <v>0</v>
      </c>
      <c r="CP52" s="348">
        <v>0</v>
      </c>
      <c r="CQ52" s="348">
        <v>0</v>
      </c>
      <c r="CR52" s="348">
        <v>0</v>
      </c>
      <c r="CS52" s="348">
        <v>0</v>
      </c>
      <c r="CT52" s="348">
        <v>0</v>
      </c>
      <c r="CU52" s="348">
        <v>0</v>
      </c>
      <c r="CV52" s="348">
        <v>0</v>
      </c>
      <c r="CW52" s="348">
        <v>0</v>
      </c>
      <c r="CX52" s="348">
        <v>0</v>
      </c>
      <c r="CY52" s="348">
        <v>0</v>
      </c>
      <c r="CZ52" s="348">
        <v>0</v>
      </c>
      <c r="DA52" s="348">
        <v>0</v>
      </c>
      <c r="DB52" s="348">
        <v>0</v>
      </c>
      <c r="DC52" s="348">
        <v>0</v>
      </c>
      <c r="DD52" s="348">
        <v>0</v>
      </c>
      <c r="DE52" s="348">
        <v>0</v>
      </c>
      <c r="DF52" s="348">
        <v>0</v>
      </c>
      <c r="DG52" s="348">
        <v>0</v>
      </c>
      <c r="DH52" s="348">
        <v>0</v>
      </c>
      <c r="DI52" s="348">
        <v>0</v>
      </c>
      <c r="DJ52" s="348">
        <v>0</v>
      </c>
      <c r="DK52" s="348">
        <v>0</v>
      </c>
      <c r="DL52" s="348">
        <v>0</v>
      </c>
      <c r="DM52" s="348">
        <v>0</v>
      </c>
      <c r="DN52" s="348">
        <v>0</v>
      </c>
      <c r="DO52" s="348">
        <v>0</v>
      </c>
      <c r="DP52" s="348">
        <v>0</v>
      </c>
      <c r="DQ52" s="348">
        <v>0</v>
      </c>
      <c r="DR52" s="348">
        <v>0</v>
      </c>
      <c r="DS52" s="354">
        <v>2022</v>
      </c>
      <c r="DT52" s="354">
        <v>7</v>
      </c>
      <c r="DU52" s="354">
        <v>27</v>
      </c>
      <c r="DV52" s="345" t="s">
        <v>718</v>
      </c>
      <c r="DW52" s="345" t="s">
        <v>719</v>
      </c>
      <c r="DX52" s="345" t="s">
        <v>735</v>
      </c>
    </row>
    <row r="53" spans="1:128">
      <c r="A53" s="355">
        <v>78</v>
      </c>
      <c r="B53" s="348">
        <v>1904000</v>
      </c>
      <c r="C53" s="348">
        <v>0</v>
      </c>
      <c r="D53" s="348">
        <v>0</v>
      </c>
      <c r="E53" s="348">
        <v>0</v>
      </c>
      <c r="F53" s="348">
        <v>0</v>
      </c>
      <c r="G53" s="348">
        <v>0</v>
      </c>
      <c r="H53" s="348">
        <v>0</v>
      </c>
      <c r="I53" s="348">
        <v>0</v>
      </c>
      <c r="J53" s="348">
        <v>0</v>
      </c>
      <c r="K53" s="348">
        <v>0</v>
      </c>
      <c r="L53" s="348">
        <v>0</v>
      </c>
      <c r="M53" s="348">
        <v>0</v>
      </c>
      <c r="N53" s="348">
        <v>0</v>
      </c>
      <c r="O53" s="348">
        <v>0</v>
      </c>
      <c r="P53" s="348">
        <v>0</v>
      </c>
      <c r="Q53" s="348">
        <v>0</v>
      </c>
      <c r="R53" s="348">
        <v>0</v>
      </c>
      <c r="S53" s="348">
        <v>804951</v>
      </c>
      <c r="T53" s="348">
        <v>0</v>
      </c>
      <c r="U53" s="348">
        <v>804951</v>
      </c>
      <c r="V53" s="348">
        <v>804951</v>
      </c>
      <c r="W53" s="348">
        <v>3952800</v>
      </c>
      <c r="X53" s="348">
        <v>804951</v>
      </c>
      <c r="Y53" s="348">
        <v>804951</v>
      </c>
      <c r="Z53" s="348">
        <v>804000</v>
      </c>
      <c r="AA53" s="348">
        <v>0</v>
      </c>
      <c r="AB53" s="348">
        <v>0</v>
      </c>
      <c r="AC53" s="348">
        <v>0</v>
      </c>
      <c r="AD53" s="348">
        <v>0</v>
      </c>
      <c r="AE53" s="348">
        <v>0</v>
      </c>
      <c r="AF53" s="348">
        <v>0</v>
      </c>
      <c r="AG53" s="348">
        <v>0</v>
      </c>
      <c r="AH53" s="348">
        <v>0</v>
      </c>
      <c r="AI53" s="348">
        <v>0</v>
      </c>
      <c r="AJ53" s="348">
        <v>0</v>
      </c>
      <c r="AK53" s="348">
        <v>0</v>
      </c>
      <c r="AL53" s="348">
        <v>0</v>
      </c>
      <c r="AM53" s="348">
        <v>0</v>
      </c>
      <c r="AN53" s="348">
        <v>0</v>
      </c>
      <c r="AO53" s="348">
        <v>0</v>
      </c>
      <c r="AP53" s="348">
        <v>0</v>
      </c>
      <c r="AQ53" s="348">
        <v>0</v>
      </c>
      <c r="AR53" s="348">
        <v>0</v>
      </c>
      <c r="AS53" s="348">
        <v>0</v>
      </c>
      <c r="AT53" s="348">
        <v>0</v>
      </c>
      <c r="AU53" s="348">
        <v>0</v>
      </c>
      <c r="AV53" s="348">
        <v>0</v>
      </c>
      <c r="AW53" s="348">
        <v>0</v>
      </c>
      <c r="AX53" s="348">
        <v>0</v>
      </c>
      <c r="AY53" s="348">
        <v>0</v>
      </c>
      <c r="AZ53" s="348">
        <v>0</v>
      </c>
      <c r="BA53" s="348">
        <v>0</v>
      </c>
      <c r="BB53" s="348">
        <v>0</v>
      </c>
      <c r="BC53" s="348">
        <v>0</v>
      </c>
      <c r="BD53" s="348">
        <v>0</v>
      </c>
      <c r="BE53" s="348">
        <v>0</v>
      </c>
      <c r="BF53" s="348">
        <v>0</v>
      </c>
      <c r="BG53" s="348">
        <v>0</v>
      </c>
      <c r="BH53" s="348">
        <v>0</v>
      </c>
      <c r="BI53" s="348">
        <v>0</v>
      </c>
      <c r="BJ53" s="348">
        <v>0</v>
      </c>
      <c r="BK53" s="348">
        <v>0</v>
      </c>
      <c r="BL53" s="348">
        <v>0</v>
      </c>
      <c r="BM53" s="348">
        <v>0</v>
      </c>
      <c r="BN53" s="348">
        <v>0</v>
      </c>
      <c r="BO53" s="348">
        <v>0</v>
      </c>
      <c r="BP53" s="348">
        <v>0</v>
      </c>
      <c r="BQ53" s="348">
        <v>0</v>
      </c>
      <c r="BR53" s="348">
        <v>0</v>
      </c>
      <c r="BS53" s="348">
        <v>0</v>
      </c>
      <c r="BT53" s="348">
        <v>0</v>
      </c>
      <c r="BU53" s="348">
        <v>0</v>
      </c>
      <c r="BV53" s="348">
        <v>0</v>
      </c>
      <c r="BW53" s="348">
        <v>0</v>
      </c>
      <c r="BX53" s="348">
        <v>0</v>
      </c>
      <c r="BY53" s="348">
        <v>0</v>
      </c>
      <c r="BZ53" s="348">
        <v>0</v>
      </c>
      <c r="CA53" s="348">
        <v>0</v>
      </c>
      <c r="CB53" s="348">
        <v>0</v>
      </c>
      <c r="CC53" s="348">
        <v>0</v>
      </c>
      <c r="CD53" s="348">
        <v>0</v>
      </c>
      <c r="CE53" s="348">
        <v>0</v>
      </c>
      <c r="CF53" s="348">
        <v>0</v>
      </c>
      <c r="CG53" s="348">
        <v>0</v>
      </c>
      <c r="CH53" s="348">
        <v>0</v>
      </c>
      <c r="CI53" s="348">
        <v>0</v>
      </c>
      <c r="CJ53" s="348">
        <v>0</v>
      </c>
      <c r="CK53" s="348">
        <v>0</v>
      </c>
      <c r="CL53" s="348">
        <v>0</v>
      </c>
      <c r="CM53" s="348">
        <v>0</v>
      </c>
      <c r="CN53" s="348">
        <v>0</v>
      </c>
      <c r="CO53" s="348">
        <v>0</v>
      </c>
      <c r="CP53" s="348">
        <v>0</v>
      </c>
      <c r="CQ53" s="348">
        <v>0</v>
      </c>
      <c r="CR53" s="348">
        <v>0</v>
      </c>
      <c r="CS53" s="348">
        <v>0</v>
      </c>
      <c r="CT53" s="348">
        <v>0</v>
      </c>
      <c r="CU53" s="348">
        <v>1382700</v>
      </c>
      <c r="CV53" s="348">
        <v>0</v>
      </c>
      <c r="CW53" s="348">
        <v>1382700</v>
      </c>
      <c r="CX53" s="348">
        <v>1382700</v>
      </c>
      <c r="CY53" s="348">
        <v>1100000</v>
      </c>
      <c r="CZ53" s="348">
        <v>1100000</v>
      </c>
      <c r="DA53" s="348">
        <v>1100000</v>
      </c>
      <c r="DB53" s="348">
        <v>1100000</v>
      </c>
      <c r="DC53" s="348">
        <v>0</v>
      </c>
      <c r="DD53" s="348">
        <v>0</v>
      </c>
      <c r="DE53" s="348">
        <v>0</v>
      </c>
      <c r="DF53" s="348">
        <v>0</v>
      </c>
      <c r="DG53" s="348">
        <v>0</v>
      </c>
      <c r="DH53" s="348">
        <v>0</v>
      </c>
      <c r="DI53" s="348">
        <v>0</v>
      </c>
      <c r="DJ53" s="348">
        <v>0</v>
      </c>
      <c r="DK53" s="348">
        <v>0</v>
      </c>
      <c r="DL53" s="348">
        <v>0</v>
      </c>
      <c r="DM53" s="348">
        <v>0</v>
      </c>
      <c r="DN53" s="348">
        <v>0</v>
      </c>
      <c r="DO53" s="348">
        <v>0</v>
      </c>
      <c r="DP53" s="348">
        <v>0</v>
      </c>
      <c r="DQ53" s="348">
        <v>0</v>
      </c>
      <c r="DR53" s="348">
        <v>0</v>
      </c>
      <c r="DS53" s="354">
        <v>2022</v>
      </c>
      <c r="DT53" s="354">
        <v>7</v>
      </c>
      <c r="DU53" s="354">
        <v>27</v>
      </c>
      <c r="DV53" s="345" t="s">
        <v>720</v>
      </c>
      <c r="DW53" s="345" t="s">
        <v>721</v>
      </c>
      <c r="DX53" s="345" t="s">
        <v>735</v>
      </c>
    </row>
    <row r="54" spans="1:128">
      <c r="A54" s="355">
        <v>79</v>
      </c>
      <c r="B54" s="348">
        <v>38389000</v>
      </c>
      <c r="C54" s="348">
        <v>0</v>
      </c>
      <c r="D54" s="348">
        <v>0</v>
      </c>
      <c r="E54" s="348">
        <v>0</v>
      </c>
      <c r="F54" s="348">
        <v>0</v>
      </c>
      <c r="G54" s="348">
        <v>0</v>
      </c>
      <c r="H54" s="348">
        <v>0</v>
      </c>
      <c r="I54" s="348">
        <v>0</v>
      </c>
      <c r="J54" s="348">
        <v>0</v>
      </c>
      <c r="K54" s="348">
        <v>0</v>
      </c>
      <c r="L54" s="348">
        <v>0</v>
      </c>
      <c r="M54" s="348">
        <v>0</v>
      </c>
      <c r="N54" s="348">
        <v>0</v>
      </c>
      <c r="O54" s="348">
        <v>0</v>
      </c>
      <c r="P54" s="348">
        <v>0</v>
      </c>
      <c r="Q54" s="348">
        <v>0</v>
      </c>
      <c r="R54" s="348">
        <v>0</v>
      </c>
      <c r="S54" s="348">
        <v>5407610</v>
      </c>
      <c r="T54" s="348">
        <v>0</v>
      </c>
      <c r="U54" s="348">
        <v>5407610</v>
      </c>
      <c r="V54" s="348">
        <v>5407610</v>
      </c>
      <c r="W54" s="348">
        <v>23058000</v>
      </c>
      <c r="X54" s="348">
        <v>5407610</v>
      </c>
      <c r="Y54" s="348">
        <v>5407610</v>
      </c>
      <c r="Z54" s="348">
        <v>5407000</v>
      </c>
      <c r="AA54" s="348">
        <v>0</v>
      </c>
      <c r="AB54" s="348">
        <v>0</v>
      </c>
      <c r="AC54" s="348">
        <v>0</v>
      </c>
      <c r="AD54" s="348">
        <v>0</v>
      </c>
      <c r="AE54" s="348">
        <v>0</v>
      </c>
      <c r="AF54" s="348">
        <v>0</v>
      </c>
      <c r="AG54" s="348">
        <v>0</v>
      </c>
      <c r="AH54" s="348">
        <v>0</v>
      </c>
      <c r="AI54" s="348">
        <v>0</v>
      </c>
      <c r="AJ54" s="348">
        <v>0</v>
      </c>
      <c r="AK54" s="348">
        <v>0</v>
      </c>
      <c r="AL54" s="348">
        <v>0</v>
      </c>
      <c r="AM54" s="348">
        <v>0</v>
      </c>
      <c r="AN54" s="348">
        <v>0</v>
      </c>
      <c r="AO54" s="348">
        <v>0</v>
      </c>
      <c r="AP54" s="348">
        <v>0</v>
      </c>
      <c r="AQ54" s="348">
        <v>32982926</v>
      </c>
      <c r="AR54" s="348">
        <v>0</v>
      </c>
      <c r="AS54" s="348">
        <v>32982926</v>
      </c>
      <c r="AT54" s="348">
        <v>32982926</v>
      </c>
      <c r="AU54" s="348">
        <v>32982926</v>
      </c>
      <c r="AV54" s="348">
        <v>32982926</v>
      </c>
      <c r="AW54" s="348">
        <v>32982926</v>
      </c>
      <c r="AX54" s="348">
        <v>32982000</v>
      </c>
      <c r="AY54" s="348">
        <v>0</v>
      </c>
      <c r="AZ54" s="348">
        <v>0</v>
      </c>
      <c r="BA54" s="348">
        <v>0</v>
      </c>
      <c r="BB54" s="348">
        <v>0</v>
      </c>
      <c r="BC54" s="348">
        <v>0</v>
      </c>
      <c r="BD54" s="348">
        <v>0</v>
      </c>
      <c r="BE54" s="348">
        <v>0</v>
      </c>
      <c r="BF54" s="348">
        <v>0</v>
      </c>
      <c r="BG54" s="348">
        <v>0</v>
      </c>
      <c r="BH54" s="348">
        <v>0</v>
      </c>
      <c r="BI54" s="348">
        <v>0</v>
      </c>
      <c r="BJ54" s="348">
        <v>0</v>
      </c>
      <c r="BK54" s="348">
        <v>0</v>
      </c>
      <c r="BL54" s="348">
        <v>0</v>
      </c>
      <c r="BM54" s="348">
        <v>0</v>
      </c>
      <c r="BN54" s="348">
        <v>0</v>
      </c>
      <c r="BO54" s="348">
        <v>0</v>
      </c>
      <c r="BP54" s="348">
        <v>0</v>
      </c>
      <c r="BQ54" s="348">
        <v>0</v>
      </c>
      <c r="BR54" s="348">
        <v>0</v>
      </c>
      <c r="BS54" s="348">
        <v>0</v>
      </c>
      <c r="BT54" s="348">
        <v>0</v>
      </c>
      <c r="BU54" s="348">
        <v>0</v>
      </c>
      <c r="BV54" s="348">
        <v>0</v>
      </c>
      <c r="BW54" s="348">
        <v>0</v>
      </c>
      <c r="BX54" s="348">
        <v>0</v>
      </c>
      <c r="BY54" s="348">
        <v>0</v>
      </c>
      <c r="BZ54" s="348">
        <v>0</v>
      </c>
      <c r="CA54" s="348">
        <v>0</v>
      </c>
      <c r="CB54" s="348">
        <v>0</v>
      </c>
      <c r="CC54" s="348">
        <v>0</v>
      </c>
      <c r="CD54" s="348">
        <v>0</v>
      </c>
      <c r="CE54" s="348">
        <v>0</v>
      </c>
      <c r="CF54" s="348">
        <v>0</v>
      </c>
      <c r="CG54" s="348">
        <v>0</v>
      </c>
      <c r="CH54" s="348">
        <v>0</v>
      </c>
      <c r="CI54" s="348">
        <v>0</v>
      </c>
      <c r="CJ54" s="348">
        <v>0</v>
      </c>
      <c r="CK54" s="348">
        <v>0</v>
      </c>
      <c r="CL54" s="348">
        <v>0</v>
      </c>
      <c r="CM54" s="348">
        <v>0</v>
      </c>
      <c r="CN54" s="348">
        <v>0</v>
      </c>
      <c r="CO54" s="348">
        <v>0</v>
      </c>
      <c r="CP54" s="348">
        <v>0</v>
      </c>
      <c r="CQ54" s="348">
        <v>0</v>
      </c>
      <c r="CR54" s="348">
        <v>0</v>
      </c>
      <c r="CS54" s="348">
        <v>0</v>
      </c>
      <c r="CT54" s="348">
        <v>0</v>
      </c>
      <c r="CU54" s="348">
        <v>0</v>
      </c>
      <c r="CV54" s="348">
        <v>0</v>
      </c>
      <c r="CW54" s="348">
        <v>0</v>
      </c>
      <c r="CX54" s="348">
        <v>0</v>
      </c>
      <c r="CY54" s="348">
        <v>0</v>
      </c>
      <c r="CZ54" s="348">
        <v>0</v>
      </c>
      <c r="DA54" s="348">
        <v>0</v>
      </c>
      <c r="DB54" s="348">
        <v>0</v>
      </c>
      <c r="DC54" s="348">
        <v>0</v>
      </c>
      <c r="DD54" s="348">
        <v>0</v>
      </c>
      <c r="DE54" s="348">
        <v>0</v>
      </c>
      <c r="DF54" s="348">
        <v>0</v>
      </c>
      <c r="DG54" s="348">
        <v>0</v>
      </c>
      <c r="DH54" s="348">
        <v>0</v>
      </c>
      <c r="DI54" s="348">
        <v>0</v>
      </c>
      <c r="DJ54" s="348">
        <v>0</v>
      </c>
      <c r="DK54" s="348">
        <v>0</v>
      </c>
      <c r="DL54" s="348">
        <v>0</v>
      </c>
      <c r="DM54" s="348">
        <v>0</v>
      </c>
      <c r="DN54" s="348">
        <v>0</v>
      </c>
      <c r="DO54" s="348">
        <v>0</v>
      </c>
      <c r="DP54" s="348">
        <v>0</v>
      </c>
      <c r="DQ54" s="348">
        <v>0</v>
      </c>
      <c r="DR54" s="348">
        <v>0</v>
      </c>
      <c r="DS54" s="354">
        <v>2022</v>
      </c>
      <c r="DT54" s="354">
        <v>7</v>
      </c>
      <c r="DU54" s="354">
        <v>27</v>
      </c>
      <c r="DV54" s="345" t="s">
        <v>675</v>
      </c>
      <c r="DW54" s="345" t="s">
        <v>722</v>
      </c>
      <c r="DX54" s="345" t="s">
        <v>736</v>
      </c>
    </row>
    <row r="55" spans="1:128">
      <c r="A55" s="355">
        <v>80</v>
      </c>
      <c r="B55" s="348">
        <v>3840000</v>
      </c>
      <c r="C55" s="348">
        <v>0</v>
      </c>
      <c r="D55" s="348">
        <v>0</v>
      </c>
      <c r="E55" s="348">
        <v>0</v>
      </c>
      <c r="F55" s="348">
        <v>0</v>
      </c>
      <c r="G55" s="348">
        <v>0</v>
      </c>
      <c r="H55" s="348">
        <v>0</v>
      </c>
      <c r="I55" s="348">
        <v>0</v>
      </c>
      <c r="J55" s="348">
        <v>0</v>
      </c>
      <c r="K55" s="348">
        <v>0</v>
      </c>
      <c r="L55" s="348">
        <v>0</v>
      </c>
      <c r="M55" s="348">
        <v>0</v>
      </c>
      <c r="N55" s="348">
        <v>0</v>
      </c>
      <c r="O55" s="348">
        <v>0</v>
      </c>
      <c r="P55" s="348">
        <v>0</v>
      </c>
      <c r="Q55" s="348">
        <v>0</v>
      </c>
      <c r="R55" s="348">
        <v>0</v>
      </c>
      <c r="S55" s="348">
        <v>2740985</v>
      </c>
      <c r="T55" s="348">
        <v>0</v>
      </c>
      <c r="U55" s="348">
        <v>2740985</v>
      </c>
      <c r="V55" s="348">
        <v>2740985</v>
      </c>
      <c r="W55" s="348">
        <v>17787600</v>
      </c>
      <c r="X55" s="348">
        <v>2740985</v>
      </c>
      <c r="Y55" s="348">
        <v>2740985</v>
      </c>
      <c r="Z55" s="348">
        <v>2740000</v>
      </c>
      <c r="AA55" s="348">
        <v>0</v>
      </c>
      <c r="AB55" s="348">
        <v>0</v>
      </c>
      <c r="AC55" s="348">
        <v>0</v>
      </c>
      <c r="AD55" s="348">
        <v>0</v>
      </c>
      <c r="AE55" s="348">
        <v>0</v>
      </c>
      <c r="AF55" s="348">
        <v>0</v>
      </c>
      <c r="AG55" s="348">
        <v>0</v>
      </c>
      <c r="AH55" s="348">
        <v>0</v>
      </c>
      <c r="AI55" s="348">
        <v>0</v>
      </c>
      <c r="AJ55" s="348">
        <v>0</v>
      </c>
      <c r="AK55" s="348">
        <v>0</v>
      </c>
      <c r="AL55" s="348">
        <v>0</v>
      </c>
      <c r="AM55" s="348">
        <v>0</v>
      </c>
      <c r="AN55" s="348">
        <v>0</v>
      </c>
      <c r="AO55" s="348">
        <v>0</v>
      </c>
      <c r="AP55" s="348">
        <v>0</v>
      </c>
      <c r="AQ55" s="348">
        <v>0</v>
      </c>
      <c r="AR55" s="348">
        <v>0</v>
      </c>
      <c r="AS55" s="348">
        <v>0</v>
      </c>
      <c r="AT55" s="348">
        <v>0</v>
      </c>
      <c r="AU55" s="348">
        <v>0</v>
      </c>
      <c r="AV55" s="348">
        <v>0</v>
      </c>
      <c r="AW55" s="348">
        <v>0</v>
      </c>
      <c r="AX55" s="348">
        <v>0</v>
      </c>
      <c r="AY55" s="348">
        <v>0</v>
      </c>
      <c r="AZ55" s="348">
        <v>0</v>
      </c>
      <c r="BA55" s="348">
        <v>0</v>
      </c>
      <c r="BB55" s="348">
        <v>0</v>
      </c>
      <c r="BC55" s="348">
        <v>0</v>
      </c>
      <c r="BD55" s="348">
        <v>0</v>
      </c>
      <c r="BE55" s="348">
        <v>0</v>
      </c>
      <c r="BF55" s="348">
        <v>0</v>
      </c>
      <c r="BG55" s="348">
        <v>0</v>
      </c>
      <c r="BH55" s="348">
        <v>0</v>
      </c>
      <c r="BI55" s="348">
        <v>0</v>
      </c>
      <c r="BJ55" s="348">
        <v>0</v>
      </c>
      <c r="BK55" s="348">
        <v>0</v>
      </c>
      <c r="BL55" s="348">
        <v>0</v>
      </c>
      <c r="BM55" s="348">
        <v>0</v>
      </c>
      <c r="BN55" s="348">
        <v>0</v>
      </c>
      <c r="BO55" s="348">
        <v>0</v>
      </c>
      <c r="BP55" s="348">
        <v>0</v>
      </c>
      <c r="BQ55" s="348">
        <v>0</v>
      </c>
      <c r="BR55" s="348">
        <v>0</v>
      </c>
      <c r="BS55" s="348">
        <v>0</v>
      </c>
      <c r="BT55" s="348">
        <v>0</v>
      </c>
      <c r="BU55" s="348">
        <v>0</v>
      </c>
      <c r="BV55" s="348">
        <v>0</v>
      </c>
      <c r="BW55" s="348">
        <v>0</v>
      </c>
      <c r="BX55" s="348">
        <v>0</v>
      </c>
      <c r="BY55" s="348">
        <v>0</v>
      </c>
      <c r="BZ55" s="348">
        <v>0</v>
      </c>
      <c r="CA55" s="348">
        <v>0</v>
      </c>
      <c r="CB55" s="348">
        <v>0</v>
      </c>
      <c r="CC55" s="348">
        <v>0</v>
      </c>
      <c r="CD55" s="348">
        <v>0</v>
      </c>
      <c r="CE55" s="348">
        <v>0</v>
      </c>
      <c r="CF55" s="348">
        <v>0</v>
      </c>
      <c r="CG55" s="348">
        <v>0</v>
      </c>
      <c r="CH55" s="348">
        <v>0</v>
      </c>
      <c r="CI55" s="348">
        <v>0</v>
      </c>
      <c r="CJ55" s="348">
        <v>0</v>
      </c>
      <c r="CK55" s="348">
        <v>0</v>
      </c>
      <c r="CL55" s="348">
        <v>0</v>
      </c>
      <c r="CM55" s="348">
        <v>0</v>
      </c>
      <c r="CN55" s="348">
        <v>0</v>
      </c>
      <c r="CO55" s="348">
        <v>0</v>
      </c>
      <c r="CP55" s="348">
        <v>0</v>
      </c>
      <c r="CQ55" s="348">
        <v>0</v>
      </c>
      <c r="CR55" s="348">
        <v>0</v>
      </c>
      <c r="CS55" s="348">
        <v>0</v>
      </c>
      <c r="CT55" s="348">
        <v>0</v>
      </c>
      <c r="CU55" s="348">
        <v>1100000</v>
      </c>
      <c r="CV55" s="348">
        <v>0</v>
      </c>
      <c r="CW55" s="348">
        <v>1100000</v>
      </c>
      <c r="CX55" s="348">
        <v>1100000</v>
      </c>
      <c r="CY55" s="348">
        <v>1100000</v>
      </c>
      <c r="CZ55" s="348">
        <v>1100000</v>
      </c>
      <c r="DA55" s="348">
        <v>1100000</v>
      </c>
      <c r="DB55" s="348">
        <v>1100000</v>
      </c>
      <c r="DC55" s="348">
        <v>0</v>
      </c>
      <c r="DD55" s="348">
        <v>0</v>
      </c>
      <c r="DE55" s="348">
        <v>0</v>
      </c>
      <c r="DF55" s="348">
        <v>0</v>
      </c>
      <c r="DG55" s="348">
        <v>0</v>
      </c>
      <c r="DH55" s="348">
        <v>0</v>
      </c>
      <c r="DI55" s="348">
        <v>0</v>
      </c>
      <c r="DJ55" s="348">
        <v>0</v>
      </c>
      <c r="DK55" s="348">
        <v>0</v>
      </c>
      <c r="DL55" s="348">
        <v>0</v>
      </c>
      <c r="DM55" s="348">
        <v>0</v>
      </c>
      <c r="DN55" s="348">
        <v>0</v>
      </c>
      <c r="DO55" s="348">
        <v>0</v>
      </c>
      <c r="DP55" s="348">
        <v>0</v>
      </c>
      <c r="DQ55" s="348">
        <v>0</v>
      </c>
      <c r="DR55" s="348">
        <v>0</v>
      </c>
      <c r="DS55" s="354">
        <v>2022</v>
      </c>
      <c r="DT55" s="354">
        <v>7</v>
      </c>
      <c r="DU55" s="354">
        <v>27</v>
      </c>
      <c r="DV55" s="345" t="s">
        <v>723</v>
      </c>
      <c r="DW55" s="345" t="s">
        <v>706</v>
      </c>
      <c r="DX55" s="345" t="s">
        <v>735</v>
      </c>
    </row>
    <row r="56" spans="1:128">
      <c r="A56" s="355">
        <v>81</v>
      </c>
      <c r="B56" s="348">
        <v>21247000</v>
      </c>
      <c r="C56" s="348">
        <v>0</v>
      </c>
      <c r="D56" s="348">
        <v>0</v>
      </c>
      <c r="E56" s="348">
        <v>0</v>
      </c>
      <c r="F56" s="348">
        <v>0</v>
      </c>
      <c r="G56" s="348">
        <v>0</v>
      </c>
      <c r="H56" s="348">
        <v>0</v>
      </c>
      <c r="I56" s="348">
        <v>0</v>
      </c>
      <c r="J56" s="348">
        <v>0</v>
      </c>
      <c r="K56" s="348">
        <v>0</v>
      </c>
      <c r="L56" s="348">
        <v>0</v>
      </c>
      <c r="M56" s="348">
        <v>0</v>
      </c>
      <c r="N56" s="348">
        <v>0</v>
      </c>
      <c r="O56" s="348">
        <v>0</v>
      </c>
      <c r="P56" s="348">
        <v>0</v>
      </c>
      <c r="Q56" s="348">
        <v>0</v>
      </c>
      <c r="R56" s="348">
        <v>0</v>
      </c>
      <c r="S56" s="348">
        <v>2255463</v>
      </c>
      <c r="T56" s="348">
        <v>0</v>
      </c>
      <c r="U56" s="348">
        <v>2255463</v>
      </c>
      <c r="V56" s="348">
        <v>2255463</v>
      </c>
      <c r="W56" s="348">
        <v>6588000</v>
      </c>
      <c r="X56" s="348">
        <v>2255463</v>
      </c>
      <c r="Y56" s="348">
        <v>2255463</v>
      </c>
      <c r="Z56" s="348">
        <v>2255000</v>
      </c>
      <c r="AA56" s="348">
        <v>0</v>
      </c>
      <c r="AB56" s="348">
        <v>0</v>
      </c>
      <c r="AC56" s="348">
        <v>0</v>
      </c>
      <c r="AD56" s="348">
        <v>0</v>
      </c>
      <c r="AE56" s="348">
        <v>0</v>
      </c>
      <c r="AF56" s="348">
        <v>0</v>
      </c>
      <c r="AG56" s="348">
        <v>0</v>
      </c>
      <c r="AH56" s="348">
        <v>0</v>
      </c>
      <c r="AI56" s="348">
        <v>0</v>
      </c>
      <c r="AJ56" s="348">
        <v>0</v>
      </c>
      <c r="AK56" s="348">
        <v>0</v>
      </c>
      <c r="AL56" s="348">
        <v>0</v>
      </c>
      <c r="AM56" s="348">
        <v>0</v>
      </c>
      <c r="AN56" s="348">
        <v>0</v>
      </c>
      <c r="AO56" s="348">
        <v>0</v>
      </c>
      <c r="AP56" s="348">
        <v>0</v>
      </c>
      <c r="AQ56" s="348">
        <v>0</v>
      </c>
      <c r="AR56" s="348">
        <v>0</v>
      </c>
      <c r="AS56" s="348">
        <v>0</v>
      </c>
      <c r="AT56" s="348">
        <v>0</v>
      </c>
      <c r="AU56" s="348">
        <v>0</v>
      </c>
      <c r="AV56" s="348">
        <v>0</v>
      </c>
      <c r="AW56" s="348">
        <v>0</v>
      </c>
      <c r="AX56" s="348">
        <v>0</v>
      </c>
      <c r="AY56" s="348">
        <v>0</v>
      </c>
      <c r="AZ56" s="348">
        <v>0</v>
      </c>
      <c r="BA56" s="348">
        <v>0</v>
      </c>
      <c r="BB56" s="348">
        <v>0</v>
      </c>
      <c r="BC56" s="348">
        <v>0</v>
      </c>
      <c r="BD56" s="348">
        <v>0</v>
      </c>
      <c r="BE56" s="348">
        <v>0</v>
      </c>
      <c r="BF56" s="348">
        <v>0</v>
      </c>
      <c r="BG56" s="348">
        <v>0</v>
      </c>
      <c r="BH56" s="348">
        <v>0</v>
      </c>
      <c r="BI56" s="348">
        <v>0</v>
      </c>
      <c r="BJ56" s="348">
        <v>0</v>
      </c>
      <c r="BK56" s="348">
        <v>0</v>
      </c>
      <c r="BL56" s="348">
        <v>0</v>
      </c>
      <c r="BM56" s="348">
        <v>0</v>
      </c>
      <c r="BN56" s="348">
        <v>0</v>
      </c>
      <c r="BO56" s="348">
        <v>10538000</v>
      </c>
      <c r="BP56" s="348">
        <v>0</v>
      </c>
      <c r="BQ56" s="348">
        <v>10538000</v>
      </c>
      <c r="BR56" s="348">
        <v>10538000</v>
      </c>
      <c r="BS56" s="348">
        <v>11000000</v>
      </c>
      <c r="BT56" s="348">
        <v>10538000</v>
      </c>
      <c r="BU56" s="348">
        <v>10538000</v>
      </c>
      <c r="BV56" s="348">
        <v>10538000</v>
      </c>
      <c r="BW56" s="348">
        <v>0</v>
      </c>
      <c r="BX56" s="348">
        <v>0</v>
      </c>
      <c r="BY56" s="348">
        <v>0</v>
      </c>
      <c r="BZ56" s="348">
        <v>0</v>
      </c>
      <c r="CA56" s="348">
        <v>0</v>
      </c>
      <c r="CB56" s="348">
        <v>0</v>
      </c>
      <c r="CC56" s="348">
        <v>0</v>
      </c>
      <c r="CD56" s="348">
        <v>0</v>
      </c>
      <c r="CE56" s="348">
        <v>0</v>
      </c>
      <c r="CF56" s="348">
        <v>0</v>
      </c>
      <c r="CG56" s="348">
        <v>0</v>
      </c>
      <c r="CH56" s="348">
        <v>0</v>
      </c>
      <c r="CI56" s="348">
        <v>0</v>
      </c>
      <c r="CJ56" s="348">
        <v>0</v>
      </c>
      <c r="CK56" s="348">
        <v>0</v>
      </c>
      <c r="CL56" s="348">
        <v>0</v>
      </c>
      <c r="CM56" s="348">
        <v>0</v>
      </c>
      <c r="CN56" s="348">
        <v>0</v>
      </c>
      <c r="CO56" s="348">
        <v>0</v>
      </c>
      <c r="CP56" s="348">
        <v>0</v>
      </c>
      <c r="CQ56" s="348">
        <v>0</v>
      </c>
      <c r="CR56" s="348">
        <v>0</v>
      </c>
      <c r="CS56" s="348">
        <v>0</v>
      </c>
      <c r="CT56" s="348">
        <v>0</v>
      </c>
      <c r="CU56" s="348">
        <v>8752000</v>
      </c>
      <c r="CV56" s="348">
        <v>0</v>
      </c>
      <c r="CW56" s="348">
        <v>8752000</v>
      </c>
      <c r="CX56" s="348">
        <v>8752000</v>
      </c>
      <c r="CY56" s="348">
        <v>8800000</v>
      </c>
      <c r="CZ56" s="348">
        <v>8454710</v>
      </c>
      <c r="DA56" s="348">
        <v>8454710</v>
      </c>
      <c r="DB56" s="348">
        <v>8454000</v>
      </c>
      <c r="DC56" s="348">
        <v>0</v>
      </c>
      <c r="DD56" s="348">
        <v>0</v>
      </c>
      <c r="DE56" s="348">
        <v>0</v>
      </c>
      <c r="DF56" s="348">
        <v>0</v>
      </c>
      <c r="DG56" s="348">
        <v>0</v>
      </c>
      <c r="DH56" s="348">
        <v>0</v>
      </c>
      <c r="DI56" s="348">
        <v>0</v>
      </c>
      <c r="DJ56" s="348">
        <v>0</v>
      </c>
      <c r="DK56" s="348">
        <v>0</v>
      </c>
      <c r="DL56" s="348">
        <v>0</v>
      </c>
      <c r="DM56" s="348">
        <v>0</v>
      </c>
      <c r="DN56" s="348">
        <v>0</v>
      </c>
      <c r="DO56" s="348">
        <v>0</v>
      </c>
      <c r="DP56" s="348">
        <v>0</v>
      </c>
      <c r="DQ56" s="348">
        <v>0</v>
      </c>
      <c r="DR56" s="348">
        <v>0</v>
      </c>
      <c r="DS56" s="354">
        <v>2022</v>
      </c>
      <c r="DT56" s="354">
        <v>7</v>
      </c>
      <c r="DU56" s="354">
        <v>27</v>
      </c>
      <c r="DV56" s="345" t="s">
        <v>724</v>
      </c>
      <c r="DW56" s="345" t="s">
        <v>699</v>
      </c>
      <c r="DX56" s="345" t="s">
        <v>735</v>
      </c>
    </row>
    <row r="57" spans="1:128">
      <c r="A57" s="355">
        <v>82</v>
      </c>
      <c r="B57" s="348">
        <v>13298000</v>
      </c>
      <c r="C57" s="348">
        <v>0</v>
      </c>
      <c r="D57" s="348">
        <v>0</v>
      </c>
      <c r="E57" s="348">
        <v>0</v>
      </c>
      <c r="F57" s="348">
        <v>0</v>
      </c>
      <c r="G57" s="348">
        <v>0</v>
      </c>
      <c r="H57" s="348">
        <v>0</v>
      </c>
      <c r="I57" s="348">
        <v>0</v>
      </c>
      <c r="J57" s="348">
        <v>0</v>
      </c>
      <c r="K57" s="348">
        <v>0</v>
      </c>
      <c r="L57" s="348">
        <v>0</v>
      </c>
      <c r="M57" s="348">
        <v>0</v>
      </c>
      <c r="N57" s="348">
        <v>0</v>
      </c>
      <c r="O57" s="348">
        <v>0</v>
      </c>
      <c r="P57" s="348">
        <v>0</v>
      </c>
      <c r="Q57" s="348">
        <v>0</v>
      </c>
      <c r="R57" s="348">
        <v>0</v>
      </c>
      <c r="S57" s="348">
        <v>0</v>
      </c>
      <c r="T57" s="348">
        <v>0</v>
      </c>
      <c r="U57" s="348">
        <v>0</v>
      </c>
      <c r="V57" s="348">
        <v>0</v>
      </c>
      <c r="W57" s="348">
        <v>0</v>
      </c>
      <c r="X57" s="348">
        <v>0</v>
      </c>
      <c r="Y57" s="348">
        <v>0</v>
      </c>
      <c r="Z57" s="348">
        <v>0</v>
      </c>
      <c r="AA57" s="348">
        <v>0</v>
      </c>
      <c r="AB57" s="348">
        <v>0</v>
      </c>
      <c r="AC57" s="348">
        <v>0</v>
      </c>
      <c r="AD57" s="348">
        <v>0</v>
      </c>
      <c r="AE57" s="348">
        <v>0</v>
      </c>
      <c r="AF57" s="348">
        <v>0</v>
      </c>
      <c r="AG57" s="348">
        <v>0</v>
      </c>
      <c r="AH57" s="348">
        <v>0</v>
      </c>
      <c r="AI57" s="348">
        <v>0</v>
      </c>
      <c r="AJ57" s="348">
        <v>0</v>
      </c>
      <c r="AK57" s="348">
        <v>0</v>
      </c>
      <c r="AL57" s="348">
        <v>0</v>
      </c>
      <c r="AM57" s="348">
        <v>0</v>
      </c>
      <c r="AN57" s="348">
        <v>0</v>
      </c>
      <c r="AO57" s="348">
        <v>0</v>
      </c>
      <c r="AP57" s="348">
        <v>0</v>
      </c>
      <c r="AQ57" s="348">
        <v>0</v>
      </c>
      <c r="AR57" s="348">
        <v>0</v>
      </c>
      <c r="AS57" s="348">
        <v>0</v>
      </c>
      <c r="AT57" s="348">
        <v>0</v>
      </c>
      <c r="AU57" s="348">
        <v>0</v>
      </c>
      <c r="AV57" s="348">
        <v>0</v>
      </c>
      <c r="AW57" s="348">
        <v>0</v>
      </c>
      <c r="AX57" s="348">
        <v>0</v>
      </c>
      <c r="AY57" s="348">
        <v>0</v>
      </c>
      <c r="AZ57" s="348">
        <v>0</v>
      </c>
      <c r="BA57" s="348">
        <v>0</v>
      </c>
      <c r="BB57" s="348">
        <v>0</v>
      </c>
      <c r="BC57" s="348">
        <v>0</v>
      </c>
      <c r="BD57" s="348">
        <v>0</v>
      </c>
      <c r="BE57" s="348">
        <v>0</v>
      </c>
      <c r="BF57" s="348">
        <v>0</v>
      </c>
      <c r="BG57" s="348">
        <v>0</v>
      </c>
      <c r="BH57" s="348">
        <v>0</v>
      </c>
      <c r="BI57" s="348">
        <v>0</v>
      </c>
      <c r="BJ57" s="348">
        <v>0</v>
      </c>
      <c r="BK57" s="348">
        <v>0</v>
      </c>
      <c r="BL57" s="348">
        <v>0</v>
      </c>
      <c r="BM57" s="348">
        <v>0</v>
      </c>
      <c r="BN57" s="348">
        <v>0</v>
      </c>
      <c r="BO57" s="348">
        <v>8799109</v>
      </c>
      <c r="BP57" s="348">
        <v>0</v>
      </c>
      <c r="BQ57" s="348">
        <v>8799109</v>
      </c>
      <c r="BR57" s="348">
        <v>8799109</v>
      </c>
      <c r="BS57" s="348">
        <v>22000000</v>
      </c>
      <c r="BT57" s="348">
        <v>8799109</v>
      </c>
      <c r="BU57" s="348">
        <v>8799109</v>
      </c>
      <c r="BV57" s="348">
        <v>8799000</v>
      </c>
      <c r="BW57" s="348">
        <v>0</v>
      </c>
      <c r="BX57" s="348">
        <v>0</v>
      </c>
      <c r="BY57" s="348">
        <v>0</v>
      </c>
      <c r="BZ57" s="348">
        <v>0</v>
      </c>
      <c r="CA57" s="348">
        <v>0</v>
      </c>
      <c r="CB57" s="348">
        <v>0</v>
      </c>
      <c r="CC57" s="348">
        <v>0</v>
      </c>
      <c r="CD57" s="348">
        <v>0</v>
      </c>
      <c r="CE57" s="348">
        <v>0</v>
      </c>
      <c r="CF57" s="348">
        <v>0</v>
      </c>
      <c r="CG57" s="348">
        <v>0</v>
      </c>
      <c r="CH57" s="348">
        <v>0</v>
      </c>
      <c r="CI57" s="348">
        <v>0</v>
      </c>
      <c r="CJ57" s="348">
        <v>0</v>
      </c>
      <c r="CK57" s="348">
        <v>0</v>
      </c>
      <c r="CL57" s="348">
        <v>0</v>
      </c>
      <c r="CM57" s="348">
        <v>0</v>
      </c>
      <c r="CN57" s="348">
        <v>0</v>
      </c>
      <c r="CO57" s="348">
        <v>0</v>
      </c>
      <c r="CP57" s="348">
        <v>0</v>
      </c>
      <c r="CQ57" s="348">
        <v>0</v>
      </c>
      <c r="CR57" s="348">
        <v>0</v>
      </c>
      <c r="CS57" s="348">
        <v>0</v>
      </c>
      <c r="CT57" s="348">
        <v>0</v>
      </c>
      <c r="CU57" s="348">
        <v>4499000</v>
      </c>
      <c r="CV57" s="348">
        <v>0</v>
      </c>
      <c r="CW57" s="348">
        <v>4499000</v>
      </c>
      <c r="CX57" s="348">
        <v>4499000</v>
      </c>
      <c r="CY57" s="348">
        <v>5500000</v>
      </c>
      <c r="CZ57" s="348">
        <v>4499000</v>
      </c>
      <c r="DA57" s="348">
        <v>4499000</v>
      </c>
      <c r="DB57" s="348">
        <v>4499000</v>
      </c>
      <c r="DC57" s="348">
        <v>0</v>
      </c>
      <c r="DD57" s="348">
        <v>0</v>
      </c>
      <c r="DE57" s="348">
        <v>0</v>
      </c>
      <c r="DF57" s="348">
        <v>0</v>
      </c>
      <c r="DG57" s="348">
        <v>0</v>
      </c>
      <c r="DH57" s="348">
        <v>0</v>
      </c>
      <c r="DI57" s="348">
        <v>0</v>
      </c>
      <c r="DJ57" s="348">
        <v>0</v>
      </c>
      <c r="DK57" s="348">
        <v>0</v>
      </c>
      <c r="DL57" s="348">
        <v>0</v>
      </c>
      <c r="DM57" s="348">
        <v>0</v>
      </c>
      <c r="DN57" s="348">
        <v>0</v>
      </c>
      <c r="DO57" s="348">
        <v>0</v>
      </c>
      <c r="DP57" s="348">
        <v>0</v>
      </c>
      <c r="DQ57" s="348">
        <v>0</v>
      </c>
      <c r="DR57" s="348">
        <v>0</v>
      </c>
      <c r="DS57" s="354">
        <v>2022</v>
      </c>
      <c r="DT57" s="354">
        <v>7</v>
      </c>
      <c r="DU57" s="354">
        <v>27</v>
      </c>
      <c r="DV57" s="345" t="s">
        <v>725</v>
      </c>
      <c r="DW57" s="345" t="s">
        <v>726</v>
      </c>
      <c r="DX57" s="345" t="s">
        <v>735</v>
      </c>
    </row>
    <row r="58" spans="1:128">
      <c r="A58" s="355">
        <v>83</v>
      </c>
      <c r="B58" s="348">
        <v>5500000</v>
      </c>
      <c r="C58" s="348">
        <v>0</v>
      </c>
      <c r="D58" s="348">
        <v>0</v>
      </c>
      <c r="E58" s="348">
        <v>0</v>
      </c>
      <c r="F58" s="348">
        <v>0</v>
      </c>
      <c r="G58" s="348">
        <v>0</v>
      </c>
      <c r="H58" s="348">
        <v>0</v>
      </c>
      <c r="I58" s="348">
        <v>0</v>
      </c>
      <c r="J58" s="348">
        <v>0</v>
      </c>
      <c r="K58" s="348">
        <v>0</v>
      </c>
      <c r="L58" s="348">
        <v>0</v>
      </c>
      <c r="M58" s="348">
        <v>0</v>
      </c>
      <c r="N58" s="348">
        <v>0</v>
      </c>
      <c r="O58" s="348">
        <v>0</v>
      </c>
      <c r="P58" s="348">
        <v>0</v>
      </c>
      <c r="Q58" s="348">
        <v>0</v>
      </c>
      <c r="R58" s="348">
        <v>0</v>
      </c>
      <c r="S58" s="348">
        <v>0</v>
      </c>
      <c r="T58" s="348">
        <v>0</v>
      </c>
      <c r="U58" s="348">
        <v>0</v>
      </c>
      <c r="V58" s="348">
        <v>0</v>
      </c>
      <c r="W58" s="348">
        <v>0</v>
      </c>
      <c r="X58" s="348">
        <v>0</v>
      </c>
      <c r="Y58" s="348">
        <v>0</v>
      </c>
      <c r="Z58" s="348">
        <v>0</v>
      </c>
      <c r="AA58" s="348">
        <v>0</v>
      </c>
      <c r="AB58" s="348">
        <v>0</v>
      </c>
      <c r="AC58" s="348">
        <v>0</v>
      </c>
      <c r="AD58" s="348">
        <v>0</v>
      </c>
      <c r="AE58" s="348">
        <v>0</v>
      </c>
      <c r="AF58" s="348">
        <v>0</v>
      </c>
      <c r="AG58" s="348">
        <v>0</v>
      </c>
      <c r="AH58" s="348">
        <v>0</v>
      </c>
      <c r="AI58" s="348">
        <v>0</v>
      </c>
      <c r="AJ58" s="348">
        <v>0</v>
      </c>
      <c r="AK58" s="348">
        <v>0</v>
      </c>
      <c r="AL58" s="348">
        <v>0</v>
      </c>
      <c r="AM58" s="348">
        <v>0</v>
      </c>
      <c r="AN58" s="348">
        <v>0</v>
      </c>
      <c r="AO58" s="348">
        <v>0</v>
      </c>
      <c r="AP58" s="348">
        <v>0</v>
      </c>
      <c r="AQ58" s="348">
        <v>0</v>
      </c>
      <c r="AR58" s="348">
        <v>0</v>
      </c>
      <c r="AS58" s="348">
        <v>0</v>
      </c>
      <c r="AT58" s="348">
        <v>0</v>
      </c>
      <c r="AU58" s="348">
        <v>0</v>
      </c>
      <c r="AV58" s="348">
        <v>0</v>
      </c>
      <c r="AW58" s="348">
        <v>0</v>
      </c>
      <c r="AX58" s="348">
        <v>0</v>
      </c>
      <c r="AY58" s="348">
        <v>0</v>
      </c>
      <c r="AZ58" s="348">
        <v>0</v>
      </c>
      <c r="BA58" s="348">
        <v>0</v>
      </c>
      <c r="BB58" s="348">
        <v>0</v>
      </c>
      <c r="BC58" s="348">
        <v>0</v>
      </c>
      <c r="BD58" s="348">
        <v>0</v>
      </c>
      <c r="BE58" s="348">
        <v>0</v>
      </c>
      <c r="BF58" s="348">
        <v>0</v>
      </c>
      <c r="BG58" s="348">
        <v>0</v>
      </c>
      <c r="BH58" s="348">
        <v>0</v>
      </c>
      <c r="BI58" s="348">
        <v>0</v>
      </c>
      <c r="BJ58" s="348">
        <v>0</v>
      </c>
      <c r="BK58" s="348">
        <v>0</v>
      </c>
      <c r="BL58" s="348">
        <v>0</v>
      </c>
      <c r="BM58" s="348">
        <v>0</v>
      </c>
      <c r="BN58" s="348">
        <v>0</v>
      </c>
      <c r="BO58" s="348">
        <v>5500000</v>
      </c>
      <c r="BP58" s="348">
        <v>0</v>
      </c>
      <c r="BQ58" s="348">
        <v>5500000</v>
      </c>
      <c r="BR58" s="348">
        <v>5500000</v>
      </c>
      <c r="BS58" s="348">
        <v>11000000</v>
      </c>
      <c r="BT58" s="348">
        <v>5500000</v>
      </c>
      <c r="BU58" s="348">
        <v>5500000</v>
      </c>
      <c r="BV58" s="348">
        <v>5500000</v>
      </c>
      <c r="BW58" s="348">
        <v>0</v>
      </c>
      <c r="BX58" s="348">
        <v>0</v>
      </c>
      <c r="BY58" s="348">
        <v>0</v>
      </c>
      <c r="BZ58" s="348">
        <v>0</v>
      </c>
      <c r="CA58" s="348">
        <v>0</v>
      </c>
      <c r="CB58" s="348">
        <v>0</v>
      </c>
      <c r="CC58" s="348">
        <v>0</v>
      </c>
      <c r="CD58" s="348">
        <v>0</v>
      </c>
      <c r="CE58" s="348">
        <v>0</v>
      </c>
      <c r="CF58" s="348">
        <v>0</v>
      </c>
      <c r="CG58" s="348">
        <v>0</v>
      </c>
      <c r="CH58" s="348">
        <v>0</v>
      </c>
      <c r="CI58" s="348">
        <v>0</v>
      </c>
      <c r="CJ58" s="348">
        <v>0</v>
      </c>
      <c r="CK58" s="348">
        <v>0</v>
      </c>
      <c r="CL58" s="348">
        <v>0</v>
      </c>
      <c r="CM58" s="348">
        <v>0</v>
      </c>
      <c r="CN58" s="348">
        <v>0</v>
      </c>
      <c r="CO58" s="348">
        <v>0</v>
      </c>
      <c r="CP58" s="348">
        <v>0</v>
      </c>
      <c r="CQ58" s="348">
        <v>0</v>
      </c>
      <c r="CR58" s="348">
        <v>0</v>
      </c>
      <c r="CS58" s="348">
        <v>0</v>
      </c>
      <c r="CT58" s="348">
        <v>0</v>
      </c>
      <c r="CU58" s="348">
        <v>0</v>
      </c>
      <c r="CV58" s="348">
        <v>0</v>
      </c>
      <c r="CW58" s="348">
        <v>0</v>
      </c>
      <c r="CX58" s="348">
        <v>0</v>
      </c>
      <c r="CY58" s="348">
        <v>0</v>
      </c>
      <c r="CZ58" s="348">
        <v>0</v>
      </c>
      <c r="DA58" s="348">
        <v>0</v>
      </c>
      <c r="DB58" s="348">
        <v>0</v>
      </c>
      <c r="DC58" s="348">
        <v>0</v>
      </c>
      <c r="DD58" s="348">
        <v>0</v>
      </c>
      <c r="DE58" s="348">
        <v>0</v>
      </c>
      <c r="DF58" s="348">
        <v>0</v>
      </c>
      <c r="DG58" s="348">
        <v>0</v>
      </c>
      <c r="DH58" s="348">
        <v>0</v>
      </c>
      <c r="DI58" s="348">
        <v>0</v>
      </c>
      <c r="DJ58" s="348">
        <v>0</v>
      </c>
      <c r="DK58" s="348">
        <v>0</v>
      </c>
      <c r="DL58" s="348">
        <v>0</v>
      </c>
      <c r="DM58" s="348">
        <v>0</v>
      </c>
      <c r="DN58" s="348">
        <v>0</v>
      </c>
      <c r="DO58" s="348">
        <v>0</v>
      </c>
      <c r="DP58" s="348">
        <v>0</v>
      </c>
      <c r="DQ58" s="348">
        <v>0</v>
      </c>
      <c r="DR58" s="348">
        <v>0</v>
      </c>
      <c r="DS58" s="354">
        <v>2022</v>
      </c>
      <c r="DT58" s="354">
        <v>7</v>
      </c>
      <c r="DU58" s="354">
        <v>27</v>
      </c>
      <c r="DV58" s="345" t="s">
        <v>675</v>
      </c>
      <c r="DW58" s="345" t="s">
        <v>727</v>
      </c>
      <c r="DX58" s="345" t="s">
        <v>735</v>
      </c>
    </row>
    <row r="59" spans="1:128">
      <c r="A59" s="355">
        <v>84</v>
      </c>
      <c r="B59" s="348">
        <v>22904000</v>
      </c>
      <c r="C59" s="348">
        <v>0</v>
      </c>
      <c r="D59" s="348">
        <v>0</v>
      </c>
      <c r="E59" s="348">
        <v>0</v>
      </c>
      <c r="F59" s="348">
        <v>0</v>
      </c>
      <c r="G59" s="348">
        <v>0</v>
      </c>
      <c r="H59" s="348">
        <v>0</v>
      </c>
      <c r="I59" s="348">
        <v>0</v>
      </c>
      <c r="J59" s="348">
        <v>0</v>
      </c>
      <c r="K59" s="348">
        <v>4400000</v>
      </c>
      <c r="L59" s="348">
        <v>0</v>
      </c>
      <c r="M59" s="348">
        <v>4400000</v>
      </c>
      <c r="N59" s="348">
        <v>4400000</v>
      </c>
      <c r="O59" s="348">
        <v>4400000</v>
      </c>
      <c r="P59" s="348">
        <v>4400000</v>
      </c>
      <c r="Q59" s="348">
        <v>4400000</v>
      </c>
      <c r="R59" s="348">
        <v>4400000</v>
      </c>
      <c r="S59" s="348">
        <v>4094860</v>
      </c>
      <c r="T59" s="348">
        <v>0</v>
      </c>
      <c r="U59" s="348">
        <v>4094860</v>
      </c>
      <c r="V59" s="348">
        <v>4094860</v>
      </c>
      <c r="W59" s="348">
        <v>30304800</v>
      </c>
      <c r="X59" s="348">
        <v>4094860</v>
      </c>
      <c r="Y59" s="348">
        <v>4094860</v>
      </c>
      <c r="Z59" s="348">
        <v>4094000</v>
      </c>
      <c r="AA59" s="348">
        <v>0</v>
      </c>
      <c r="AB59" s="348">
        <v>0</v>
      </c>
      <c r="AC59" s="348">
        <v>0</v>
      </c>
      <c r="AD59" s="348">
        <v>0</v>
      </c>
      <c r="AE59" s="348">
        <v>0</v>
      </c>
      <c r="AF59" s="348">
        <v>0</v>
      </c>
      <c r="AG59" s="348">
        <v>0</v>
      </c>
      <c r="AH59" s="348">
        <v>0</v>
      </c>
      <c r="AI59" s="348">
        <v>0</v>
      </c>
      <c r="AJ59" s="348">
        <v>0</v>
      </c>
      <c r="AK59" s="348">
        <v>0</v>
      </c>
      <c r="AL59" s="348">
        <v>0</v>
      </c>
      <c r="AM59" s="348">
        <v>0</v>
      </c>
      <c r="AN59" s="348">
        <v>0</v>
      </c>
      <c r="AO59" s="348">
        <v>0</v>
      </c>
      <c r="AP59" s="348">
        <v>0</v>
      </c>
      <c r="AQ59" s="348">
        <v>0</v>
      </c>
      <c r="AR59" s="348">
        <v>0</v>
      </c>
      <c r="AS59" s="348">
        <v>0</v>
      </c>
      <c r="AT59" s="348">
        <v>0</v>
      </c>
      <c r="AU59" s="348">
        <v>0</v>
      </c>
      <c r="AV59" s="348">
        <v>0</v>
      </c>
      <c r="AW59" s="348">
        <v>0</v>
      </c>
      <c r="AX59" s="348">
        <v>0</v>
      </c>
      <c r="AY59" s="348">
        <v>0</v>
      </c>
      <c r="AZ59" s="348">
        <v>0</v>
      </c>
      <c r="BA59" s="348">
        <v>0</v>
      </c>
      <c r="BB59" s="348">
        <v>0</v>
      </c>
      <c r="BC59" s="348">
        <v>0</v>
      </c>
      <c r="BD59" s="348">
        <v>0</v>
      </c>
      <c r="BE59" s="348">
        <v>0</v>
      </c>
      <c r="BF59" s="348">
        <v>0</v>
      </c>
      <c r="BG59" s="348">
        <v>0</v>
      </c>
      <c r="BH59" s="348">
        <v>0</v>
      </c>
      <c r="BI59" s="348">
        <v>0</v>
      </c>
      <c r="BJ59" s="348">
        <v>0</v>
      </c>
      <c r="BK59" s="348">
        <v>0</v>
      </c>
      <c r="BL59" s="348">
        <v>0</v>
      </c>
      <c r="BM59" s="348">
        <v>0</v>
      </c>
      <c r="BN59" s="348">
        <v>0</v>
      </c>
      <c r="BO59" s="348">
        <v>9790000</v>
      </c>
      <c r="BP59" s="348">
        <v>0</v>
      </c>
      <c r="BQ59" s="348">
        <v>9790000</v>
      </c>
      <c r="BR59" s="348">
        <v>9790000</v>
      </c>
      <c r="BS59" s="348">
        <v>11000000</v>
      </c>
      <c r="BT59" s="348">
        <v>9790000</v>
      </c>
      <c r="BU59" s="348">
        <v>9790000</v>
      </c>
      <c r="BV59" s="348">
        <v>9790000</v>
      </c>
      <c r="BW59" s="348">
        <v>3520000</v>
      </c>
      <c r="BX59" s="348">
        <v>0</v>
      </c>
      <c r="BY59" s="348">
        <v>3520000</v>
      </c>
      <c r="BZ59" s="348">
        <v>3520000</v>
      </c>
      <c r="CA59" s="348">
        <v>6600000</v>
      </c>
      <c r="CB59" s="348">
        <v>3520000</v>
      </c>
      <c r="CC59" s="348">
        <v>3520000</v>
      </c>
      <c r="CD59" s="348">
        <v>3520000</v>
      </c>
      <c r="CE59" s="348">
        <v>0</v>
      </c>
      <c r="CF59" s="348">
        <v>0</v>
      </c>
      <c r="CG59" s="348">
        <v>0</v>
      </c>
      <c r="CH59" s="348">
        <v>0</v>
      </c>
      <c r="CI59" s="348">
        <v>0</v>
      </c>
      <c r="CJ59" s="348">
        <v>0</v>
      </c>
      <c r="CK59" s="348">
        <v>0</v>
      </c>
      <c r="CL59" s="348">
        <v>0</v>
      </c>
      <c r="CM59" s="348">
        <v>0</v>
      </c>
      <c r="CN59" s="348">
        <v>0</v>
      </c>
      <c r="CO59" s="348">
        <v>0</v>
      </c>
      <c r="CP59" s="348">
        <v>0</v>
      </c>
      <c r="CQ59" s="348">
        <v>0</v>
      </c>
      <c r="CR59" s="348">
        <v>0</v>
      </c>
      <c r="CS59" s="348">
        <v>0</v>
      </c>
      <c r="CT59" s="348">
        <v>0</v>
      </c>
      <c r="CU59" s="348">
        <v>1100000</v>
      </c>
      <c r="CV59" s="348">
        <v>0</v>
      </c>
      <c r="CW59" s="348">
        <v>1100000</v>
      </c>
      <c r="CX59" s="348">
        <v>1100000</v>
      </c>
      <c r="CY59" s="348">
        <v>1100000</v>
      </c>
      <c r="CZ59" s="348">
        <v>1100000</v>
      </c>
      <c r="DA59" s="348">
        <v>1100000</v>
      </c>
      <c r="DB59" s="348">
        <v>1100000</v>
      </c>
      <c r="DC59" s="348">
        <v>0</v>
      </c>
      <c r="DD59" s="348">
        <v>0</v>
      </c>
      <c r="DE59" s="348">
        <v>0</v>
      </c>
      <c r="DF59" s="348">
        <v>0</v>
      </c>
      <c r="DG59" s="348">
        <v>0</v>
      </c>
      <c r="DH59" s="348">
        <v>0</v>
      </c>
      <c r="DI59" s="348">
        <v>0</v>
      </c>
      <c r="DJ59" s="348">
        <v>0</v>
      </c>
      <c r="DK59" s="348">
        <v>0</v>
      </c>
      <c r="DL59" s="348">
        <v>0</v>
      </c>
      <c r="DM59" s="348">
        <v>0</v>
      </c>
      <c r="DN59" s="348">
        <v>0</v>
      </c>
      <c r="DO59" s="348">
        <v>0</v>
      </c>
      <c r="DP59" s="348">
        <v>0</v>
      </c>
      <c r="DQ59" s="348">
        <v>0</v>
      </c>
      <c r="DR59" s="348">
        <v>0</v>
      </c>
      <c r="DS59" s="354">
        <v>2022</v>
      </c>
      <c r="DT59" s="354">
        <v>7</v>
      </c>
      <c r="DU59" s="354">
        <v>27</v>
      </c>
      <c r="DV59" s="345" t="s">
        <v>675</v>
      </c>
      <c r="DW59" s="345" t="s">
        <v>728</v>
      </c>
      <c r="DX59" s="345" t="s">
        <v>735</v>
      </c>
    </row>
    <row r="60" spans="1:128">
      <c r="A60" s="355">
        <v>86</v>
      </c>
      <c r="B60" s="348">
        <v>22518000</v>
      </c>
      <c r="C60" s="348">
        <v>0</v>
      </c>
      <c r="D60" s="348">
        <v>0</v>
      </c>
      <c r="E60" s="348">
        <v>0</v>
      </c>
      <c r="F60" s="348">
        <v>0</v>
      </c>
      <c r="G60" s="348">
        <v>0</v>
      </c>
      <c r="H60" s="348">
        <v>0</v>
      </c>
      <c r="I60" s="348">
        <v>0</v>
      </c>
      <c r="J60" s="348">
        <v>0</v>
      </c>
      <c r="K60" s="348">
        <v>0</v>
      </c>
      <c r="L60" s="348">
        <v>0</v>
      </c>
      <c r="M60" s="348">
        <v>0</v>
      </c>
      <c r="N60" s="348">
        <v>0</v>
      </c>
      <c r="O60" s="348">
        <v>0</v>
      </c>
      <c r="P60" s="348">
        <v>0</v>
      </c>
      <c r="Q60" s="348">
        <v>0</v>
      </c>
      <c r="R60" s="348">
        <v>0</v>
      </c>
      <c r="S60" s="348">
        <v>32906317</v>
      </c>
      <c r="T60" s="348">
        <v>0</v>
      </c>
      <c r="U60" s="348">
        <v>32906317</v>
      </c>
      <c r="V60" s="348">
        <v>32906317</v>
      </c>
      <c r="W60" s="348">
        <v>17128800</v>
      </c>
      <c r="X60" s="348">
        <v>17128800</v>
      </c>
      <c r="Y60" s="348">
        <v>17128800</v>
      </c>
      <c r="Z60" s="348">
        <v>17128000</v>
      </c>
      <c r="AA60" s="348">
        <v>0</v>
      </c>
      <c r="AB60" s="348">
        <v>0</v>
      </c>
      <c r="AC60" s="348">
        <v>0</v>
      </c>
      <c r="AD60" s="348">
        <v>0</v>
      </c>
      <c r="AE60" s="348">
        <v>0</v>
      </c>
      <c r="AF60" s="348">
        <v>0</v>
      </c>
      <c r="AG60" s="348">
        <v>0</v>
      </c>
      <c r="AH60" s="348">
        <v>0</v>
      </c>
      <c r="AI60" s="348">
        <v>0</v>
      </c>
      <c r="AJ60" s="348">
        <v>0</v>
      </c>
      <c r="AK60" s="348">
        <v>0</v>
      </c>
      <c r="AL60" s="348">
        <v>0</v>
      </c>
      <c r="AM60" s="348">
        <v>0</v>
      </c>
      <c r="AN60" s="348">
        <v>0</v>
      </c>
      <c r="AO60" s="348">
        <v>0</v>
      </c>
      <c r="AP60" s="348">
        <v>0</v>
      </c>
      <c r="AQ60" s="348">
        <v>0</v>
      </c>
      <c r="AR60" s="348">
        <v>0</v>
      </c>
      <c r="AS60" s="348">
        <v>0</v>
      </c>
      <c r="AT60" s="348">
        <v>0</v>
      </c>
      <c r="AU60" s="348">
        <v>0</v>
      </c>
      <c r="AV60" s="348">
        <v>0</v>
      </c>
      <c r="AW60" s="348">
        <v>0</v>
      </c>
      <c r="AX60" s="348">
        <v>0</v>
      </c>
      <c r="AY60" s="348">
        <v>0</v>
      </c>
      <c r="AZ60" s="348">
        <v>0</v>
      </c>
      <c r="BA60" s="348">
        <v>0</v>
      </c>
      <c r="BB60" s="348">
        <v>0</v>
      </c>
      <c r="BC60" s="348">
        <v>0</v>
      </c>
      <c r="BD60" s="348">
        <v>0</v>
      </c>
      <c r="BE60" s="348">
        <v>0</v>
      </c>
      <c r="BF60" s="348">
        <v>0</v>
      </c>
      <c r="BG60" s="348">
        <v>0</v>
      </c>
      <c r="BH60" s="348">
        <v>0</v>
      </c>
      <c r="BI60" s="348">
        <v>0</v>
      </c>
      <c r="BJ60" s="348">
        <v>0</v>
      </c>
      <c r="BK60" s="348">
        <v>0</v>
      </c>
      <c r="BL60" s="348">
        <v>0</v>
      </c>
      <c r="BM60" s="348">
        <v>0</v>
      </c>
      <c r="BN60" s="348">
        <v>0</v>
      </c>
      <c r="BO60" s="348">
        <v>0</v>
      </c>
      <c r="BP60" s="348">
        <v>0</v>
      </c>
      <c r="BQ60" s="348">
        <v>0</v>
      </c>
      <c r="BR60" s="348">
        <v>0</v>
      </c>
      <c r="BS60" s="348">
        <v>0</v>
      </c>
      <c r="BT60" s="348">
        <v>0</v>
      </c>
      <c r="BU60" s="348">
        <v>0</v>
      </c>
      <c r="BV60" s="348">
        <v>0</v>
      </c>
      <c r="BW60" s="348">
        <v>5390000</v>
      </c>
      <c r="BX60" s="348">
        <v>0</v>
      </c>
      <c r="BY60" s="348">
        <v>5390000</v>
      </c>
      <c r="BZ60" s="348">
        <v>5390000</v>
      </c>
      <c r="CA60" s="348">
        <v>6600000</v>
      </c>
      <c r="CB60" s="348">
        <v>5390000</v>
      </c>
      <c r="CC60" s="348">
        <v>5390000</v>
      </c>
      <c r="CD60" s="348">
        <v>5390000</v>
      </c>
      <c r="CE60" s="348">
        <v>0</v>
      </c>
      <c r="CF60" s="348">
        <v>0</v>
      </c>
      <c r="CG60" s="348">
        <v>0</v>
      </c>
      <c r="CH60" s="348">
        <v>0</v>
      </c>
      <c r="CI60" s="348">
        <v>0</v>
      </c>
      <c r="CJ60" s="348">
        <v>0</v>
      </c>
      <c r="CK60" s="348">
        <v>0</v>
      </c>
      <c r="CL60" s="348">
        <v>0</v>
      </c>
      <c r="CM60" s="348">
        <v>0</v>
      </c>
      <c r="CN60" s="348">
        <v>0</v>
      </c>
      <c r="CO60" s="348">
        <v>0</v>
      </c>
      <c r="CP60" s="348">
        <v>0</v>
      </c>
      <c r="CQ60" s="348">
        <v>0</v>
      </c>
      <c r="CR60" s="348">
        <v>0</v>
      </c>
      <c r="CS60" s="348">
        <v>0</v>
      </c>
      <c r="CT60" s="348">
        <v>0</v>
      </c>
      <c r="CU60" s="348">
        <v>0</v>
      </c>
      <c r="CV60" s="348">
        <v>0</v>
      </c>
      <c r="CW60" s="348">
        <v>0</v>
      </c>
      <c r="CX60" s="348">
        <v>0</v>
      </c>
      <c r="CY60" s="348">
        <v>0</v>
      </c>
      <c r="CZ60" s="348">
        <v>0</v>
      </c>
      <c r="DA60" s="348">
        <v>0</v>
      </c>
      <c r="DB60" s="348">
        <v>0</v>
      </c>
      <c r="DC60" s="348">
        <v>0</v>
      </c>
      <c r="DD60" s="348">
        <v>0</v>
      </c>
      <c r="DE60" s="348">
        <v>0</v>
      </c>
      <c r="DF60" s="348">
        <v>0</v>
      </c>
      <c r="DG60" s="348">
        <v>0</v>
      </c>
      <c r="DH60" s="348">
        <v>0</v>
      </c>
      <c r="DI60" s="348">
        <v>0</v>
      </c>
      <c r="DJ60" s="348">
        <v>0</v>
      </c>
      <c r="DK60" s="348">
        <v>0</v>
      </c>
      <c r="DL60" s="348">
        <v>0</v>
      </c>
      <c r="DM60" s="348">
        <v>0</v>
      </c>
      <c r="DN60" s="348">
        <v>0</v>
      </c>
      <c r="DO60" s="348">
        <v>0</v>
      </c>
      <c r="DP60" s="348">
        <v>0</v>
      </c>
      <c r="DQ60" s="348">
        <v>0</v>
      </c>
      <c r="DR60" s="348">
        <v>0</v>
      </c>
      <c r="DS60" s="354">
        <v>2022</v>
      </c>
      <c r="DT60" s="354">
        <v>7</v>
      </c>
      <c r="DU60" s="354">
        <v>27</v>
      </c>
      <c r="DV60" s="345" t="s">
        <v>675</v>
      </c>
      <c r="DW60" s="345" t="s">
        <v>727</v>
      </c>
      <c r="DX60" s="345" t="s">
        <v>735</v>
      </c>
    </row>
    <row r="61" spans="1:128">
      <c r="A61" s="355">
        <v>87</v>
      </c>
      <c r="B61" s="348">
        <v>11261000</v>
      </c>
      <c r="C61" s="348">
        <v>0</v>
      </c>
      <c r="D61" s="348">
        <v>0</v>
      </c>
      <c r="E61" s="348">
        <v>0</v>
      </c>
      <c r="F61" s="348">
        <v>0</v>
      </c>
      <c r="G61" s="348">
        <v>0</v>
      </c>
      <c r="H61" s="348">
        <v>0</v>
      </c>
      <c r="I61" s="348">
        <v>0</v>
      </c>
      <c r="J61" s="348">
        <v>0</v>
      </c>
      <c r="K61" s="348">
        <v>0</v>
      </c>
      <c r="L61" s="348">
        <v>0</v>
      </c>
      <c r="M61" s="348">
        <v>0</v>
      </c>
      <c r="N61" s="348">
        <v>0</v>
      </c>
      <c r="O61" s="348">
        <v>0</v>
      </c>
      <c r="P61" s="348">
        <v>0</v>
      </c>
      <c r="Q61" s="348">
        <v>0</v>
      </c>
      <c r="R61" s="348">
        <v>0</v>
      </c>
      <c r="S61" s="348">
        <v>2534227</v>
      </c>
      <c r="T61" s="348">
        <v>0</v>
      </c>
      <c r="U61" s="348">
        <v>2534227</v>
      </c>
      <c r="V61" s="348">
        <v>2534227</v>
      </c>
      <c r="W61" s="348">
        <v>3952800</v>
      </c>
      <c r="X61" s="348">
        <v>2534227</v>
      </c>
      <c r="Y61" s="348">
        <v>2534227</v>
      </c>
      <c r="Z61" s="348">
        <v>2534000</v>
      </c>
      <c r="AA61" s="348">
        <v>0</v>
      </c>
      <c r="AB61" s="348">
        <v>0</v>
      </c>
      <c r="AC61" s="348">
        <v>0</v>
      </c>
      <c r="AD61" s="348">
        <v>0</v>
      </c>
      <c r="AE61" s="348">
        <v>0</v>
      </c>
      <c r="AF61" s="348">
        <v>0</v>
      </c>
      <c r="AG61" s="348">
        <v>0</v>
      </c>
      <c r="AH61" s="348">
        <v>0</v>
      </c>
      <c r="AI61" s="348">
        <v>0</v>
      </c>
      <c r="AJ61" s="348">
        <v>0</v>
      </c>
      <c r="AK61" s="348">
        <v>0</v>
      </c>
      <c r="AL61" s="348">
        <v>0</v>
      </c>
      <c r="AM61" s="348">
        <v>0</v>
      </c>
      <c r="AN61" s="348">
        <v>0</v>
      </c>
      <c r="AO61" s="348">
        <v>0</v>
      </c>
      <c r="AP61" s="348">
        <v>0</v>
      </c>
      <c r="AQ61" s="348">
        <v>0</v>
      </c>
      <c r="AR61" s="348">
        <v>0</v>
      </c>
      <c r="AS61" s="348">
        <v>0</v>
      </c>
      <c r="AT61" s="348">
        <v>0</v>
      </c>
      <c r="AU61" s="348">
        <v>0</v>
      </c>
      <c r="AV61" s="348">
        <v>0</v>
      </c>
      <c r="AW61" s="348">
        <v>0</v>
      </c>
      <c r="AX61" s="348">
        <v>0</v>
      </c>
      <c r="AY61" s="348">
        <v>0</v>
      </c>
      <c r="AZ61" s="348">
        <v>0</v>
      </c>
      <c r="BA61" s="348">
        <v>0</v>
      </c>
      <c r="BB61" s="348">
        <v>0</v>
      </c>
      <c r="BC61" s="348">
        <v>0</v>
      </c>
      <c r="BD61" s="348">
        <v>0</v>
      </c>
      <c r="BE61" s="348">
        <v>0</v>
      </c>
      <c r="BF61" s="348">
        <v>0</v>
      </c>
      <c r="BG61" s="348">
        <v>0</v>
      </c>
      <c r="BH61" s="348">
        <v>0</v>
      </c>
      <c r="BI61" s="348">
        <v>0</v>
      </c>
      <c r="BJ61" s="348">
        <v>0</v>
      </c>
      <c r="BK61" s="348">
        <v>0</v>
      </c>
      <c r="BL61" s="348">
        <v>0</v>
      </c>
      <c r="BM61" s="348">
        <v>0</v>
      </c>
      <c r="BN61" s="348">
        <v>0</v>
      </c>
      <c r="BO61" s="348">
        <v>0</v>
      </c>
      <c r="BP61" s="348">
        <v>0</v>
      </c>
      <c r="BQ61" s="348">
        <v>0</v>
      </c>
      <c r="BR61" s="348">
        <v>0</v>
      </c>
      <c r="BS61" s="348">
        <v>0</v>
      </c>
      <c r="BT61" s="348">
        <v>0</v>
      </c>
      <c r="BU61" s="348">
        <v>0</v>
      </c>
      <c r="BV61" s="348">
        <v>0</v>
      </c>
      <c r="BW61" s="348">
        <v>0</v>
      </c>
      <c r="BX61" s="348">
        <v>0</v>
      </c>
      <c r="BY61" s="348">
        <v>0</v>
      </c>
      <c r="BZ61" s="348">
        <v>0</v>
      </c>
      <c r="CA61" s="348">
        <v>0</v>
      </c>
      <c r="CB61" s="348">
        <v>0</v>
      </c>
      <c r="CC61" s="348">
        <v>0</v>
      </c>
      <c r="CD61" s="348">
        <v>0</v>
      </c>
      <c r="CE61" s="348">
        <v>0</v>
      </c>
      <c r="CF61" s="348">
        <v>0</v>
      </c>
      <c r="CG61" s="348">
        <v>0</v>
      </c>
      <c r="CH61" s="348">
        <v>0</v>
      </c>
      <c r="CI61" s="348">
        <v>0</v>
      </c>
      <c r="CJ61" s="348">
        <v>0</v>
      </c>
      <c r="CK61" s="348">
        <v>0</v>
      </c>
      <c r="CL61" s="348">
        <v>0</v>
      </c>
      <c r="CM61" s="348">
        <v>0</v>
      </c>
      <c r="CN61" s="348">
        <v>0</v>
      </c>
      <c r="CO61" s="348">
        <v>0</v>
      </c>
      <c r="CP61" s="348">
        <v>0</v>
      </c>
      <c r="CQ61" s="348">
        <v>0</v>
      </c>
      <c r="CR61" s="348">
        <v>0</v>
      </c>
      <c r="CS61" s="348">
        <v>0</v>
      </c>
      <c r="CT61" s="348">
        <v>0</v>
      </c>
      <c r="CU61" s="348">
        <v>8727126</v>
      </c>
      <c r="CV61" s="348">
        <v>0</v>
      </c>
      <c r="CW61" s="348">
        <v>8727126</v>
      </c>
      <c r="CX61" s="348">
        <v>8727126</v>
      </c>
      <c r="CY61" s="348">
        <v>8800000</v>
      </c>
      <c r="CZ61" s="348">
        <v>8727126</v>
      </c>
      <c r="DA61" s="348">
        <v>8727126</v>
      </c>
      <c r="DB61" s="348">
        <v>8727000</v>
      </c>
      <c r="DC61" s="348">
        <v>0</v>
      </c>
      <c r="DD61" s="348">
        <v>0</v>
      </c>
      <c r="DE61" s="348">
        <v>0</v>
      </c>
      <c r="DF61" s="348">
        <v>0</v>
      </c>
      <c r="DG61" s="348">
        <v>0</v>
      </c>
      <c r="DH61" s="348">
        <v>0</v>
      </c>
      <c r="DI61" s="348">
        <v>0</v>
      </c>
      <c r="DJ61" s="348">
        <v>0</v>
      </c>
      <c r="DK61" s="348">
        <v>0</v>
      </c>
      <c r="DL61" s="348">
        <v>0</v>
      </c>
      <c r="DM61" s="348">
        <v>0</v>
      </c>
      <c r="DN61" s="348">
        <v>0</v>
      </c>
      <c r="DO61" s="348">
        <v>0</v>
      </c>
      <c r="DP61" s="348">
        <v>0</v>
      </c>
      <c r="DQ61" s="348">
        <v>0</v>
      </c>
      <c r="DR61" s="348">
        <v>0</v>
      </c>
      <c r="DS61" s="354">
        <v>2022</v>
      </c>
      <c r="DT61" s="354">
        <v>7</v>
      </c>
      <c r="DU61" s="354">
        <v>27</v>
      </c>
      <c r="DV61" s="345" t="s">
        <v>675</v>
      </c>
      <c r="DW61" s="345" t="s">
        <v>729</v>
      </c>
      <c r="DX61" s="345" t="s">
        <v>735</v>
      </c>
    </row>
    <row r="62" spans="1:128">
      <c r="A62" s="355">
        <v>88</v>
      </c>
      <c r="B62" s="348">
        <v>1100000</v>
      </c>
      <c r="C62" s="348">
        <v>0</v>
      </c>
      <c r="D62" s="348">
        <v>0</v>
      </c>
      <c r="E62" s="348">
        <v>0</v>
      </c>
      <c r="F62" s="348">
        <v>0</v>
      </c>
      <c r="G62" s="348">
        <v>0</v>
      </c>
      <c r="H62" s="348">
        <v>0</v>
      </c>
      <c r="I62" s="348">
        <v>0</v>
      </c>
      <c r="J62" s="348">
        <v>0</v>
      </c>
      <c r="K62" s="348">
        <v>0</v>
      </c>
      <c r="L62" s="348">
        <v>0</v>
      </c>
      <c r="M62" s="348">
        <v>0</v>
      </c>
      <c r="N62" s="348">
        <v>0</v>
      </c>
      <c r="O62" s="348">
        <v>0</v>
      </c>
      <c r="P62" s="348">
        <v>0</v>
      </c>
      <c r="Q62" s="348">
        <v>0</v>
      </c>
      <c r="R62" s="348">
        <v>0</v>
      </c>
      <c r="S62" s="348">
        <v>0</v>
      </c>
      <c r="T62" s="348">
        <v>0</v>
      </c>
      <c r="U62" s="348">
        <v>0</v>
      </c>
      <c r="V62" s="348">
        <v>0</v>
      </c>
      <c r="W62" s="348">
        <v>0</v>
      </c>
      <c r="X62" s="348">
        <v>0</v>
      </c>
      <c r="Y62" s="348">
        <v>0</v>
      </c>
      <c r="Z62" s="348">
        <v>0</v>
      </c>
      <c r="AA62" s="348">
        <v>0</v>
      </c>
      <c r="AB62" s="348">
        <v>0</v>
      </c>
      <c r="AC62" s="348">
        <v>0</v>
      </c>
      <c r="AD62" s="348">
        <v>0</v>
      </c>
      <c r="AE62" s="348">
        <v>0</v>
      </c>
      <c r="AF62" s="348">
        <v>0</v>
      </c>
      <c r="AG62" s="348">
        <v>0</v>
      </c>
      <c r="AH62" s="348">
        <v>0</v>
      </c>
      <c r="AI62" s="348">
        <v>0</v>
      </c>
      <c r="AJ62" s="348">
        <v>0</v>
      </c>
      <c r="AK62" s="348">
        <v>0</v>
      </c>
      <c r="AL62" s="348">
        <v>0</v>
      </c>
      <c r="AM62" s="348">
        <v>0</v>
      </c>
      <c r="AN62" s="348">
        <v>0</v>
      </c>
      <c r="AO62" s="348">
        <v>0</v>
      </c>
      <c r="AP62" s="348">
        <v>0</v>
      </c>
      <c r="AQ62" s="348">
        <v>0</v>
      </c>
      <c r="AR62" s="348">
        <v>0</v>
      </c>
      <c r="AS62" s="348">
        <v>0</v>
      </c>
      <c r="AT62" s="348">
        <v>0</v>
      </c>
      <c r="AU62" s="348">
        <v>0</v>
      </c>
      <c r="AV62" s="348">
        <v>0</v>
      </c>
      <c r="AW62" s="348">
        <v>0</v>
      </c>
      <c r="AX62" s="348">
        <v>0</v>
      </c>
      <c r="AY62" s="348">
        <v>0</v>
      </c>
      <c r="AZ62" s="348">
        <v>0</v>
      </c>
      <c r="BA62" s="348">
        <v>0</v>
      </c>
      <c r="BB62" s="348">
        <v>0</v>
      </c>
      <c r="BC62" s="348">
        <v>0</v>
      </c>
      <c r="BD62" s="348">
        <v>0</v>
      </c>
      <c r="BE62" s="348">
        <v>0</v>
      </c>
      <c r="BF62" s="348">
        <v>0</v>
      </c>
      <c r="BG62" s="348">
        <v>0</v>
      </c>
      <c r="BH62" s="348">
        <v>0</v>
      </c>
      <c r="BI62" s="348">
        <v>0</v>
      </c>
      <c r="BJ62" s="348">
        <v>0</v>
      </c>
      <c r="BK62" s="348">
        <v>0</v>
      </c>
      <c r="BL62" s="348">
        <v>0</v>
      </c>
      <c r="BM62" s="348">
        <v>0</v>
      </c>
      <c r="BN62" s="348">
        <v>0</v>
      </c>
      <c r="BO62" s="348">
        <v>0</v>
      </c>
      <c r="BP62" s="348">
        <v>0</v>
      </c>
      <c r="BQ62" s="348">
        <v>0</v>
      </c>
      <c r="BR62" s="348">
        <v>0</v>
      </c>
      <c r="BS62" s="348">
        <v>0</v>
      </c>
      <c r="BT62" s="348">
        <v>0</v>
      </c>
      <c r="BU62" s="348">
        <v>0</v>
      </c>
      <c r="BV62" s="348">
        <v>0</v>
      </c>
      <c r="BW62" s="348">
        <v>0</v>
      </c>
      <c r="BX62" s="348">
        <v>0</v>
      </c>
      <c r="BY62" s="348">
        <v>0</v>
      </c>
      <c r="BZ62" s="348">
        <v>0</v>
      </c>
      <c r="CA62" s="348">
        <v>0</v>
      </c>
      <c r="CB62" s="348">
        <v>0</v>
      </c>
      <c r="CC62" s="348">
        <v>0</v>
      </c>
      <c r="CD62" s="348">
        <v>0</v>
      </c>
      <c r="CE62" s="348">
        <v>0</v>
      </c>
      <c r="CF62" s="348">
        <v>0</v>
      </c>
      <c r="CG62" s="348">
        <v>0</v>
      </c>
      <c r="CH62" s="348">
        <v>0</v>
      </c>
      <c r="CI62" s="348">
        <v>0</v>
      </c>
      <c r="CJ62" s="348">
        <v>0</v>
      </c>
      <c r="CK62" s="348">
        <v>0</v>
      </c>
      <c r="CL62" s="348">
        <v>0</v>
      </c>
      <c r="CM62" s="348">
        <v>0</v>
      </c>
      <c r="CN62" s="348">
        <v>0</v>
      </c>
      <c r="CO62" s="348">
        <v>0</v>
      </c>
      <c r="CP62" s="348">
        <v>0</v>
      </c>
      <c r="CQ62" s="348">
        <v>0</v>
      </c>
      <c r="CR62" s="348">
        <v>0</v>
      </c>
      <c r="CS62" s="348">
        <v>0</v>
      </c>
      <c r="CT62" s="348">
        <v>0</v>
      </c>
      <c r="CU62" s="348">
        <v>1397000</v>
      </c>
      <c r="CV62" s="348">
        <v>0</v>
      </c>
      <c r="CW62" s="348">
        <v>1397000</v>
      </c>
      <c r="CX62" s="348">
        <v>1397000</v>
      </c>
      <c r="CY62" s="348">
        <v>1100000</v>
      </c>
      <c r="CZ62" s="348">
        <v>1100000</v>
      </c>
      <c r="DA62" s="348">
        <v>1100000</v>
      </c>
      <c r="DB62" s="348">
        <v>1100000</v>
      </c>
      <c r="DC62" s="348">
        <v>0</v>
      </c>
      <c r="DD62" s="348">
        <v>0</v>
      </c>
      <c r="DE62" s="348">
        <v>0</v>
      </c>
      <c r="DF62" s="348">
        <v>0</v>
      </c>
      <c r="DG62" s="348">
        <v>0</v>
      </c>
      <c r="DH62" s="348">
        <v>0</v>
      </c>
      <c r="DI62" s="348">
        <v>0</v>
      </c>
      <c r="DJ62" s="348">
        <v>0</v>
      </c>
      <c r="DK62" s="348">
        <v>0</v>
      </c>
      <c r="DL62" s="348">
        <v>0</v>
      </c>
      <c r="DM62" s="348">
        <v>0</v>
      </c>
      <c r="DN62" s="348">
        <v>0</v>
      </c>
      <c r="DO62" s="348">
        <v>0</v>
      </c>
      <c r="DP62" s="348">
        <v>0</v>
      </c>
      <c r="DQ62" s="348">
        <v>0</v>
      </c>
      <c r="DR62" s="348">
        <v>0</v>
      </c>
      <c r="DS62" s="354">
        <v>2022</v>
      </c>
      <c r="DT62" s="354">
        <v>7</v>
      </c>
      <c r="DU62" s="354">
        <v>27</v>
      </c>
      <c r="DV62" s="345" t="s">
        <v>730</v>
      </c>
      <c r="DW62" s="345" t="s">
        <v>674</v>
      </c>
      <c r="DX62" s="345" t="s">
        <v>735</v>
      </c>
    </row>
    <row r="63" spans="1:128">
      <c r="A63" s="355">
        <v>89</v>
      </c>
      <c r="B63" s="348">
        <v>14312000</v>
      </c>
      <c r="C63" s="348">
        <v>0</v>
      </c>
      <c r="D63" s="348">
        <v>0</v>
      </c>
      <c r="E63" s="348">
        <v>0</v>
      </c>
      <c r="F63" s="348">
        <v>0</v>
      </c>
      <c r="G63" s="348">
        <v>0</v>
      </c>
      <c r="H63" s="348">
        <v>0</v>
      </c>
      <c r="I63" s="348">
        <v>0</v>
      </c>
      <c r="J63" s="348">
        <v>0</v>
      </c>
      <c r="K63" s="348">
        <v>0</v>
      </c>
      <c r="L63" s="348">
        <v>0</v>
      </c>
      <c r="M63" s="348">
        <v>0</v>
      </c>
      <c r="N63" s="348">
        <v>0</v>
      </c>
      <c r="O63" s="348">
        <v>0</v>
      </c>
      <c r="P63" s="348">
        <v>0</v>
      </c>
      <c r="Q63" s="348">
        <v>0</v>
      </c>
      <c r="R63" s="348">
        <v>0</v>
      </c>
      <c r="S63" s="348">
        <v>4856610</v>
      </c>
      <c r="T63" s="348">
        <v>0</v>
      </c>
      <c r="U63" s="348">
        <v>4856610</v>
      </c>
      <c r="V63" s="348">
        <v>4856610</v>
      </c>
      <c r="W63" s="348">
        <v>6588000</v>
      </c>
      <c r="X63" s="348">
        <v>4856610</v>
      </c>
      <c r="Y63" s="348">
        <v>4856610</v>
      </c>
      <c r="Z63" s="348">
        <v>4856000</v>
      </c>
      <c r="AA63" s="348">
        <v>0</v>
      </c>
      <c r="AB63" s="348">
        <v>0</v>
      </c>
      <c r="AC63" s="348">
        <v>0</v>
      </c>
      <c r="AD63" s="348">
        <v>0</v>
      </c>
      <c r="AE63" s="348">
        <v>0</v>
      </c>
      <c r="AF63" s="348">
        <v>0</v>
      </c>
      <c r="AG63" s="348">
        <v>0</v>
      </c>
      <c r="AH63" s="348">
        <v>0</v>
      </c>
      <c r="AI63" s="348">
        <v>0</v>
      </c>
      <c r="AJ63" s="348">
        <v>0</v>
      </c>
      <c r="AK63" s="348">
        <v>0</v>
      </c>
      <c r="AL63" s="348">
        <v>0</v>
      </c>
      <c r="AM63" s="348">
        <v>0</v>
      </c>
      <c r="AN63" s="348">
        <v>0</v>
      </c>
      <c r="AO63" s="348">
        <v>0</v>
      </c>
      <c r="AP63" s="348">
        <v>0</v>
      </c>
      <c r="AQ63" s="348">
        <v>0</v>
      </c>
      <c r="AR63" s="348">
        <v>0</v>
      </c>
      <c r="AS63" s="348">
        <v>0</v>
      </c>
      <c r="AT63" s="348">
        <v>0</v>
      </c>
      <c r="AU63" s="348">
        <v>0</v>
      </c>
      <c r="AV63" s="348">
        <v>0</v>
      </c>
      <c r="AW63" s="348">
        <v>0</v>
      </c>
      <c r="AX63" s="348">
        <v>0</v>
      </c>
      <c r="AY63" s="348">
        <v>0</v>
      </c>
      <c r="AZ63" s="348">
        <v>0</v>
      </c>
      <c r="BA63" s="348">
        <v>0</v>
      </c>
      <c r="BB63" s="348">
        <v>0</v>
      </c>
      <c r="BC63" s="348">
        <v>0</v>
      </c>
      <c r="BD63" s="348">
        <v>0</v>
      </c>
      <c r="BE63" s="348">
        <v>0</v>
      </c>
      <c r="BF63" s="348">
        <v>0</v>
      </c>
      <c r="BG63" s="348">
        <v>0</v>
      </c>
      <c r="BH63" s="348">
        <v>0</v>
      </c>
      <c r="BI63" s="348">
        <v>0</v>
      </c>
      <c r="BJ63" s="348">
        <v>0</v>
      </c>
      <c r="BK63" s="348">
        <v>0</v>
      </c>
      <c r="BL63" s="348">
        <v>0</v>
      </c>
      <c r="BM63" s="348">
        <v>0</v>
      </c>
      <c r="BN63" s="348">
        <v>0</v>
      </c>
      <c r="BO63" s="348">
        <v>9456110</v>
      </c>
      <c r="BP63" s="348">
        <v>0</v>
      </c>
      <c r="BQ63" s="348">
        <v>9456110</v>
      </c>
      <c r="BR63" s="348">
        <v>9456110</v>
      </c>
      <c r="BS63" s="348">
        <v>11000000</v>
      </c>
      <c r="BT63" s="348">
        <v>9456110</v>
      </c>
      <c r="BU63" s="348">
        <v>9456110</v>
      </c>
      <c r="BV63" s="348">
        <v>9456000</v>
      </c>
      <c r="BW63" s="348">
        <v>0</v>
      </c>
      <c r="BX63" s="348">
        <v>0</v>
      </c>
      <c r="BY63" s="348">
        <v>0</v>
      </c>
      <c r="BZ63" s="348">
        <v>0</v>
      </c>
      <c r="CA63" s="348">
        <v>0</v>
      </c>
      <c r="CB63" s="348">
        <v>0</v>
      </c>
      <c r="CC63" s="348">
        <v>0</v>
      </c>
      <c r="CD63" s="348">
        <v>0</v>
      </c>
      <c r="CE63" s="348">
        <v>0</v>
      </c>
      <c r="CF63" s="348">
        <v>0</v>
      </c>
      <c r="CG63" s="348">
        <v>0</v>
      </c>
      <c r="CH63" s="348">
        <v>0</v>
      </c>
      <c r="CI63" s="348">
        <v>0</v>
      </c>
      <c r="CJ63" s="348">
        <v>0</v>
      </c>
      <c r="CK63" s="348">
        <v>0</v>
      </c>
      <c r="CL63" s="348">
        <v>0</v>
      </c>
      <c r="CM63" s="348">
        <v>0</v>
      </c>
      <c r="CN63" s="348">
        <v>0</v>
      </c>
      <c r="CO63" s="348">
        <v>0</v>
      </c>
      <c r="CP63" s="348">
        <v>0</v>
      </c>
      <c r="CQ63" s="348">
        <v>0</v>
      </c>
      <c r="CR63" s="348">
        <v>0</v>
      </c>
      <c r="CS63" s="348">
        <v>0</v>
      </c>
      <c r="CT63" s="348">
        <v>0</v>
      </c>
      <c r="CU63" s="348">
        <v>0</v>
      </c>
      <c r="CV63" s="348">
        <v>0</v>
      </c>
      <c r="CW63" s="348">
        <v>0</v>
      </c>
      <c r="CX63" s="348">
        <v>0</v>
      </c>
      <c r="CY63" s="348">
        <v>0</v>
      </c>
      <c r="CZ63" s="348">
        <v>0</v>
      </c>
      <c r="DA63" s="348">
        <v>0</v>
      </c>
      <c r="DB63" s="348">
        <v>0</v>
      </c>
      <c r="DC63" s="348">
        <v>0</v>
      </c>
      <c r="DD63" s="348">
        <v>0</v>
      </c>
      <c r="DE63" s="348">
        <v>0</v>
      </c>
      <c r="DF63" s="348">
        <v>0</v>
      </c>
      <c r="DG63" s="348">
        <v>0</v>
      </c>
      <c r="DH63" s="348">
        <v>0</v>
      </c>
      <c r="DI63" s="348">
        <v>0</v>
      </c>
      <c r="DJ63" s="348">
        <v>0</v>
      </c>
      <c r="DK63" s="348">
        <v>0</v>
      </c>
      <c r="DL63" s="348">
        <v>0</v>
      </c>
      <c r="DM63" s="348">
        <v>0</v>
      </c>
      <c r="DN63" s="348">
        <v>0</v>
      </c>
      <c r="DO63" s="348">
        <v>0</v>
      </c>
      <c r="DP63" s="348">
        <v>0</v>
      </c>
      <c r="DQ63" s="348">
        <v>0</v>
      </c>
      <c r="DR63" s="348">
        <v>0</v>
      </c>
      <c r="DS63" s="354">
        <v>2022</v>
      </c>
      <c r="DT63" s="354">
        <v>7</v>
      </c>
      <c r="DU63" s="354">
        <v>27</v>
      </c>
      <c r="DV63" s="345" t="s">
        <v>675</v>
      </c>
      <c r="DW63" s="345" t="s">
        <v>731</v>
      </c>
      <c r="DX63" s="345" t="s">
        <v>735</v>
      </c>
    </row>
    <row r="64" spans="1:128">
      <c r="A64" s="355">
        <v>90</v>
      </c>
      <c r="B64" s="348">
        <v>11927000</v>
      </c>
      <c r="C64" s="348">
        <v>0</v>
      </c>
      <c r="D64" s="348">
        <v>0</v>
      </c>
      <c r="E64" s="348">
        <v>0</v>
      </c>
      <c r="F64" s="348">
        <v>0</v>
      </c>
      <c r="G64" s="348">
        <v>0</v>
      </c>
      <c r="H64" s="348">
        <v>0</v>
      </c>
      <c r="I64" s="348">
        <v>0</v>
      </c>
      <c r="J64" s="348">
        <v>0</v>
      </c>
      <c r="K64" s="348">
        <v>638000</v>
      </c>
      <c r="L64" s="348">
        <v>0</v>
      </c>
      <c r="M64" s="348">
        <v>638000</v>
      </c>
      <c r="N64" s="348">
        <v>638000</v>
      </c>
      <c r="O64" s="348">
        <v>638000</v>
      </c>
      <c r="P64" s="348">
        <v>638000</v>
      </c>
      <c r="Q64" s="348">
        <v>638000</v>
      </c>
      <c r="R64" s="348">
        <v>638000</v>
      </c>
      <c r="S64" s="348">
        <v>4797648</v>
      </c>
      <c r="T64" s="348">
        <v>0</v>
      </c>
      <c r="U64" s="348">
        <v>4797648</v>
      </c>
      <c r="V64" s="348">
        <v>4797648</v>
      </c>
      <c r="W64" s="348">
        <v>8564400</v>
      </c>
      <c r="X64" s="348">
        <v>4797648</v>
      </c>
      <c r="Y64" s="348">
        <v>4797648</v>
      </c>
      <c r="Z64" s="348">
        <v>4797000</v>
      </c>
      <c r="AA64" s="348">
        <v>0</v>
      </c>
      <c r="AB64" s="348">
        <v>0</v>
      </c>
      <c r="AC64" s="348">
        <v>0</v>
      </c>
      <c r="AD64" s="348">
        <v>0</v>
      </c>
      <c r="AE64" s="348">
        <v>0</v>
      </c>
      <c r="AF64" s="348">
        <v>0</v>
      </c>
      <c r="AG64" s="348">
        <v>0</v>
      </c>
      <c r="AH64" s="348">
        <v>0</v>
      </c>
      <c r="AI64" s="348">
        <v>0</v>
      </c>
      <c r="AJ64" s="348">
        <v>0</v>
      </c>
      <c r="AK64" s="348">
        <v>0</v>
      </c>
      <c r="AL64" s="348">
        <v>0</v>
      </c>
      <c r="AM64" s="348">
        <v>0</v>
      </c>
      <c r="AN64" s="348">
        <v>0</v>
      </c>
      <c r="AO64" s="348">
        <v>0</v>
      </c>
      <c r="AP64" s="348">
        <v>0</v>
      </c>
      <c r="AQ64" s="348">
        <v>0</v>
      </c>
      <c r="AR64" s="348">
        <v>0</v>
      </c>
      <c r="AS64" s="348">
        <v>0</v>
      </c>
      <c r="AT64" s="348">
        <v>0</v>
      </c>
      <c r="AU64" s="348">
        <v>0</v>
      </c>
      <c r="AV64" s="348">
        <v>0</v>
      </c>
      <c r="AW64" s="348">
        <v>0</v>
      </c>
      <c r="AX64" s="348">
        <v>0</v>
      </c>
      <c r="AY64" s="348">
        <v>0</v>
      </c>
      <c r="AZ64" s="348">
        <v>0</v>
      </c>
      <c r="BA64" s="348">
        <v>0</v>
      </c>
      <c r="BB64" s="348">
        <v>0</v>
      </c>
      <c r="BC64" s="348">
        <v>0</v>
      </c>
      <c r="BD64" s="348">
        <v>0</v>
      </c>
      <c r="BE64" s="348">
        <v>0</v>
      </c>
      <c r="BF64" s="348">
        <v>0</v>
      </c>
      <c r="BG64" s="348">
        <v>0</v>
      </c>
      <c r="BH64" s="348">
        <v>0</v>
      </c>
      <c r="BI64" s="348">
        <v>0</v>
      </c>
      <c r="BJ64" s="348">
        <v>0</v>
      </c>
      <c r="BK64" s="348">
        <v>0</v>
      </c>
      <c r="BL64" s="348">
        <v>0</v>
      </c>
      <c r="BM64" s="348">
        <v>0</v>
      </c>
      <c r="BN64" s="348">
        <v>0</v>
      </c>
      <c r="BO64" s="348">
        <v>0</v>
      </c>
      <c r="BP64" s="348">
        <v>0</v>
      </c>
      <c r="BQ64" s="348">
        <v>0</v>
      </c>
      <c r="BR64" s="348">
        <v>0</v>
      </c>
      <c r="BS64" s="348">
        <v>0</v>
      </c>
      <c r="BT64" s="348">
        <v>0</v>
      </c>
      <c r="BU64" s="348">
        <v>0</v>
      </c>
      <c r="BV64" s="348">
        <v>0</v>
      </c>
      <c r="BW64" s="348">
        <v>0</v>
      </c>
      <c r="BX64" s="348">
        <v>0</v>
      </c>
      <c r="BY64" s="348">
        <v>0</v>
      </c>
      <c r="BZ64" s="348">
        <v>0</v>
      </c>
      <c r="CA64" s="348">
        <v>0</v>
      </c>
      <c r="CB64" s="348">
        <v>0</v>
      </c>
      <c r="CC64" s="348">
        <v>0</v>
      </c>
      <c r="CD64" s="348">
        <v>0</v>
      </c>
      <c r="CE64" s="348">
        <v>0</v>
      </c>
      <c r="CF64" s="348">
        <v>0</v>
      </c>
      <c r="CG64" s="348">
        <v>0</v>
      </c>
      <c r="CH64" s="348">
        <v>0</v>
      </c>
      <c r="CI64" s="348">
        <v>0</v>
      </c>
      <c r="CJ64" s="348">
        <v>0</v>
      </c>
      <c r="CK64" s="348">
        <v>0</v>
      </c>
      <c r="CL64" s="348">
        <v>0</v>
      </c>
      <c r="CM64" s="348">
        <v>0</v>
      </c>
      <c r="CN64" s="348">
        <v>0</v>
      </c>
      <c r="CO64" s="348">
        <v>0</v>
      </c>
      <c r="CP64" s="348">
        <v>0</v>
      </c>
      <c r="CQ64" s="348">
        <v>0</v>
      </c>
      <c r="CR64" s="348">
        <v>0</v>
      </c>
      <c r="CS64" s="348">
        <v>0</v>
      </c>
      <c r="CT64" s="348">
        <v>0</v>
      </c>
      <c r="CU64" s="348">
        <v>6492000</v>
      </c>
      <c r="CV64" s="348">
        <v>0</v>
      </c>
      <c r="CW64" s="348">
        <v>6492000</v>
      </c>
      <c r="CX64" s="348">
        <v>6492000</v>
      </c>
      <c r="CY64" s="348">
        <v>6600000</v>
      </c>
      <c r="CZ64" s="348">
        <v>6492000</v>
      </c>
      <c r="DA64" s="348">
        <v>6492000</v>
      </c>
      <c r="DB64" s="348">
        <v>6492000</v>
      </c>
      <c r="DC64" s="348">
        <v>0</v>
      </c>
      <c r="DD64" s="348">
        <v>0</v>
      </c>
      <c r="DE64" s="348">
        <v>0</v>
      </c>
      <c r="DF64" s="348">
        <v>0</v>
      </c>
      <c r="DG64" s="348">
        <v>0</v>
      </c>
      <c r="DH64" s="348">
        <v>0</v>
      </c>
      <c r="DI64" s="348">
        <v>0</v>
      </c>
      <c r="DJ64" s="348">
        <v>0</v>
      </c>
      <c r="DK64" s="348">
        <v>0</v>
      </c>
      <c r="DL64" s="348">
        <v>0</v>
      </c>
      <c r="DM64" s="348">
        <v>0</v>
      </c>
      <c r="DN64" s="348">
        <v>0</v>
      </c>
      <c r="DO64" s="348">
        <v>0</v>
      </c>
      <c r="DP64" s="348">
        <v>0</v>
      </c>
      <c r="DQ64" s="348">
        <v>0</v>
      </c>
      <c r="DR64" s="348">
        <v>0</v>
      </c>
      <c r="DS64" s="354">
        <v>2022</v>
      </c>
      <c r="DT64" s="354">
        <v>7</v>
      </c>
      <c r="DU64" s="354">
        <v>27</v>
      </c>
      <c r="DV64" s="345" t="s">
        <v>695</v>
      </c>
      <c r="DW64" s="345" t="s">
        <v>732</v>
      </c>
      <c r="DX64" s="345" t="s">
        <v>735</v>
      </c>
    </row>
    <row r="65" spans="1:132">
      <c r="A65" s="355">
        <v>91</v>
      </c>
      <c r="B65" s="348">
        <v>18038000</v>
      </c>
      <c r="C65" s="348">
        <v>0</v>
      </c>
      <c r="D65" s="348">
        <v>0</v>
      </c>
      <c r="E65" s="348">
        <v>0</v>
      </c>
      <c r="F65" s="348">
        <v>0</v>
      </c>
      <c r="G65" s="348">
        <v>0</v>
      </c>
      <c r="H65" s="348">
        <v>0</v>
      </c>
      <c r="I65" s="348">
        <v>0</v>
      </c>
      <c r="J65" s="348">
        <v>0</v>
      </c>
      <c r="K65" s="348">
        <v>0</v>
      </c>
      <c r="L65" s="348">
        <v>0</v>
      </c>
      <c r="M65" s="348">
        <v>0</v>
      </c>
      <c r="N65" s="348">
        <v>0</v>
      </c>
      <c r="O65" s="348">
        <v>0</v>
      </c>
      <c r="P65" s="348">
        <v>0</v>
      </c>
      <c r="Q65" s="348">
        <v>0</v>
      </c>
      <c r="R65" s="348">
        <v>0</v>
      </c>
      <c r="S65" s="348">
        <v>7066488</v>
      </c>
      <c r="T65" s="348">
        <v>0</v>
      </c>
      <c r="U65" s="348">
        <v>7066488</v>
      </c>
      <c r="V65" s="348">
        <v>7066488</v>
      </c>
      <c r="W65" s="348">
        <v>8564400</v>
      </c>
      <c r="X65" s="348">
        <v>7066488</v>
      </c>
      <c r="Y65" s="348">
        <v>7066488</v>
      </c>
      <c r="Z65" s="348">
        <v>7066000</v>
      </c>
      <c r="AA65" s="348">
        <v>0</v>
      </c>
      <c r="AB65" s="348">
        <v>0</v>
      </c>
      <c r="AC65" s="348">
        <v>0</v>
      </c>
      <c r="AD65" s="348">
        <v>0</v>
      </c>
      <c r="AE65" s="348">
        <v>0</v>
      </c>
      <c r="AF65" s="348">
        <v>0</v>
      </c>
      <c r="AG65" s="348">
        <v>0</v>
      </c>
      <c r="AH65" s="348">
        <v>0</v>
      </c>
      <c r="AI65" s="348">
        <v>0</v>
      </c>
      <c r="AJ65" s="348">
        <v>0</v>
      </c>
      <c r="AK65" s="348">
        <v>0</v>
      </c>
      <c r="AL65" s="348">
        <v>0</v>
      </c>
      <c r="AM65" s="348">
        <v>0</v>
      </c>
      <c r="AN65" s="348">
        <v>0</v>
      </c>
      <c r="AO65" s="348">
        <v>0</v>
      </c>
      <c r="AP65" s="348">
        <v>0</v>
      </c>
      <c r="AQ65" s="348">
        <v>0</v>
      </c>
      <c r="AR65" s="348">
        <v>0</v>
      </c>
      <c r="AS65" s="348">
        <v>0</v>
      </c>
      <c r="AT65" s="348">
        <v>0</v>
      </c>
      <c r="AU65" s="348">
        <v>0</v>
      </c>
      <c r="AV65" s="348">
        <v>0</v>
      </c>
      <c r="AW65" s="348">
        <v>0</v>
      </c>
      <c r="AX65" s="348">
        <v>0</v>
      </c>
      <c r="AY65" s="348">
        <v>0</v>
      </c>
      <c r="AZ65" s="348">
        <v>0</v>
      </c>
      <c r="BA65" s="348">
        <v>0</v>
      </c>
      <c r="BB65" s="348">
        <v>0</v>
      </c>
      <c r="BC65" s="348">
        <v>0</v>
      </c>
      <c r="BD65" s="348">
        <v>0</v>
      </c>
      <c r="BE65" s="348">
        <v>0</v>
      </c>
      <c r="BF65" s="348">
        <v>0</v>
      </c>
      <c r="BG65" s="348">
        <v>0</v>
      </c>
      <c r="BH65" s="348">
        <v>0</v>
      </c>
      <c r="BI65" s="348">
        <v>0</v>
      </c>
      <c r="BJ65" s="348">
        <v>0</v>
      </c>
      <c r="BK65" s="348">
        <v>0</v>
      </c>
      <c r="BL65" s="348">
        <v>0</v>
      </c>
      <c r="BM65" s="348">
        <v>0</v>
      </c>
      <c r="BN65" s="348">
        <v>0</v>
      </c>
      <c r="BO65" s="348">
        <v>10972500</v>
      </c>
      <c r="BP65" s="348">
        <v>0</v>
      </c>
      <c r="BQ65" s="348">
        <v>10972500</v>
      </c>
      <c r="BR65" s="348">
        <v>10972500</v>
      </c>
      <c r="BS65" s="348">
        <v>11000000</v>
      </c>
      <c r="BT65" s="348">
        <v>10972500</v>
      </c>
      <c r="BU65" s="348">
        <v>10972500</v>
      </c>
      <c r="BV65" s="348">
        <v>10972000</v>
      </c>
      <c r="BW65" s="348">
        <v>0</v>
      </c>
      <c r="BX65" s="348">
        <v>0</v>
      </c>
      <c r="BY65" s="348">
        <v>0</v>
      </c>
      <c r="BZ65" s="348">
        <v>0</v>
      </c>
      <c r="CA65" s="348">
        <v>0</v>
      </c>
      <c r="CB65" s="348">
        <v>0</v>
      </c>
      <c r="CC65" s="348">
        <v>0</v>
      </c>
      <c r="CD65" s="348">
        <v>0</v>
      </c>
      <c r="CE65" s="348">
        <v>0</v>
      </c>
      <c r="CF65" s="348">
        <v>0</v>
      </c>
      <c r="CG65" s="348">
        <v>0</v>
      </c>
      <c r="CH65" s="348">
        <v>0</v>
      </c>
      <c r="CI65" s="348">
        <v>0</v>
      </c>
      <c r="CJ65" s="348">
        <v>0</v>
      </c>
      <c r="CK65" s="348">
        <v>0</v>
      </c>
      <c r="CL65" s="348">
        <v>0</v>
      </c>
      <c r="CM65" s="348">
        <v>0</v>
      </c>
      <c r="CN65" s="348">
        <v>0</v>
      </c>
      <c r="CO65" s="348">
        <v>0</v>
      </c>
      <c r="CP65" s="348">
        <v>0</v>
      </c>
      <c r="CQ65" s="348">
        <v>0</v>
      </c>
      <c r="CR65" s="348">
        <v>0</v>
      </c>
      <c r="CS65" s="348">
        <v>0</v>
      </c>
      <c r="CT65" s="348">
        <v>0</v>
      </c>
      <c r="CU65" s="348">
        <v>0</v>
      </c>
      <c r="CV65" s="348">
        <v>0</v>
      </c>
      <c r="CW65" s="348">
        <v>0</v>
      </c>
      <c r="CX65" s="348">
        <v>0</v>
      </c>
      <c r="CY65" s="348">
        <v>0</v>
      </c>
      <c r="CZ65" s="348">
        <v>0</v>
      </c>
      <c r="DA65" s="348">
        <v>0</v>
      </c>
      <c r="DB65" s="348">
        <v>0</v>
      </c>
      <c r="DC65" s="348">
        <v>0</v>
      </c>
      <c r="DD65" s="348">
        <v>0</v>
      </c>
      <c r="DE65" s="348">
        <v>0</v>
      </c>
      <c r="DF65" s="348">
        <v>0</v>
      </c>
      <c r="DG65" s="348">
        <v>0</v>
      </c>
      <c r="DH65" s="348">
        <v>0</v>
      </c>
      <c r="DI65" s="348">
        <v>0</v>
      </c>
      <c r="DJ65" s="348">
        <v>0</v>
      </c>
      <c r="DK65" s="348">
        <v>0</v>
      </c>
      <c r="DL65" s="348">
        <v>0</v>
      </c>
      <c r="DM65" s="348">
        <v>0</v>
      </c>
      <c r="DN65" s="348">
        <v>0</v>
      </c>
      <c r="DO65" s="348">
        <v>0</v>
      </c>
      <c r="DP65" s="348">
        <v>0</v>
      </c>
      <c r="DQ65" s="348">
        <v>0</v>
      </c>
      <c r="DR65" s="348">
        <v>0</v>
      </c>
      <c r="DS65" s="354">
        <v>2022</v>
      </c>
      <c r="DT65" s="354">
        <v>7</v>
      </c>
      <c r="DU65" s="354">
        <v>27</v>
      </c>
      <c r="DV65" s="345" t="s">
        <v>675</v>
      </c>
      <c r="DW65" s="345" t="s">
        <v>713</v>
      </c>
      <c r="DX65" s="345" t="s">
        <v>735</v>
      </c>
    </row>
    <row r="66" spans="1:132">
      <c r="A66" s="355">
        <v>92</v>
      </c>
      <c r="B66" s="348">
        <v>20026000</v>
      </c>
      <c r="C66" s="348">
        <v>0</v>
      </c>
      <c r="D66" s="348">
        <v>0</v>
      </c>
      <c r="E66" s="348">
        <v>0</v>
      </c>
      <c r="F66" s="348">
        <v>0</v>
      </c>
      <c r="G66" s="348">
        <v>0</v>
      </c>
      <c r="H66" s="348">
        <v>0</v>
      </c>
      <c r="I66" s="348">
        <v>0</v>
      </c>
      <c r="J66" s="348">
        <v>0</v>
      </c>
      <c r="K66" s="348">
        <v>8800000</v>
      </c>
      <c r="L66" s="348">
        <v>0</v>
      </c>
      <c r="M66" s="348">
        <v>8800000</v>
      </c>
      <c r="N66" s="348">
        <v>8800000</v>
      </c>
      <c r="O66" s="348">
        <v>8800000</v>
      </c>
      <c r="P66" s="348">
        <v>8800000</v>
      </c>
      <c r="Q66" s="348">
        <v>8800000</v>
      </c>
      <c r="R66" s="348">
        <v>8800000</v>
      </c>
      <c r="S66" s="348">
        <v>6991998</v>
      </c>
      <c r="T66" s="348">
        <v>0</v>
      </c>
      <c r="U66" s="348">
        <v>6991998</v>
      </c>
      <c r="V66" s="348">
        <v>6991998</v>
      </c>
      <c r="W66" s="348">
        <v>13834800</v>
      </c>
      <c r="X66" s="348">
        <v>6991998</v>
      </c>
      <c r="Y66" s="348">
        <v>6991998</v>
      </c>
      <c r="Z66" s="348">
        <v>6991000</v>
      </c>
      <c r="AA66" s="348">
        <v>0</v>
      </c>
      <c r="AB66" s="348">
        <v>0</v>
      </c>
      <c r="AC66" s="348">
        <v>0</v>
      </c>
      <c r="AD66" s="348">
        <v>0</v>
      </c>
      <c r="AE66" s="348">
        <v>0</v>
      </c>
      <c r="AF66" s="348">
        <v>0</v>
      </c>
      <c r="AG66" s="348">
        <v>0</v>
      </c>
      <c r="AH66" s="348">
        <v>0</v>
      </c>
      <c r="AI66" s="348">
        <v>0</v>
      </c>
      <c r="AJ66" s="348">
        <v>0</v>
      </c>
      <c r="AK66" s="348">
        <v>0</v>
      </c>
      <c r="AL66" s="348">
        <v>0</v>
      </c>
      <c r="AM66" s="348">
        <v>0</v>
      </c>
      <c r="AN66" s="348">
        <v>0</v>
      </c>
      <c r="AO66" s="348">
        <v>0</v>
      </c>
      <c r="AP66" s="348">
        <v>0</v>
      </c>
      <c r="AQ66" s="348">
        <v>0</v>
      </c>
      <c r="AR66" s="348">
        <v>0</v>
      </c>
      <c r="AS66" s="348">
        <v>0</v>
      </c>
      <c r="AT66" s="348">
        <v>0</v>
      </c>
      <c r="AU66" s="348">
        <v>0</v>
      </c>
      <c r="AV66" s="348">
        <v>0</v>
      </c>
      <c r="AW66" s="348">
        <v>0</v>
      </c>
      <c r="AX66" s="348">
        <v>0</v>
      </c>
      <c r="AY66" s="348">
        <v>0</v>
      </c>
      <c r="AZ66" s="348">
        <v>0</v>
      </c>
      <c r="BA66" s="348">
        <v>0</v>
      </c>
      <c r="BB66" s="348">
        <v>0</v>
      </c>
      <c r="BC66" s="348">
        <v>0</v>
      </c>
      <c r="BD66" s="348">
        <v>0</v>
      </c>
      <c r="BE66" s="348">
        <v>0</v>
      </c>
      <c r="BF66" s="348">
        <v>0</v>
      </c>
      <c r="BG66" s="348">
        <v>0</v>
      </c>
      <c r="BH66" s="348">
        <v>0</v>
      </c>
      <c r="BI66" s="348">
        <v>0</v>
      </c>
      <c r="BJ66" s="348">
        <v>0</v>
      </c>
      <c r="BK66" s="348">
        <v>0</v>
      </c>
      <c r="BL66" s="348">
        <v>0</v>
      </c>
      <c r="BM66" s="348">
        <v>0</v>
      </c>
      <c r="BN66" s="348">
        <v>0</v>
      </c>
      <c r="BO66" s="348">
        <v>0</v>
      </c>
      <c r="BP66" s="348">
        <v>0</v>
      </c>
      <c r="BQ66" s="348">
        <v>0</v>
      </c>
      <c r="BR66" s="348">
        <v>0</v>
      </c>
      <c r="BS66" s="348">
        <v>0</v>
      </c>
      <c r="BT66" s="348">
        <v>0</v>
      </c>
      <c r="BU66" s="348">
        <v>0</v>
      </c>
      <c r="BV66" s="348">
        <v>0</v>
      </c>
      <c r="BW66" s="348">
        <v>0</v>
      </c>
      <c r="BX66" s="348">
        <v>0</v>
      </c>
      <c r="BY66" s="348">
        <v>0</v>
      </c>
      <c r="BZ66" s="348">
        <v>0</v>
      </c>
      <c r="CA66" s="348">
        <v>0</v>
      </c>
      <c r="CB66" s="348">
        <v>0</v>
      </c>
      <c r="CC66" s="348">
        <v>0</v>
      </c>
      <c r="CD66" s="348">
        <v>0</v>
      </c>
      <c r="CE66" s="348">
        <v>0</v>
      </c>
      <c r="CF66" s="348">
        <v>0</v>
      </c>
      <c r="CG66" s="348">
        <v>0</v>
      </c>
      <c r="CH66" s="348">
        <v>0</v>
      </c>
      <c r="CI66" s="348">
        <v>0</v>
      </c>
      <c r="CJ66" s="348">
        <v>0</v>
      </c>
      <c r="CK66" s="348">
        <v>0</v>
      </c>
      <c r="CL66" s="348">
        <v>0</v>
      </c>
      <c r="CM66" s="348">
        <v>0</v>
      </c>
      <c r="CN66" s="348">
        <v>0</v>
      </c>
      <c r="CO66" s="348">
        <v>0</v>
      </c>
      <c r="CP66" s="348">
        <v>0</v>
      </c>
      <c r="CQ66" s="348">
        <v>0</v>
      </c>
      <c r="CR66" s="348">
        <v>0</v>
      </c>
      <c r="CS66" s="348">
        <v>0</v>
      </c>
      <c r="CT66" s="348">
        <v>0</v>
      </c>
      <c r="CU66" s="348">
        <v>4235000</v>
      </c>
      <c r="CV66" s="348">
        <v>0</v>
      </c>
      <c r="CW66" s="348">
        <v>4235000</v>
      </c>
      <c r="CX66" s="348">
        <v>4235000</v>
      </c>
      <c r="CY66" s="348">
        <v>7700000</v>
      </c>
      <c r="CZ66" s="348">
        <v>4235000</v>
      </c>
      <c r="DA66" s="348">
        <v>4235000</v>
      </c>
      <c r="DB66" s="348">
        <v>4235000</v>
      </c>
      <c r="DC66" s="348">
        <v>0</v>
      </c>
      <c r="DD66" s="348">
        <v>0</v>
      </c>
      <c r="DE66" s="348">
        <v>0</v>
      </c>
      <c r="DF66" s="348">
        <v>0</v>
      </c>
      <c r="DG66" s="348">
        <v>0</v>
      </c>
      <c r="DH66" s="348">
        <v>0</v>
      </c>
      <c r="DI66" s="348">
        <v>0</v>
      </c>
      <c r="DJ66" s="348">
        <v>0</v>
      </c>
      <c r="DK66" s="348">
        <v>0</v>
      </c>
      <c r="DL66" s="348">
        <v>0</v>
      </c>
      <c r="DM66" s="348">
        <v>0</v>
      </c>
      <c r="DN66" s="348">
        <v>0</v>
      </c>
      <c r="DO66" s="348">
        <v>0</v>
      </c>
      <c r="DP66" s="348">
        <v>0</v>
      </c>
      <c r="DQ66" s="348">
        <v>0</v>
      </c>
      <c r="DR66" s="348">
        <v>0</v>
      </c>
      <c r="DS66" s="354">
        <v>2022</v>
      </c>
      <c r="DT66" s="354">
        <v>7</v>
      </c>
      <c r="DU66" s="354">
        <v>27</v>
      </c>
      <c r="DV66" s="345" t="s">
        <v>695</v>
      </c>
      <c r="DW66" s="345" t="s">
        <v>732</v>
      </c>
      <c r="DX66" s="345" t="s">
        <v>735</v>
      </c>
    </row>
    <row r="67" spans="1:132">
      <c r="A67" s="355">
        <v>93</v>
      </c>
      <c r="B67" s="348">
        <v>1348000</v>
      </c>
      <c r="C67" s="348">
        <v>0</v>
      </c>
      <c r="D67" s="348">
        <v>0</v>
      </c>
      <c r="E67" s="348">
        <v>0</v>
      </c>
      <c r="F67" s="348">
        <v>0</v>
      </c>
      <c r="G67" s="348">
        <v>0</v>
      </c>
      <c r="H67" s="348">
        <v>0</v>
      </c>
      <c r="I67" s="348">
        <v>0</v>
      </c>
      <c r="J67" s="348">
        <v>0</v>
      </c>
      <c r="K67" s="348">
        <v>0</v>
      </c>
      <c r="L67" s="348">
        <v>0</v>
      </c>
      <c r="M67" s="348">
        <v>0</v>
      </c>
      <c r="N67" s="348">
        <v>0</v>
      </c>
      <c r="O67" s="348">
        <v>0</v>
      </c>
      <c r="P67" s="348">
        <v>0</v>
      </c>
      <c r="Q67" s="348">
        <v>0</v>
      </c>
      <c r="R67" s="348">
        <v>0</v>
      </c>
      <c r="S67" s="348">
        <v>1348098</v>
      </c>
      <c r="T67" s="348">
        <v>0</v>
      </c>
      <c r="U67" s="348">
        <v>1348098</v>
      </c>
      <c r="V67" s="348">
        <v>1348098</v>
      </c>
      <c r="W67" s="348">
        <v>15811200</v>
      </c>
      <c r="X67" s="348">
        <v>1348098</v>
      </c>
      <c r="Y67" s="348">
        <v>1348098</v>
      </c>
      <c r="Z67" s="348">
        <v>1348000</v>
      </c>
      <c r="AA67" s="348">
        <v>0</v>
      </c>
      <c r="AB67" s="348">
        <v>0</v>
      </c>
      <c r="AC67" s="348">
        <v>0</v>
      </c>
      <c r="AD67" s="348">
        <v>0</v>
      </c>
      <c r="AE67" s="348">
        <v>0</v>
      </c>
      <c r="AF67" s="348">
        <v>0</v>
      </c>
      <c r="AG67" s="348">
        <v>0</v>
      </c>
      <c r="AH67" s="348">
        <v>0</v>
      </c>
      <c r="AI67" s="348">
        <v>0</v>
      </c>
      <c r="AJ67" s="348">
        <v>0</v>
      </c>
      <c r="AK67" s="348">
        <v>0</v>
      </c>
      <c r="AL67" s="348">
        <v>0</v>
      </c>
      <c r="AM67" s="348">
        <v>0</v>
      </c>
      <c r="AN67" s="348">
        <v>0</v>
      </c>
      <c r="AO67" s="348">
        <v>0</v>
      </c>
      <c r="AP67" s="348">
        <v>0</v>
      </c>
      <c r="AQ67" s="348">
        <v>0</v>
      </c>
      <c r="AR67" s="348">
        <v>0</v>
      </c>
      <c r="AS67" s="348">
        <v>0</v>
      </c>
      <c r="AT67" s="348">
        <v>0</v>
      </c>
      <c r="AU67" s="348">
        <v>0</v>
      </c>
      <c r="AV67" s="348">
        <v>0</v>
      </c>
      <c r="AW67" s="348">
        <v>0</v>
      </c>
      <c r="AX67" s="348">
        <v>0</v>
      </c>
      <c r="AY67" s="348">
        <v>0</v>
      </c>
      <c r="AZ67" s="348">
        <v>0</v>
      </c>
      <c r="BA67" s="348">
        <v>0</v>
      </c>
      <c r="BB67" s="348">
        <v>0</v>
      </c>
      <c r="BC67" s="348">
        <v>0</v>
      </c>
      <c r="BD67" s="348">
        <v>0</v>
      </c>
      <c r="BE67" s="348">
        <v>0</v>
      </c>
      <c r="BF67" s="348">
        <v>0</v>
      </c>
      <c r="BG67" s="348">
        <v>0</v>
      </c>
      <c r="BH67" s="348">
        <v>0</v>
      </c>
      <c r="BI67" s="348">
        <v>0</v>
      </c>
      <c r="BJ67" s="348">
        <v>0</v>
      </c>
      <c r="BK67" s="348">
        <v>0</v>
      </c>
      <c r="BL67" s="348">
        <v>0</v>
      </c>
      <c r="BM67" s="348">
        <v>0</v>
      </c>
      <c r="BN67" s="348">
        <v>0</v>
      </c>
      <c r="BO67" s="348">
        <v>0</v>
      </c>
      <c r="BP67" s="348">
        <v>0</v>
      </c>
      <c r="BQ67" s="348">
        <v>0</v>
      </c>
      <c r="BR67" s="348">
        <v>0</v>
      </c>
      <c r="BS67" s="348">
        <v>0</v>
      </c>
      <c r="BT67" s="348">
        <v>0</v>
      </c>
      <c r="BU67" s="348">
        <v>0</v>
      </c>
      <c r="BV67" s="348">
        <v>0</v>
      </c>
      <c r="BW67" s="348">
        <v>0</v>
      </c>
      <c r="BX67" s="348">
        <v>0</v>
      </c>
      <c r="BY67" s="348">
        <v>0</v>
      </c>
      <c r="BZ67" s="348">
        <v>0</v>
      </c>
      <c r="CA67" s="348">
        <v>0</v>
      </c>
      <c r="CB67" s="348">
        <v>0</v>
      </c>
      <c r="CC67" s="348">
        <v>0</v>
      </c>
      <c r="CD67" s="348">
        <v>0</v>
      </c>
      <c r="CE67" s="348">
        <v>0</v>
      </c>
      <c r="CF67" s="348">
        <v>0</v>
      </c>
      <c r="CG67" s="348">
        <v>0</v>
      </c>
      <c r="CH67" s="348">
        <v>0</v>
      </c>
      <c r="CI67" s="348">
        <v>0</v>
      </c>
      <c r="CJ67" s="348">
        <v>0</v>
      </c>
      <c r="CK67" s="348">
        <v>0</v>
      </c>
      <c r="CL67" s="348">
        <v>0</v>
      </c>
      <c r="CM67" s="348">
        <v>0</v>
      </c>
      <c r="CN67" s="348">
        <v>0</v>
      </c>
      <c r="CO67" s="348">
        <v>0</v>
      </c>
      <c r="CP67" s="348">
        <v>0</v>
      </c>
      <c r="CQ67" s="348">
        <v>0</v>
      </c>
      <c r="CR67" s="348">
        <v>0</v>
      </c>
      <c r="CS67" s="348">
        <v>0</v>
      </c>
      <c r="CT67" s="348">
        <v>0</v>
      </c>
      <c r="CU67" s="348">
        <v>0</v>
      </c>
      <c r="CV67" s="348">
        <v>0</v>
      </c>
      <c r="CW67" s="348">
        <v>0</v>
      </c>
      <c r="CX67" s="348">
        <v>0</v>
      </c>
      <c r="CY67" s="348">
        <v>0</v>
      </c>
      <c r="CZ67" s="348">
        <v>0</v>
      </c>
      <c r="DA67" s="348">
        <v>0</v>
      </c>
      <c r="DB67" s="348">
        <v>0</v>
      </c>
      <c r="DC67" s="348">
        <v>0</v>
      </c>
      <c r="DD67" s="348">
        <v>0</v>
      </c>
      <c r="DE67" s="348">
        <v>0</v>
      </c>
      <c r="DF67" s="348">
        <v>0</v>
      </c>
      <c r="DG67" s="348">
        <v>0</v>
      </c>
      <c r="DH67" s="348">
        <v>0</v>
      </c>
      <c r="DI67" s="348">
        <v>0</v>
      </c>
      <c r="DJ67" s="348">
        <v>0</v>
      </c>
      <c r="DK67" s="348">
        <v>0</v>
      </c>
      <c r="DL67" s="348">
        <v>0</v>
      </c>
      <c r="DM67" s="348">
        <v>0</v>
      </c>
      <c r="DN67" s="348">
        <v>0</v>
      </c>
      <c r="DO67" s="348">
        <v>0</v>
      </c>
      <c r="DP67" s="348">
        <v>0</v>
      </c>
      <c r="DQ67" s="348">
        <v>0</v>
      </c>
      <c r="DR67" s="348">
        <v>0</v>
      </c>
      <c r="DS67" s="354">
        <v>2022</v>
      </c>
      <c r="DT67" s="354">
        <v>7</v>
      </c>
      <c r="DU67" s="354">
        <v>27</v>
      </c>
      <c r="DV67" s="345" t="s">
        <v>720</v>
      </c>
      <c r="DW67" s="345" t="s">
        <v>733</v>
      </c>
      <c r="DX67" s="345" t="s">
        <v>735</v>
      </c>
    </row>
    <row r="69" spans="1:132">
      <c r="DY69">
        <v>1</v>
      </c>
      <c r="DZ69" t="s">
        <v>671</v>
      </c>
      <c r="EA69" t="s">
        <v>672</v>
      </c>
      <c r="EB69">
        <v>1</v>
      </c>
    </row>
    <row r="70" spans="1:132">
      <c r="DY70">
        <v>2</v>
      </c>
      <c r="DZ70" t="s">
        <v>673</v>
      </c>
      <c r="EA70" t="s">
        <v>674</v>
      </c>
      <c r="EB70">
        <v>1</v>
      </c>
    </row>
    <row r="71" spans="1:132">
      <c r="DY71">
        <v>3</v>
      </c>
      <c r="DZ71" t="s">
        <v>675</v>
      </c>
      <c r="EA71" t="s">
        <v>676</v>
      </c>
      <c r="EB71">
        <v>1</v>
      </c>
    </row>
    <row r="72" spans="1:132">
      <c r="DY72">
        <v>4</v>
      </c>
      <c r="DZ72" t="s">
        <v>677</v>
      </c>
      <c r="EA72" t="s">
        <v>678</v>
      </c>
      <c r="EB72">
        <v>1</v>
      </c>
    </row>
    <row r="73" spans="1:132">
      <c r="DY73">
        <v>6</v>
      </c>
      <c r="DZ73" t="s">
        <v>679</v>
      </c>
      <c r="EA73" t="e">
        <v>#N/A</v>
      </c>
      <c r="EB73">
        <v>1</v>
      </c>
    </row>
    <row r="74" spans="1:132">
      <c r="DY74">
        <v>7</v>
      </c>
      <c r="DZ74" t="s">
        <v>680</v>
      </c>
      <c r="EA74" t="s">
        <v>681</v>
      </c>
      <c r="EB74">
        <v>1</v>
      </c>
    </row>
    <row r="75" spans="1:132">
      <c r="DY75">
        <v>8</v>
      </c>
      <c r="DZ75" t="s">
        <v>675</v>
      </c>
      <c r="EA75" t="s">
        <v>682</v>
      </c>
      <c r="EB75">
        <v>1</v>
      </c>
    </row>
    <row r="76" spans="1:132">
      <c r="DY76">
        <v>9</v>
      </c>
      <c r="DZ76" t="s">
        <v>683</v>
      </c>
      <c r="EA76" t="s">
        <v>684</v>
      </c>
      <c r="EB76">
        <v>1</v>
      </c>
    </row>
    <row r="77" spans="1:132">
      <c r="DY77">
        <v>10</v>
      </c>
      <c r="DZ77" t="s">
        <v>675</v>
      </c>
      <c r="EA77" t="s">
        <v>685</v>
      </c>
      <c r="EB77">
        <v>1</v>
      </c>
    </row>
    <row r="78" spans="1:132">
      <c r="DY78">
        <v>11</v>
      </c>
      <c r="DZ78" t="s">
        <v>686</v>
      </c>
      <c r="EA78" t="s">
        <v>687</v>
      </c>
      <c r="EB78">
        <v>1</v>
      </c>
    </row>
    <row r="79" spans="1:132">
      <c r="DY79">
        <v>12</v>
      </c>
      <c r="DZ79" t="s">
        <v>688</v>
      </c>
      <c r="EA79" t="s">
        <v>689</v>
      </c>
      <c r="EB79">
        <v>1</v>
      </c>
    </row>
    <row r="80" spans="1:132">
      <c r="DY80">
        <v>13</v>
      </c>
      <c r="DZ80" t="s">
        <v>675</v>
      </c>
      <c r="EA80" t="s">
        <v>690</v>
      </c>
      <c r="EB80">
        <v>2</v>
      </c>
    </row>
    <row r="81" spans="129:132">
      <c r="DY81">
        <v>14</v>
      </c>
      <c r="DZ81" t="s">
        <v>677</v>
      </c>
      <c r="EA81" t="s">
        <v>691</v>
      </c>
      <c r="EB81">
        <v>1</v>
      </c>
    </row>
    <row r="82" spans="129:132">
      <c r="DY82">
        <v>15</v>
      </c>
      <c r="DZ82" t="s">
        <v>677</v>
      </c>
      <c r="EA82" t="s">
        <v>691</v>
      </c>
      <c r="EB82">
        <v>1</v>
      </c>
    </row>
    <row r="83" spans="129:132">
      <c r="DY83">
        <v>16</v>
      </c>
      <c r="DZ83" t="s">
        <v>677</v>
      </c>
      <c r="EA83" t="s">
        <v>691</v>
      </c>
      <c r="EB83">
        <v>1</v>
      </c>
    </row>
    <row r="84" spans="129:132">
      <c r="DY84">
        <v>17</v>
      </c>
      <c r="DZ84" t="s">
        <v>677</v>
      </c>
      <c r="EA84" t="s">
        <v>691</v>
      </c>
      <c r="EB84">
        <v>1</v>
      </c>
    </row>
    <row r="85" spans="129:132">
      <c r="DY85">
        <v>18</v>
      </c>
      <c r="DZ85" t="s">
        <v>677</v>
      </c>
      <c r="EA85" t="s">
        <v>691</v>
      </c>
      <c r="EB85">
        <v>1</v>
      </c>
    </row>
    <row r="86" spans="129:132">
      <c r="DY86">
        <v>19</v>
      </c>
      <c r="DZ86" t="s">
        <v>692</v>
      </c>
      <c r="EA86" t="s">
        <v>693</v>
      </c>
      <c r="EB86">
        <v>1</v>
      </c>
    </row>
    <row r="87" spans="129:132">
      <c r="DY87">
        <v>20</v>
      </c>
      <c r="DZ87" t="s">
        <v>675</v>
      </c>
      <c r="EA87" t="s">
        <v>694</v>
      </c>
      <c r="EB87">
        <v>1</v>
      </c>
    </row>
    <row r="88" spans="129:132">
      <c r="DY88">
        <v>21</v>
      </c>
      <c r="DZ88" t="s">
        <v>695</v>
      </c>
      <c r="EA88" t="s">
        <v>696</v>
      </c>
      <c r="EB88">
        <v>1</v>
      </c>
    </row>
    <row r="89" spans="129:132">
      <c r="DY89">
        <v>22</v>
      </c>
      <c r="DZ89" t="s">
        <v>675</v>
      </c>
      <c r="EA89" t="s">
        <v>697</v>
      </c>
      <c r="EB89">
        <v>1</v>
      </c>
    </row>
    <row r="90" spans="129:132">
      <c r="DY90">
        <v>23</v>
      </c>
      <c r="DZ90" t="s">
        <v>675</v>
      </c>
      <c r="EA90" t="s">
        <v>698</v>
      </c>
      <c r="EB90">
        <v>1</v>
      </c>
    </row>
    <row r="91" spans="129:132">
      <c r="DY91">
        <v>24</v>
      </c>
      <c r="DZ91" t="s">
        <v>675</v>
      </c>
      <c r="EA91" t="s">
        <v>699</v>
      </c>
      <c r="EB91">
        <v>1</v>
      </c>
    </row>
    <row r="92" spans="129:132">
      <c r="DY92">
        <v>25</v>
      </c>
      <c r="DZ92" t="s">
        <v>675</v>
      </c>
      <c r="EA92" t="s">
        <v>700</v>
      </c>
      <c r="EB92">
        <v>1</v>
      </c>
    </row>
    <row r="93" spans="129:132">
      <c r="DY93">
        <v>26</v>
      </c>
      <c r="DZ93" t="s">
        <v>701</v>
      </c>
      <c r="EA93" t="s">
        <v>702</v>
      </c>
      <c r="EB93">
        <v>1</v>
      </c>
    </row>
    <row r="94" spans="129:132">
      <c r="DY94">
        <v>27</v>
      </c>
      <c r="DZ94" t="s">
        <v>675</v>
      </c>
      <c r="EA94" t="s">
        <v>703</v>
      </c>
      <c r="EB94">
        <v>2</v>
      </c>
    </row>
    <row r="95" spans="129:132">
      <c r="DY95">
        <v>28</v>
      </c>
      <c r="DZ95" t="s">
        <v>704</v>
      </c>
      <c r="EA95" t="s">
        <v>674</v>
      </c>
      <c r="EB95">
        <v>1</v>
      </c>
    </row>
    <row r="96" spans="129:132">
      <c r="DY96">
        <v>51</v>
      </c>
      <c r="DZ96" t="s">
        <v>675</v>
      </c>
      <c r="EA96" t="s">
        <v>700</v>
      </c>
      <c r="EB96">
        <v>1</v>
      </c>
    </row>
    <row r="97" spans="129:132">
      <c r="DY97">
        <v>52</v>
      </c>
      <c r="DZ97" t="s">
        <v>675</v>
      </c>
      <c r="EA97" t="s">
        <v>703</v>
      </c>
      <c r="EB97">
        <v>2</v>
      </c>
    </row>
    <row r="98" spans="129:132">
      <c r="DY98">
        <v>53</v>
      </c>
      <c r="DZ98" t="s">
        <v>705</v>
      </c>
      <c r="EA98" t="s">
        <v>674</v>
      </c>
      <c r="EB98">
        <v>1</v>
      </c>
    </row>
    <row r="99" spans="129:132">
      <c r="DY99">
        <v>54</v>
      </c>
      <c r="DZ99" t="s">
        <v>675</v>
      </c>
      <c r="EA99" t="s">
        <v>700</v>
      </c>
      <c r="EB99">
        <v>1</v>
      </c>
    </row>
    <row r="100" spans="129:132">
      <c r="DY100">
        <v>55</v>
      </c>
      <c r="DZ100" t="s">
        <v>677</v>
      </c>
      <c r="EA100" t="s">
        <v>706</v>
      </c>
      <c r="EB100">
        <v>2</v>
      </c>
    </row>
    <row r="101" spans="129:132">
      <c r="DY101">
        <v>58</v>
      </c>
      <c r="DZ101" t="s">
        <v>677</v>
      </c>
      <c r="EA101" t="s">
        <v>707</v>
      </c>
      <c r="EB101">
        <v>1</v>
      </c>
    </row>
    <row r="102" spans="129:132">
      <c r="DY102">
        <v>59</v>
      </c>
      <c r="DZ102" t="s">
        <v>673</v>
      </c>
      <c r="EA102" t="s">
        <v>708</v>
      </c>
      <c r="EB102">
        <v>1</v>
      </c>
    </row>
    <row r="103" spans="129:132">
      <c r="DY103">
        <v>61</v>
      </c>
      <c r="DZ103" t="s">
        <v>677</v>
      </c>
      <c r="EA103" t="s">
        <v>674</v>
      </c>
      <c r="EB103">
        <v>1</v>
      </c>
    </row>
    <row r="104" spans="129:132">
      <c r="DY104">
        <v>62</v>
      </c>
      <c r="DZ104" t="s">
        <v>675</v>
      </c>
      <c r="EA104" t="s">
        <v>709</v>
      </c>
      <c r="EB104">
        <v>1</v>
      </c>
    </row>
    <row r="105" spans="129:132">
      <c r="DY105">
        <v>63</v>
      </c>
      <c r="DZ105" t="s">
        <v>675</v>
      </c>
      <c r="EA105" t="s">
        <v>710</v>
      </c>
      <c r="EB105">
        <v>1</v>
      </c>
    </row>
    <row r="106" spans="129:132">
      <c r="DY106">
        <v>64</v>
      </c>
      <c r="DZ106" t="s">
        <v>711</v>
      </c>
      <c r="EA106" t="s">
        <v>712</v>
      </c>
      <c r="EB106">
        <v>1</v>
      </c>
    </row>
    <row r="107" spans="129:132">
      <c r="DY107">
        <v>65</v>
      </c>
      <c r="DZ107" t="s">
        <v>675</v>
      </c>
      <c r="EA107" t="s">
        <v>713</v>
      </c>
      <c r="EB107">
        <v>1</v>
      </c>
    </row>
    <row r="108" spans="129:132">
      <c r="DY108">
        <v>66</v>
      </c>
      <c r="DZ108" t="s">
        <v>675</v>
      </c>
      <c r="EA108" t="s">
        <v>714</v>
      </c>
      <c r="EB108">
        <v>1</v>
      </c>
    </row>
    <row r="109" spans="129:132">
      <c r="DY109">
        <v>67</v>
      </c>
      <c r="DZ109" t="s">
        <v>675</v>
      </c>
      <c r="EA109" t="s">
        <v>703</v>
      </c>
      <c r="EB109">
        <v>2</v>
      </c>
    </row>
    <row r="110" spans="129:132">
      <c r="DY110">
        <v>68</v>
      </c>
      <c r="DZ110" t="s">
        <v>677</v>
      </c>
      <c r="EA110" t="s">
        <v>691</v>
      </c>
      <c r="EB110">
        <v>1</v>
      </c>
    </row>
    <row r="111" spans="129:132">
      <c r="DY111">
        <v>69</v>
      </c>
      <c r="DZ111" t="s">
        <v>677</v>
      </c>
      <c r="EA111" t="s">
        <v>691</v>
      </c>
      <c r="EB111">
        <v>1</v>
      </c>
    </row>
    <row r="112" spans="129:132">
      <c r="DY112">
        <v>70</v>
      </c>
      <c r="DZ112" t="s">
        <v>675</v>
      </c>
      <c r="EA112" t="s">
        <v>706</v>
      </c>
      <c r="EB112">
        <v>1</v>
      </c>
    </row>
    <row r="113" spans="129:132">
      <c r="DY113">
        <v>71</v>
      </c>
      <c r="DZ113" t="s">
        <v>671</v>
      </c>
      <c r="EA113" t="s">
        <v>672</v>
      </c>
      <c r="EB113">
        <v>1</v>
      </c>
    </row>
    <row r="114" spans="129:132">
      <c r="DY114">
        <v>73</v>
      </c>
      <c r="DZ114" t="s">
        <v>675</v>
      </c>
      <c r="EA114" t="s">
        <v>715</v>
      </c>
      <c r="EB114">
        <v>1</v>
      </c>
    </row>
    <row r="115" spans="129:132">
      <c r="DY115">
        <v>74</v>
      </c>
      <c r="DZ115" t="s">
        <v>675</v>
      </c>
      <c r="EA115" t="s">
        <v>716</v>
      </c>
      <c r="EB115">
        <v>1</v>
      </c>
    </row>
    <row r="116" spans="129:132">
      <c r="DY116">
        <v>75</v>
      </c>
      <c r="DZ116" t="s">
        <v>686</v>
      </c>
      <c r="EA116" t="s">
        <v>674</v>
      </c>
      <c r="EB116">
        <v>1</v>
      </c>
    </row>
    <row r="117" spans="129:132">
      <c r="DY117">
        <v>76</v>
      </c>
      <c r="DZ117" t="s">
        <v>675</v>
      </c>
      <c r="EA117" t="s">
        <v>717</v>
      </c>
      <c r="EB117">
        <v>1</v>
      </c>
    </row>
    <row r="118" spans="129:132">
      <c r="DY118">
        <v>77</v>
      </c>
      <c r="DZ118" t="s">
        <v>718</v>
      </c>
      <c r="EA118" t="s">
        <v>719</v>
      </c>
      <c r="EB118">
        <v>1</v>
      </c>
    </row>
    <row r="119" spans="129:132">
      <c r="DY119">
        <v>78</v>
      </c>
      <c r="DZ119" t="s">
        <v>720</v>
      </c>
      <c r="EA119" t="s">
        <v>721</v>
      </c>
      <c r="EB119">
        <v>1</v>
      </c>
    </row>
    <row r="120" spans="129:132">
      <c r="DY120">
        <v>79</v>
      </c>
      <c r="DZ120" t="s">
        <v>675</v>
      </c>
      <c r="EA120" t="s">
        <v>722</v>
      </c>
      <c r="EB120">
        <v>2</v>
      </c>
    </row>
    <row r="121" spans="129:132">
      <c r="DY121">
        <v>80</v>
      </c>
      <c r="DZ121" t="s">
        <v>723</v>
      </c>
      <c r="EA121" t="s">
        <v>706</v>
      </c>
      <c r="EB121">
        <v>1</v>
      </c>
    </row>
    <row r="122" spans="129:132">
      <c r="DY122">
        <v>81</v>
      </c>
      <c r="DZ122" t="s">
        <v>724</v>
      </c>
      <c r="EA122" t="s">
        <v>699</v>
      </c>
      <c r="EB122">
        <v>1</v>
      </c>
    </row>
    <row r="123" spans="129:132">
      <c r="DY123">
        <v>82</v>
      </c>
      <c r="DZ123" t="s">
        <v>725</v>
      </c>
      <c r="EA123" t="s">
        <v>726</v>
      </c>
      <c r="EB123">
        <v>1</v>
      </c>
    </row>
    <row r="124" spans="129:132">
      <c r="DY124">
        <v>83</v>
      </c>
      <c r="DZ124" t="s">
        <v>675</v>
      </c>
      <c r="EA124" t="s">
        <v>727</v>
      </c>
      <c r="EB124">
        <v>1</v>
      </c>
    </row>
    <row r="125" spans="129:132">
      <c r="DY125">
        <v>84</v>
      </c>
      <c r="DZ125" t="s">
        <v>675</v>
      </c>
      <c r="EA125" t="s">
        <v>728</v>
      </c>
      <c r="EB125">
        <v>1</v>
      </c>
    </row>
    <row r="126" spans="129:132">
      <c r="DY126">
        <v>86</v>
      </c>
      <c r="DZ126" t="s">
        <v>675</v>
      </c>
      <c r="EA126" t="s">
        <v>727</v>
      </c>
      <c r="EB126">
        <v>1</v>
      </c>
    </row>
    <row r="127" spans="129:132">
      <c r="DY127">
        <v>87</v>
      </c>
      <c r="DZ127" t="s">
        <v>675</v>
      </c>
      <c r="EA127" t="s">
        <v>729</v>
      </c>
      <c r="EB127">
        <v>1</v>
      </c>
    </row>
    <row r="128" spans="129:132">
      <c r="DY128">
        <v>88</v>
      </c>
      <c r="DZ128" t="s">
        <v>730</v>
      </c>
      <c r="EA128" t="s">
        <v>674</v>
      </c>
      <c r="EB128">
        <v>1</v>
      </c>
    </row>
    <row r="129" spans="129:132">
      <c r="DY129">
        <v>89</v>
      </c>
      <c r="DZ129" t="s">
        <v>675</v>
      </c>
      <c r="EA129" t="s">
        <v>731</v>
      </c>
      <c r="EB129">
        <v>1</v>
      </c>
    </row>
    <row r="130" spans="129:132">
      <c r="DY130">
        <v>90</v>
      </c>
      <c r="DZ130" t="s">
        <v>695</v>
      </c>
      <c r="EA130" t="s">
        <v>732</v>
      </c>
      <c r="EB130">
        <v>1</v>
      </c>
    </row>
    <row r="131" spans="129:132">
      <c r="DY131">
        <v>91</v>
      </c>
      <c r="DZ131" t="s">
        <v>675</v>
      </c>
      <c r="EA131" t="s">
        <v>713</v>
      </c>
      <c r="EB131">
        <v>1</v>
      </c>
    </row>
    <row r="132" spans="129:132">
      <c r="DY132">
        <v>92</v>
      </c>
      <c r="DZ132" t="s">
        <v>695</v>
      </c>
      <c r="EA132" t="s">
        <v>732</v>
      </c>
      <c r="EB132">
        <v>1</v>
      </c>
    </row>
    <row r="133" spans="129:132">
      <c r="DY133">
        <v>93</v>
      </c>
      <c r="DZ133" t="s">
        <v>720</v>
      </c>
      <c r="EA133" t="s">
        <v>733</v>
      </c>
      <c r="EB133">
        <v>1</v>
      </c>
    </row>
    <row r="134" spans="129:132">
      <c r="DY134">
        <v>94</v>
      </c>
      <c r="DZ134" t="e">
        <v>#N/A</v>
      </c>
      <c r="EA134" t="e">
        <v>#N/A</v>
      </c>
      <c r="EB134">
        <v>1</v>
      </c>
    </row>
  </sheetData>
  <phoneticPr fontId="1"/>
  <pageMargins left="0.7" right="0.7" top="0.75" bottom="0.75" header="0.3" footer="0.3"/>
  <pageSetup paperSize="9" scale="14" orientation="portrait" copies="0" r:id="rId1"/>
  <colBreaks count="1" manualBreakCount="1">
    <brk id="63" max="66"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Z56"/>
  <sheetViews>
    <sheetView showGridLines="0" view="pageBreakPreview" zoomScaleNormal="100" zoomScaleSheetLayoutView="100" workbookViewId="0">
      <selection activeCell="Q21" sqref="Q21"/>
    </sheetView>
  </sheetViews>
  <sheetFormatPr defaultColWidth="9" defaultRowHeight="18"/>
  <cols>
    <col min="1" max="36" width="3.625" style="1" customWidth="1"/>
    <col min="37" max="47" width="9" style="1"/>
    <col min="48" max="48" width="9.375" style="1" bestFit="1" customWidth="1"/>
    <col min="49" max="49" width="75.625" style="1" customWidth="1"/>
    <col min="50" max="16384" width="9" style="1"/>
  </cols>
  <sheetData>
    <row r="1" spans="1:49">
      <c r="A1" s="1">
        <v>1</v>
      </c>
      <c r="B1" s="1">
        <v>2</v>
      </c>
      <c r="C1" s="1">
        <v>3</v>
      </c>
      <c r="D1" s="1">
        <v>4</v>
      </c>
      <c r="E1" s="1">
        <v>5</v>
      </c>
      <c r="F1" s="1">
        <v>6</v>
      </c>
      <c r="G1" s="1">
        <v>7</v>
      </c>
      <c r="H1" s="1">
        <v>8</v>
      </c>
      <c r="I1" s="1">
        <v>9</v>
      </c>
      <c r="J1" s="1">
        <v>10</v>
      </c>
      <c r="K1" s="1">
        <v>11</v>
      </c>
      <c r="L1" s="1">
        <v>12</v>
      </c>
      <c r="M1" s="1">
        <v>13</v>
      </c>
      <c r="N1" s="1">
        <v>14</v>
      </c>
      <c r="O1" s="1">
        <v>15</v>
      </c>
      <c r="P1" s="1">
        <v>16</v>
      </c>
      <c r="Q1" s="1">
        <v>17</v>
      </c>
      <c r="R1" s="1">
        <v>18</v>
      </c>
      <c r="S1" s="1">
        <v>19</v>
      </c>
      <c r="T1" s="1">
        <v>20</v>
      </c>
      <c r="U1" s="1">
        <v>21</v>
      </c>
      <c r="V1" s="1">
        <v>22</v>
      </c>
      <c r="W1" s="1">
        <v>23</v>
      </c>
      <c r="X1" s="1">
        <v>24</v>
      </c>
      <c r="Y1" s="1">
        <v>25</v>
      </c>
      <c r="Z1" s="1">
        <v>26</v>
      </c>
      <c r="AA1" s="1">
        <v>27</v>
      </c>
      <c r="AB1" s="1">
        <v>28</v>
      </c>
      <c r="AC1" s="1">
        <v>29</v>
      </c>
      <c r="AD1" s="1">
        <v>30</v>
      </c>
      <c r="AE1" s="1">
        <v>31</v>
      </c>
      <c r="AF1" s="1">
        <v>32</v>
      </c>
      <c r="AG1" s="1">
        <v>33</v>
      </c>
      <c r="AH1" s="1">
        <v>34</v>
      </c>
      <c r="AI1" s="1">
        <v>35</v>
      </c>
      <c r="AJ1" s="1">
        <v>36</v>
      </c>
    </row>
    <row r="2" spans="1:49" s="278" customFormat="1" ht="24">
      <c r="A2" s="156"/>
      <c r="B2" s="157"/>
      <c r="C2" s="158"/>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V2" s="279"/>
      <c r="AW2" s="280"/>
    </row>
    <row r="3" spans="1:49" s="278" customFormat="1" ht="19.5">
      <c r="A3" s="573" t="s">
        <v>253</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V3" s="279"/>
      <c r="AW3" s="280"/>
    </row>
    <row r="4" spans="1:49" s="278" customFormat="1" ht="19.5">
      <c r="A4" s="573"/>
      <c r="B4" s="574"/>
      <c r="C4" s="574"/>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c r="AD4" s="574"/>
      <c r="AE4" s="574"/>
      <c r="AF4" s="574"/>
      <c r="AG4" s="574"/>
      <c r="AH4" s="574"/>
      <c r="AI4" s="574"/>
      <c r="AJ4" s="574"/>
      <c r="AV4" s="279"/>
      <c r="AW4" s="280"/>
    </row>
    <row r="5" spans="1:49" s="278" customFormat="1" ht="19.5">
      <c r="A5" s="574"/>
      <c r="B5" s="574"/>
      <c r="C5" s="57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V5" s="279"/>
      <c r="AW5" s="280"/>
    </row>
    <row r="6" spans="1:49" s="278" customFormat="1" ht="19.5">
      <c r="AV6" s="279"/>
      <c r="AW6" s="280"/>
    </row>
    <row r="7" spans="1:49" s="278" customFormat="1" ht="19.5">
      <c r="N7" s="561" t="str">
        <f>[2]第１号様式!I9</f>
        <v>補助事業者名</v>
      </c>
      <c r="O7" s="561"/>
      <c r="P7" s="561"/>
      <c r="Q7" s="561"/>
      <c r="R7" s="561"/>
      <c r="S7" s="575" t="str">
        <f>表紙!L9</f>
        <v/>
      </c>
      <c r="T7" s="575"/>
      <c r="U7" s="575"/>
      <c r="V7" s="575"/>
      <c r="W7" s="575"/>
      <c r="X7" s="575"/>
      <c r="Y7" s="575"/>
      <c r="Z7" s="575"/>
      <c r="AA7" s="575"/>
      <c r="AB7" s="575"/>
      <c r="AC7" s="575"/>
      <c r="AD7" s="575"/>
      <c r="AE7" s="575"/>
      <c r="AF7" s="575"/>
      <c r="AG7" s="575"/>
      <c r="AH7" s="575"/>
      <c r="AI7" s="575"/>
      <c r="AJ7" s="575"/>
      <c r="AV7" s="279"/>
      <c r="AW7" s="280"/>
    </row>
    <row r="8" spans="1:49" s="278" customFormat="1" ht="19.5">
      <c r="N8" s="561"/>
      <c r="O8" s="561"/>
      <c r="P8" s="561"/>
      <c r="Q8" s="561"/>
      <c r="R8" s="561"/>
      <c r="S8" s="575"/>
      <c r="T8" s="575"/>
      <c r="U8" s="575"/>
      <c r="V8" s="575"/>
      <c r="W8" s="575"/>
      <c r="X8" s="575"/>
      <c r="Y8" s="575"/>
      <c r="Z8" s="575"/>
      <c r="AA8" s="575"/>
      <c r="AB8" s="575"/>
      <c r="AC8" s="575"/>
      <c r="AD8" s="575"/>
      <c r="AE8" s="575"/>
      <c r="AF8" s="575"/>
      <c r="AG8" s="575"/>
      <c r="AH8" s="575"/>
      <c r="AI8" s="575"/>
      <c r="AJ8" s="575"/>
      <c r="AV8" s="279"/>
      <c r="AW8" s="280"/>
    </row>
    <row r="9" spans="1:49" s="278" customFormat="1" ht="19.5">
      <c r="N9" s="561" t="str">
        <f>[2]第１号様式!I8</f>
        <v>所　  在 　 地</v>
      </c>
      <c r="O9" s="561"/>
      <c r="P9" s="561"/>
      <c r="Q9" s="561"/>
      <c r="R9" s="561"/>
      <c r="S9" s="575" t="str">
        <f>表紙!L8</f>
        <v/>
      </c>
      <c r="T9" s="575"/>
      <c r="U9" s="575"/>
      <c r="V9" s="575"/>
      <c r="W9" s="575"/>
      <c r="X9" s="575"/>
      <c r="Y9" s="575"/>
      <c r="Z9" s="575"/>
      <c r="AA9" s="575"/>
      <c r="AB9" s="575"/>
      <c r="AC9" s="575"/>
      <c r="AD9" s="575"/>
      <c r="AE9" s="575"/>
      <c r="AF9" s="575"/>
      <c r="AG9" s="575"/>
      <c r="AH9" s="575"/>
      <c r="AI9" s="575"/>
      <c r="AJ9" s="575"/>
      <c r="AV9" s="279"/>
      <c r="AW9" s="280"/>
    </row>
    <row r="10" spans="1:49" s="278" customFormat="1" ht="19.5">
      <c r="N10" s="561"/>
      <c r="O10" s="561"/>
      <c r="P10" s="561"/>
      <c r="Q10" s="561"/>
      <c r="R10" s="561"/>
      <c r="S10" s="575"/>
      <c r="T10" s="575"/>
      <c r="U10" s="575"/>
      <c r="V10" s="575"/>
      <c r="W10" s="575"/>
      <c r="X10" s="575"/>
      <c r="Y10" s="575"/>
      <c r="Z10" s="575"/>
      <c r="AA10" s="575"/>
      <c r="AB10" s="575"/>
      <c r="AC10" s="575"/>
      <c r="AD10" s="575"/>
      <c r="AE10" s="575"/>
      <c r="AF10" s="575"/>
      <c r="AG10" s="575"/>
      <c r="AH10" s="575"/>
      <c r="AI10" s="575"/>
      <c r="AJ10" s="575"/>
      <c r="AV10" s="279"/>
      <c r="AW10" s="280"/>
    </row>
    <row r="11" spans="1:49" s="278" customFormat="1" ht="19.5">
      <c r="N11" s="561" t="str">
        <f>[2]第１号様式!I10</f>
        <v>代表者職氏名</v>
      </c>
      <c r="O11" s="561"/>
      <c r="P11" s="561"/>
      <c r="Q11" s="561"/>
      <c r="R11" s="561"/>
      <c r="S11" s="565" t="str">
        <f>表紙!L10</f>
        <v>　</v>
      </c>
      <c r="T11" s="566"/>
      <c r="U11" s="566"/>
      <c r="V11" s="566"/>
      <c r="W11" s="566"/>
      <c r="X11" s="567"/>
      <c r="Y11" s="567"/>
      <c r="Z11" s="567"/>
      <c r="AA11" s="567"/>
      <c r="AB11" s="567"/>
      <c r="AC11" s="567"/>
      <c r="AD11" s="567"/>
      <c r="AE11" s="567"/>
      <c r="AF11" s="567"/>
      <c r="AG11" s="567"/>
      <c r="AH11" s="567"/>
      <c r="AI11" s="567"/>
      <c r="AJ11" s="568"/>
      <c r="AV11" s="279"/>
      <c r="AW11" s="280"/>
    </row>
    <row r="12" spans="1:49" s="278" customFormat="1" ht="19.5">
      <c r="N12" s="561"/>
      <c r="O12" s="561"/>
      <c r="P12" s="561"/>
      <c r="Q12" s="561"/>
      <c r="R12" s="561"/>
      <c r="S12" s="569"/>
      <c r="T12" s="570"/>
      <c r="U12" s="570"/>
      <c r="V12" s="570"/>
      <c r="W12" s="570"/>
      <c r="X12" s="571"/>
      <c r="Y12" s="571"/>
      <c r="Z12" s="571"/>
      <c r="AA12" s="571"/>
      <c r="AB12" s="571"/>
      <c r="AC12" s="571"/>
      <c r="AD12" s="571"/>
      <c r="AE12" s="571"/>
      <c r="AF12" s="571"/>
      <c r="AG12" s="571"/>
      <c r="AH12" s="571"/>
      <c r="AI12" s="571"/>
      <c r="AJ12" s="572"/>
      <c r="AV12" s="279"/>
      <c r="AW12" s="280"/>
    </row>
    <row r="13" spans="1:49" s="278" customFormat="1" ht="19.5">
      <c r="N13" s="561" t="s">
        <v>97</v>
      </c>
      <c r="O13" s="561"/>
      <c r="P13" s="561"/>
      <c r="Q13" s="561"/>
      <c r="R13" s="561"/>
      <c r="S13" s="562" t="s">
        <v>96</v>
      </c>
      <c r="T13" s="562"/>
      <c r="U13" s="562"/>
      <c r="V13" s="562"/>
      <c r="W13" s="563" t="str">
        <f>表紙!L43</f>
        <v/>
      </c>
      <c r="X13" s="563"/>
      <c r="Y13" s="563"/>
      <c r="Z13" s="563"/>
      <c r="AA13" s="563"/>
      <c r="AB13" s="563"/>
      <c r="AC13" s="563"/>
      <c r="AD13" s="563"/>
      <c r="AE13" s="563"/>
      <c r="AF13" s="563"/>
      <c r="AG13" s="563"/>
      <c r="AH13" s="563"/>
      <c r="AI13" s="563"/>
      <c r="AJ13" s="563"/>
      <c r="AV13" s="279"/>
      <c r="AW13" s="280"/>
    </row>
    <row r="14" spans="1:49" s="278" customFormat="1" ht="19.5">
      <c r="N14" s="561"/>
      <c r="O14" s="561"/>
      <c r="P14" s="561"/>
      <c r="Q14" s="561"/>
      <c r="R14" s="561"/>
      <c r="S14" s="562"/>
      <c r="T14" s="562"/>
      <c r="U14" s="562"/>
      <c r="V14" s="562"/>
      <c r="W14" s="563"/>
      <c r="X14" s="563"/>
      <c r="Y14" s="563"/>
      <c r="Z14" s="563"/>
      <c r="AA14" s="563"/>
      <c r="AB14" s="563"/>
      <c r="AC14" s="563"/>
      <c r="AD14" s="563"/>
      <c r="AE14" s="563"/>
      <c r="AF14" s="563"/>
      <c r="AG14" s="563"/>
      <c r="AH14" s="563"/>
      <c r="AI14" s="563"/>
      <c r="AJ14" s="563"/>
      <c r="AV14" s="279"/>
      <c r="AW14" s="280"/>
    </row>
    <row r="15" spans="1:49" s="278" customFormat="1" ht="19.5">
      <c r="N15" s="561"/>
      <c r="O15" s="561"/>
      <c r="P15" s="561"/>
      <c r="Q15" s="561"/>
      <c r="R15" s="561"/>
      <c r="S15" s="562" t="s">
        <v>98</v>
      </c>
      <c r="T15" s="562"/>
      <c r="U15" s="562"/>
      <c r="V15" s="562"/>
      <c r="W15" s="563" t="str">
        <f>表紙!L44</f>
        <v/>
      </c>
      <c r="X15" s="563"/>
      <c r="Y15" s="563"/>
      <c r="Z15" s="563"/>
      <c r="AA15" s="563"/>
      <c r="AB15" s="563"/>
      <c r="AC15" s="563"/>
      <c r="AD15" s="563"/>
      <c r="AE15" s="563"/>
      <c r="AF15" s="563"/>
      <c r="AG15" s="563"/>
      <c r="AH15" s="563"/>
      <c r="AI15" s="563"/>
      <c r="AJ15" s="563"/>
      <c r="AV15" s="279"/>
      <c r="AW15" s="280"/>
    </row>
    <row r="16" spans="1:49" s="278" customFormat="1" ht="19.5">
      <c r="N16" s="561"/>
      <c r="O16" s="561"/>
      <c r="P16" s="561"/>
      <c r="Q16" s="561"/>
      <c r="R16" s="561"/>
      <c r="S16" s="562"/>
      <c r="T16" s="562"/>
      <c r="U16" s="562"/>
      <c r="V16" s="562"/>
      <c r="W16" s="563"/>
      <c r="X16" s="563"/>
      <c r="Y16" s="563"/>
      <c r="Z16" s="563"/>
      <c r="AA16" s="563"/>
      <c r="AB16" s="563"/>
      <c r="AC16" s="563"/>
      <c r="AD16" s="563"/>
      <c r="AE16" s="563"/>
      <c r="AF16" s="563"/>
      <c r="AG16" s="563"/>
      <c r="AH16" s="563"/>
      <c r="AI16" s="563"/>
      <c r="AJ16" s="563"/>
      <c r="AV16" s="279"/>
      <c r="AW16" s="280"/>
    </row>
    <row r="17" spans="1:52" s="278" customFormat="1" ht="19.5">
      <c r="N17" s="561"/>
      <c r="O17" s="561"/>
      <c r="P17" s="561"/>
      <c r="Q17" s="561"/>
      <c r="R17" s="561"/>
      <c r="S17" s="562" t="s">
        <v>99</v>
      </c>
      <c r="T17" s="562"/>
      <c r="U17" s="562"/>
      <c r="V17" s="562"/>
      <c r="W17" s="564" t="str">
        <f>表紙!L45</f>
        <v/>
      </c>
      <c r="X17" s="563"/>
      <c r="Y17" s="563"/>
      <c r="Z17" s="563"/>
      <c r="AA17" s="563"/>
      <c r="AB17" s="563"/>
      <c r="AC17" s="563"/>
      <c r="AD17" s="563"/>
      <c r="AE17" s="563"/>
      <c r="AF17" s="563"/>
      <c r="AG17" s="563"/>
      <c r="AH17" s="563"/>
      <c r="AI17" s="563"/>
      <c r="AJ17" s="563"/>
      <c r="AV17" s="279"/>
      <c r="AW17" s="280"/>
    </row>
    <row r="18" spans="1:52" s="278" customFormat="1" ht="19.5">
      <c r="N18" s="561"/>
      <c r="O18" s="561"/>
      <c r="P18" s="561"/>
      <c r="Q18" s="561"/>
      <c r="R18" s="561"/>
      <c r="S18" s="562"/>
      <c r="T18" s="562"/>
      <c r="U18" s="562"/>
      <c r="V18" s="562"/>
      <c r="W18" s="563"/>
      <c r="X18" s="563"/>
      <c r="Y18" s="563"/>
      <c r="Z18" s="563"/>
      <c r="AA18" s="563"/>
      <c r="AB18" s="563"/>
      <c r="AC18" s="563"/>
      <c r="AD18" s="563"/>
      <c r="AE18" s="563"/>
      <c r="AF18" s="563"/>
      <c r="AG18" s="563"/>
      <c r="AH18" s="563"/>
      <c r="AI18" s="563"/>
      <c r="AJ18" s="563"/>
      <c r="AV18" s="279"/>
      <c r="AW18" s="280"/>
    </row>
    <row r="19" spans="1:52" s="278" customFormat="1" ht="19.5">
      <c r="AV19" s="279"/>
      <c r="AW19" s="280"/>
    </row>
    <row r="20" spans="1:52" s="278" customFormat="1" ht="24">
      <c r="A20" s="546" t="str">
        <f>"　標記の補助金交付申請（申請額："&amp;TEXT(表紙!G20,"###,0")&amp;"円）に係る振込先口座情報及び当該口座の通帳写しについては"</f>
        <v>　標記の補助金交付申請（申請額：金　　　　　　　　　円円）に係る振込先口座情報及び当該口座の通帳写しについては</v>
      </c>
      <c r="B20" s="547"/>
      <c r="C20" s="547"/>
      <c r="D20" s="547"/>
      <c r="E20" s="547"/>
      <c r="F20" s="547"/>
      <c r="G20" s="547"/>
      <c r="H20" s="548"/>
      <c r="I20" s="548"/>
      <c r="J20" s="548"/>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8"/>
      <c r="AV20" s="279"/>
      <c r="AW20" s="280"/>
    </row>
    <row r="21" spans="1:52" s="278" customFormat="1" ht="24">
      <c r="A21" s="160" t="s">
        <v>109</v>
      </c>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V21" s="279"/>
      <c r="AW21" s="280"/>
    </row>
    <row r="22" spans="1:52" s="278" customFormat="1" ht="19.5">
      <c r="AV22" s="281" t="str">
        <f>IF(COUNTIF(AV23:AV31,"○")=8,"○","×")</f>
        <v>×</v>
      </c>
      <c r="AW22" s="529" t="str">
        <f>IF(COUNTIF(AV23:AV31,"×")&gt;=1,"【総合判定】入力が不十分な箇所があります。以下の赤着色の箇所を御確認ください。","【総合判定】全ての情報が正しく入力されました。")</f>
        <v>【総合判定】入力が不十分な箇所があります。以下の赤着色の箇所を御確認ください。</v>
      </c>
      <c r="AX22" s="530"/>
    </row>
    <row r="23" spans="1:52" s="278" customFormat="1" ht="24">
      <c r="A23" s="549" t="s">
        <v>113</v>
      </c>
      <c r="B23" s="552" t="s">
        <v>100</v>
      </c>
      <c r="C23" s="525"/>
      <c r="D23" s="525"/>
      <c r="E23" s="525"/>
      <c r="F23" s="526"/>
      <c r="G23" s="161"/>
      <c r="H23" s="162"/>
      <c r="I23" s="162"/>
      <c r="J23" s="163"/>
      <c r="K23" s="544" t="s">
        <v>117</v>
      </c>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7"/>
      <c r="AV23" s="282" t="str">
        <f>IF(COUNTA(G23:J23)=4,"○","×")</f>
        <v>×</v>
      </c>
      <c r="AW23" s="529" t="str">
        <f>IF(AV23="×","【金融機関コード】４桁の番号が未入力又は正しく入力されていません。","４桁の金融機関コードが正しく入力されました。")</f>
        <v>【金融機関コード】４桁の番号が未入力又は正しく入力されていません。</v>
      </c>
      <c r="AX23" s="530"/>
      <c r="AY23" s="278" t="str">
        <f>IF(AV23="×","４桁の金融機関コードが未入力又は正しく入力されていません。/","")</f>
        <v>４桁の金融機関コードが未入力又は正しく入力されていません。/</v>
      </c>
    </row>
    <row r="24" spans="1:52" s="278" customFormat="1" ht="24">
      <c r="A24" s="550"/>
      <c r="B24" s="553" t="s">
        <v>101</v>
      </c>
      <c r="C24" s="554"/>
      <c r="D24" s="554"/>
      <c r="E24" s="554"/>
      <c r="F24" s="554"/>
      <c r="G24" s="161"/>
      <c r="H24" s="162"/>
      <c r="I24" s="163"/>
      <c r="J24" s="283"/>
      <c r="K24" s="537" t="s">
        <v>118</v>
      </c>
      <c r="L24" s="555"/>
      <c r="M24" s="555"/>
      <c r="N24" s="555"/>
      <c r="O24" s="555"/>
      <c r="P24" s="555"/>
      <c r="Q24" s="555"/>
      <c r="R24" s="555"/>
      <c r="S24" s="555"/>
      <c r="T24" s="555"/>
      <c r="U24" s="555"/>
      <c r="V24" s="555"/>
      <c r="W24" s="555"/>
      <c r="X24" s="555"/>
      <c r="Y24" s="555"/>
      <c r="Z24" s="555"/>
      <c r="AA24" s="555"/>
      <c r="AB24" s="555"/>
      <c r="AC24" s="555"/>
      <c r="AD24" s="555"/>
      <c r="AE24" s="555"/>
      <c r="AF24" s="555"/>
      <c r="AG24" s="555"/>
      <c r="AH24" s="555"/>
      <c r="AI24" s="555"/>
      <c r="AJ24" s="555"/>
      <c r="AV24" s="282" t="str">
        <f>IF(COUNTA(G24:I24)=3,"○","×")</f>
        <v>×</v>
      </c>
      <c r="AW24" s="529" t="str">
        <f>IF(AV24="×","【支店番号】３桁の番号が未入力又は正しく入力されていません。","３桁の支店番号が正しく入力されました。")</f>
        <v>【支店番号】３桁の番号が未入力又は正しく入力されていません。</v>
      </c>
      <c r="AX24" s="530"/>
      <c r="AY24" s="278" t="str">
        <f>IF(AV24="×","３桁の支店番号が未入力又は正しく入力されていません。/","")</f>
        <v>３桁の支店番号が未入力又は正しく入力されていません。/</v>
      </c>
    </row>
    <row r="25" spans="1:52" s="278" customFormat="1" ht="24">
      <c r="A25" s="550"/>
      <c r="B25" s="532" t="s">
        <v>102</v>
      </c>
      <c r="C25" s="533"/>
      <c r="D25" s="533"/>
      <c r="E25" s="533"/>
      <c r="F25" s="540"/>
      <c r="G25" s="558"/>
      <c r="H25" s="531"/>
      <c r="I25" s="531"/>
      <c r="J25" s="531"/>
      <c r="K25" s="531"/>
      <c r="L25" s="531"/>
      <c r="M25" s="559"/>
      <c r="N25" s="560" t="s">
        <v>116</v>
      </c>
      <c r="O25" s="555"/>
      <c r="P25" s="555"/>
      <c r="Q25" s="555"/>
      <c r="R25" s="555"/>
      <c r="S25" s="555"/>
      <c r="T25" s="555"/>
      <c r="U25" s="555"/>
      <c r="V25" s="555"/>
      <c r="W25" s="555"/>
      <c r="X25" s="555"/>
      <c r="Y25" s="555"/>
      <c r="Z25" s="555"/>
      <c r="AA25" s="555"/>
      <c r="AB25" s="555"/>
      <c r="AC25" s="555"/>
      <c r="AD25" s="555"/>
      <c r="AE25" s="555"/>
      <c r="AF25" s="555"/>
      <c r="AG25" s="555"/>
      <c r="AH25" s="555"/>
      <c r="AI25" s="555"/>
      <c r="AJ25" s="555"/>
      <c r="AV25" s="282" t="str">
        <f>IF(COUNTA(G25)=1,"○","×")</f>
        <v>×</v>
      </c>
      <c r="AW25" s="529" t="str">
        <f>IF(AV25="×","【金融機関名】名称が未入力です","金融機関の名称が正しく入力されました。")</f>
        <v>【金融機関名】名称が未入力です</v>
      </c>
      <c r="AX25" s="530"/>
      <c r="AY25" s="278" t="str">
        <f>IF(AV25="×","金融機関名が未入力です。/","")</f>
        <v>金融機関名が未入力です。/</v>
      </c>
    </row>
    <row r="26" spans="1:52" s="278" customFormat="1" ht="24">
      <c r="A26" s="550"/>
      <c r="B26" s="532" t="s">
        <v>103</v>
      </c>
      <c r="C26" s="533"/>
      <c r="D26" s="533"/>
      <c r="E26" s="533"/>
      <c r="F26" s="540"/>
      <c r="G26" s="541"/>
      <c r="H26" s="542"/>
      <c r="I26" s="542"/>
      <c r="J26" s="542"/>
      <c r="K26" s="542"/>
      <c r="L26" s="542"/>
      <c r="M26" s="543"/>
      <c r="N26" s="544" t="s">
        <v>115</v>
      </c>
      <c r="O26" s="537"/>
      <c r="P26" s="537"/>
      <c r="Q26" s="537"/>
      <c r="R26" s="537"/>
      <c r="S26" s="537"/>
      <c r="T26" s="537"/>
      <c r="U26" s="537"/>
      <c r="V26" s="537"/>
      <c r="W26" s="537"/>
      <c r="X26" s="537"/>
      <c r="Y26" s="537"/>
      <c r="Z26" s="537"/>
      <c r="AA26" s="537"/>
      <c r="AB26" s="537"/>
      <c r="AC26" s="537"/>
      <c r="AD26" s="537"/>
      <c r="AE26" s="537"/>
      <c r="AF26" s="537"/>
      <c r="AG26" s="537"/>
      <c r="AH26" s="537"/>
      <c r="AI26" s="537"/>
      <c r="AJ26" s="537"/>
      <c r="AV26" s="282" t="str">
        <f>IF(COUNTA(G26)=1,"○","×")</f>
        <v>×</v>
      </c>
      <c r="AW26" s="529" t="str">
        <f>IF(AV26="×","【支店名】金融機関の支店名称が未入力です","金融機関の支店名称が正しく入力されました。")</f>
        <v>【支店名】金融機関の支店名称が未入力です</v>
      </c>
      <c r="AX26" s="530"/>
      <c r="AY26" s="278" t="str">
        <f>IF(AV26="×","金融機関の支店名称が未入力です。/","")</f>
        <v>金融機関の支店名称が未入力です。/</v>
      </c>
    </row>
    <row r="27" spans="1:52" s="278" customFormat="1" ht="24" hidden="1">
      <c r="A27" s="550"/>
      <c r="B27" s="545"/>
      <c r="C27" s="537"/>
      <c r="D27" s="537"/>
      <c r="E27" s="537"/>
      <c r="F27" s="537"/>
      <c r="G27" s="537"/>
      <c r="H27" s="537"/>
      <c r="I27" s="537"/>
      <c r="J27" s="537"/>
      <c r="K27" s="537"/>
      <c r="L27" s="537"/>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7"/>
      <c r="AV27" s="282"/>
      <c r="AW27" s="284"/>
      <c r="AX27" s="285"/>
    </row>
    <row r="28" spans="1:52" s="278" customFormat="1" ht="24">
      <c r="A28" s="550"/>
      <c r="B28" s="532" t="s">
        <v>104</v>
      </c>
      <c r="C28" s="533"/>
      <c r="D28" s="533"/>
      <c r="E28" s="533"/>
      <c r="F28" s="533"/>
      <c r="G28" s="534"/>
      <c r="H28" s="535"/>
      <c r="I28" s="536" t="s">
        <v>105</v>
      </c>
      <c r="J28" s="537"/>
      <c r="K28" s="537"/>
      <c r="L28" s="537"/>
      <c r="M28" s="537"/>
      <c r="N28" s="537"/>
      <c r="O28" s="537"/>
      <c r="P28" s="537"/>
      <c r="Q28" s="537"/>
      <c r="R28" s="537"/>
      <c r="S28" s="537"/>
      <c r="T28" s="537"/>
      <c r="U28" s="537"/>
      <c r="V28" s="537"/>
      <c r="W28" s="537"/>
      <c r="X28" s="537"/>
      <c r="Y28" s="537"/>
      <c r="Z28" s="537"/>
      <c r="AA28" s="537"/>
      <c r="AB28" s="537"/>
      <c r="AC28" s="537"/>
      <c r="AD28" s="537"/>
      <c r="AE28" s="537"/>
      <c r="AF28" s="537"/>
      <c r="AG28" s="537"/>
      <c r="AH28" s="537"/>
      <c r="AI28" s="537"/>
      <c r="AJ28" s="537"/>
      <c r="AV28" s="282" t="str">
        <f>IF(COUNTA(G28)=1,"○","×")</f>
        <v>×</v>
      </c>
      <c r="AW28" s="529" t="str">
        <f>IF(AV28="×","【預金種別】預金種別の番号が未入力です","預金種別の番号が正しく入力されました。")</f>
        <v>【預金種別】預金種別の番号が未入力です</v>
      </c>
      <c r="AX28" s="530"/>
      <c r="AY28" s="278" t="str">
        <f>IF(AV28="×","預金種別の番号が未入力です。/","")</f>
        <v>預金種別の番号が未入力です。/</v>
      </c>
    </row>
    <row r="29" spans="1:52" s="278" customFormat="1" ht="24">
      <c r="A29" s="550"/>
      <c r="B29" s="532" t="s">
        <v>106</v>
      </c>
      <c r="C29" s="533"/>
      <c r="D29" s="533"/>
      <c r="E29" s="533"/>
      <c r="F29" s="533"/>
      <c r="G29" s="164"/>
      <c r="H29" s="165"/>
      <c r="I29" s="165"/>
      <c r="J29" s="165"/>
      <c r="K29" s="165"/>
      <c r="L29" s="165"/>
      <c r="M29" s="166"/>
      <c r="N29" s="556" t="s">
        <v>114</v>
      </c>
      <c r="O29" s="557"/>
      <c r="P29" s="557"/>
      <c r="Q29" s="557"/>
      <c r="R29" s="557"/>
      <c r="S29" s="557"/>
      <c r="T29" s="557"/>
      <c r="U29" s="557"/>
      <c r="V29" s="557"/>
      <c r="W29" s="557"/>
      <c r="X29" s="557"/>
      <c r="Y29" s="557"/>
      <c r="Z29" s="557"/>
      <c r="AA29" s="557"/>
      <c r="AB29" s="557"/>
      <c r="AC29" s="557"/>
      <c r="AD29" s="557"/>
      <c r="AE29" s="557"/>
      <c r="AF29" s="557"/>
      <c r="AG29" s="557"/>
      <c r="AH29" s="557"/>
      <c r="AI29" s="557"/>
      <c r="AJ29" s="557"/>
      <c r="AV29" s="282" t="str">
        <f>IF(COUNTA(G29:M29)=7,"○","×")</f>
        <v>×</v>
      </c>
      <c r="AW29" s="529" t="str">
        <f>IF(AV29="×","【口座番号】７桁の口座番号が未入力又は正しく入力されていません。","７桁の口座番号が正しく入力されました。")</f>
        <v>【口座番号】７桁の口座番号が未入力又は正しく入力されていません。</v>
      </c>
      <c r="AX29" s="530"/>
      <c r="AY29" s="278" t="str">
        <f>IF(AV29="×","７桁の口座番号が未入力又は正しく入力されていません。/","")</f>
        <v>７桁の口座番号が未入力又は正しく入力されていません。/</v>
      </c>
    </row>
    <row r="30" spans="1:52" s="278" customFormat="1" ht="24.75" customHeight="1">
      <c r="A30" s="550"/>
      <c r="B30" s="525" t="s">
        <v>107</v>
      </c>
      <c r="C30" s="525"/>
      <c r="D30" s="525"/>
      <c r="E30" s="525"/>
      <c r="F30" s="526"/>
      <c r="G30" s="527"/>
      <c r="H30" s="528"/>
      <c r="I30" s="528"/>
      <c r="J30" s="528"/>
      <c r="K30" s="528"/>
      <c r="L30" s="528"/>
      <c r="M30" s="528"/>
      <c r="N30" s="528"/>
      <c r="O30" s="528"/>
      <c r="P30" s="528"/>
      <c r="Q30" s="528"/>
      <c r="R30" s="528"/>
      <c r="S30" s="528"/>
      <c r="T30" s="528"/>
      <c r="U30" s="528"/>
      <c r="V30" s="528"/>
      <c r="W30" s="528"/>
      <c r="X30" s="528"/>
      <c r="Y30" s="528"/>
      <c r="Z30" s="528"/>
      <c r="AA30" s="528"/>
      <c r="AB30" s="528"/>
      <c r="AC30" s="528"/>
      <c r="AD30" s="528"/>
      <c r="AE30" s="528"/>
      <c r="AF30" s="528"/>
      <c r="AG30" s="528"/>
      <c r="AH30" s="528"/>
      <c r="AI30" s="528"/>
      <c r="AJ30" s="528"/>
      <c r="AV30" s="282" t="str">
        <f>IF(COUNTA(G30:AJ30)&gt;=1,"○","×")</f>
        <v>×</v>
      </c>
      <c r="AW30" s="529" t="str">
        <f>IF(AV30="×","【口座名義（ｶﾅ）】口座のｶﾅ名義が未入力です。","口座のｶﾅ名義がが正しく入力されました。")</f>
        <v>【口座名義（ｶﾅ）】口座のｶﾅ名義が未入力です。</v>
      </c>
      <c r="AX30" s="530"/>
      <c r="AY30" s="278" t="str">
        <f>IF(AV30="×","口座のｶﾅ名義が未入力です。/","")</f>
        <v>口座のｶﾅ名義が未入力です。/</v>
      </c>
    </row>
    <row r="31" spans="1:52" s="278" customFormat="1" ht="24.75" customHeight="1">
      <c r="A31" s="551"/>
      <c r="B31" s="525" t="s">
        <v>110</v>
      </c>
      <c r="C31" s="525"/>
      <c r="D31" s="525"/>
      <c r="E31" s="525"/>
      <c r="F31" s="526"/>
      <c r="G31" s="527"/>
      <c r="H31" s="531"/>
      <c r="I31" s="531"/>
      <c r="J31" s="531"/>
      <c r="K31" s="531"/>
      <c r="L31" s="531"/>
      <c r="M31" s="531"/>
      <c r="N31" s="531"/>
      <c r="O31" s="531"/>
      <c r="P31" s="531"/>
      <c r="Q31" s="531"/>
      <c r="R31" s="531"/>
      <c r="S31" s="531"/>
      <c r="T31" s="531"/>
      <c r="U31" s="531"/>
      <c r="V31" s="531"/>
      <c r="W31" s="531"/>
      <c r="X31" s="531"/>
      <c r="Y31" s="531"/>
      <c r="Z31" s="531"/>
      <c r="AA31" s="531"/>
      <c r="AB31" s="531"/>
      <c r="AC31" s="531"/>
      <c r="AD31" s="531"/>
      <c r="AE31" s="531"/>
      <c r="AF31" s="531"/>
      <c r="AG31" s="531"/>
      <c r="AH31" s="531"/>
      <c r="AI31" s="531"/>
      <c r="AJ31" s="531"/>
      <c r="AV31" s="282" t="str">
        <f>IF(COUNTA(G31:AJ31)&gt;=1,"○","×")</f>
        <v>×</v>
      </c>
      <c r="AW31" s="529" t="str">
        <f>IF(AV31="×","【口座名義】口座の名義が未入力です。","口座の名義がが正しく入力されました。")</f>
        <v>【口座名義】口座の名義が未入力です。</v>
      </c>
      <c r="AX31" s="530"/>
      <c r="AY31" s="278" t="str">
        <f>IF(AV31="×","口座の名義が未入力です。/","")</f>
        <v>口座の名義が未入力です。/</v>
      </c>
    </row>
    <row r="32" spans="1:52" s="278" customFormat="1" ht="24">
      <c r="A32" s="538" t="s">
        <v>108</v>
      </c>
      <c r="B32" s="539"/>
      <c r="C32" s="539"/>
      <c r="D32" s="539"/>
      <c r="E32" s="539"/>
      <c r="F32" s="539"/>
      <c r="G32" s="539"/>
      <c r="H32" s="539"/>
      <c r="I32" s="539"/>
      <c r="J32" s="539"/>
      <c r="K32" s="539"/>
      <c r="L32" s="539"/>
      <c r="M32" s="539"/>
      <c r="N32" s="539"/>
      <c r="O32" s="539"/>
      <c r="P32" s="539"/>
      <c r="Q32" s="539"/>
      <c r="R32" s="539"/>
      <c r="S32" s="539"/>
      <c r="T32" s="539"/>
      <c r="U32" s="539"/>
      <c r="V32" s="539"/>
      <c r="W32" s="539"/>
      <c r="X32" s="539"/>
      <c r="Y32" s="539"/>
      <c r="Z32" s="539"/>
      <c r="AA32" s="539"/>
      <c r="AB32" s="539"/>
      <c r="AC32" s="539"/>
      <c r="AD32" s="539"/>
      <c r="AE32" s="539"/>
      <c r="AF32" s="539"/>
      <c r="AG32" s="539"/>
      <c r="AH32" s="539"/>
      <c r="AI32" s="539"/>
      <c r="AJ32" s="539"/>
      <c r="AV32" s="279"/>
      <c r="AW32" s="280"/>
      <c r="AY32" s="286" t="str">
        <f>AY23&amp;AY24&amp;AY25&amp;AY26&amp;AY28&amp;AY29&amp;AY30&amp;AY31</f>
        <v>４桁の金融機関コードが未入力又は正しく入力されていません。/３桁の支店番号が未入力又は正しく入力されていません。/金融機関名が未入力です。/金融機関の支店名称が未入力です。/預金種別の番号が未入力です。/７桁の口座番号が未入力又は正しく入力されていません。/口座のｶﾅ名義が未入力です。/口座の名義が未入力です。/</v>
      </c>
      <c r="AZ32" s="278" t="s">
        <v>260</v>
      </c>
    </row>
    <row r="33" spans="2:49" s="278" customFormat="1" ht="24.75" thickBot="1">
      <c r="C33" s="287"/>
      <c r="AV33" s="279"/>
      <c r="AW33" s="280"/>
    </row>
    <row r="34" spans="2:49" s="278" customFormat="1" ht="19.5">
      <c r="B34" s="516" t="s">
        <v>111</v>
      </c>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8"/>
      <c r="AV34" s="279"/>
      <c r="AW34" s="280"/>
    </row>
    <row r="35" spans="2:49" s="278" customFormat="1" ht="19.5">
      <c r="B35" s="519"/>
      <c r="C35" s="520"/>
      <c r="D35" s="520"/>
      <c r="E35" s="520"/>
      <c r="F35" s="520"/>
      <c r="G35" s="520"/>
      <c r="H35" s="520"/>
      <c r="I35" s="520"/>
      <c r="J35" s="520"/>
      <c r="K35" s="520"/>
      <c r="L35" s="520"/>
      <c r="M35" s="520"/>
      <c r="N35" s="520"/>
      <c r="O35" s="520"/>
      <c r="P35" s="520"/>
      <c r="Q35" s="520"/>
      <c r="R35" s="520"/>
      <c r="S35" s="520"/>
      <c r="T35" s="520"/>
      <c r="U35" s="520"/>
      <c r="V35" s="520"/>
      <c r="W35" s="520"/>
      <c r="X35" s="520"/>
      <c r="Y35" s="520"/>
      <c r="Z35" s="520"/>
      <c r="AA35" s="520"/>
      <c r="AB35" s="520"/>
      <c r="AC35" s="520"/>
      <c r="AD35" s="520"/>
      <c r="AE35" s="520"/>
      <c r="AF35" s="520"/>
      <c r="AG35" s="520"/>
      <c r="AH35" s="520"/>
      <c r="AI35" s="521"/>
      <c r="AV35" s="279"/>
      <c r="AW35" s="280"/>
    </row>
    <row r="36" spans="2:49" s="278" customFormat="1" ht="19.5">
      <c r="B36" s="519"/>
      <c r="C36" s="520"/>
      <c r="D36" s="520"/>
      <c r="E36" s="520"/>
      <c r="F36" s="520"/>
      <c r="G36" s="520"/>
      <c r="H36" s="520"/>
      <c r="I36" s="520"/>
      <c r="J36" s="520"/>
      <c r="K36" s="520"/>
      <c r="L36" s="520"/>
      <c r="M36" s="520"/>
      <c r="N36" s="520"/>
      <c r="O36" s="520"/>
      <c r="P36" s="520"/>
      <c r="Q36" s="520"/>
      <c r="R36" s="520"/>
      <c r="S36" s="520"/>
      <c r="T36" s="520"/>
      <c r="U36" s="520"/>
      <c r="V36" s="520"/>
      <c r="W36" s="520"/>
      <c r="X36" s="520"/>
      <c r="Y36" s="520"/>
      <c r="Z36" s="520"/>
      <c r="AA36" s="520"/>
      <c r="AB36" s="520"/>
      <c r="AC36" s="520"/>
      <c r="AD36" s="520"/>
      <c r="AE36" s="520"/>
      <c r="AF36" s="520"/>
      <c r="AG36" s="520"/>
      <c r="AH36" s="520"/>
      <c r="AI36" s="521"/>
      <c r="AV36" s="279"/>
      <c r="AW36" s="280"/>
    </row>
    <row r="37" spans="2:49" s="278" customFormat="1" ht="19.5">
      <c r="B37" s="519"/>
      <c r="C37" s="520"/>
      <c r="D37" s="520"/>
      <c r="E37" s="520"/>
      <c r="F37" s="520"/>
      <c r="G37" s="520"/>
      <c r="H37" s="520"/>
      <c r="I37" s="520"/>
      <c r="J37" s="520"/>
      <c r="K37" s="520"/>
      <c r="L37" s="520"/>
      <c r="M37" s="520"/>
      <c r="N37" s="520"/>
      <c r="O37" s="520"/>
      <c r="P37" s="520"/>
      <c r="Q37" s="520"/>
      <c r="R37" s="520"/>
      <c r="S37" s="520"/>
      <c r="T37" s="520"/>
      <c r="U37" s="520"/>
      <c r="V37" s="520"/>
      <c r="W37" s="520"/>
      <c r="X37" s="520"/>
      <c r="Y37" s="520"/>
      <c r="Z37" s="520"/>
      <c r="AA37" s="520"/>
      <c r="AB37" s="520"/>
      <c r="AC37" s="520"/>
      <c r="AD37" s="520"/>
      <c r="AE37" s="520"/>
      <c r="AF37" s="520"/>
      <c r="AG37" s="520"/>
      <c r="AH37" s="520"/>
      <c r="AI37" s="521"/>
      <c r="AV37" s="279"/>
      <c r="AW37" s="280"/>
    </row>
    <row r="38" spans="2:49" s="278" customFormat="1" ht="19.5">
      <c r="B38" s="519"/>
      <c r="C38" s="520"/>
      <c r="D38" s="520"/>
      <c r="E38" s="520"/>
      <c r="F38" s="520"/>
      <c r="G38" s="520"/>
      <c r="H38" s="520"/>
      <c r="I38" s="520"/>
      <c r="J38" s="520"/>
      <c r="K38" s="520"/>
      <c r="L38" s="520"/>
      <c r="M38" s="520"/>
      <c r="N38" s="520"/>
      <c r="O38" s="520"/>
      <c r="P38" s="520"/>
      <c r="Q38" s="520"/>
      <c r="R38" s="520"/>
      <c r="S38" s="520"/>
      <c r="T38" s="520"/>
      <c r="U38" s="520"/>
      <c r="V38" s="520"/>
      <c r="W38" s="520"/>
      <c r="X38" s="520"/>
      <c r="Y38" s="520"/>
      <c r="Z38" s="520"/>
      <c r="AA38" s="520"/>
      <c r="AB38" s="520"/>
      <c r="AC38" s="520"/>
      <c r="AD38" s="520"/>
      <c r="AE38" s="520"/>
      <c r="AF38" s="520"/>
      <c r="AG38" s="520"/>
      <c r="AH38" s="520"/>
      <c r="AI38" s="521"/>
      <c r="AV38" s="279"/>
      <c r="AW38" s="280"/>
    </row>
    <row r="39" spans="2:49" s="278" customFormat="1" ht="19.5">
      <c r="B39" s="519"/>
      <c r="C39" s="520"/>
      <c r="D39" s="520"/>
      <c r="E39" s="520"/>
      <c r="F39" s="520"/>
      <c r="G39" s="520"/>
      <c r="H39" s="520"/>
      <c r="I39" s="520"/>
      <c r="J39" s="520"/>
      <c r="K39" s="520"/>
      <c r="L39" s="520"/>
      <c r="M39" s="520"/>
      <c r="N39" s="520"/>
      <c r="O39" s="520"/>
      <c r="P39" s="520"/>
      <c r="Q39" s="520"/>
      <c r="R39" s="520"/>
      <c r="S39" s="520"/>
      <c r="T39" s="520"/>
      <c r="U39" s="520"/>
      <c r="V39" s="520"/>
      <c r="W39" s="520"/>
      <c r="X39" s="520"/>
      <c r="Y39" s="520"/>
      <c r="Z39" s="520"/>
      <c r="AA39" s="520"/>
      <c r="AB39" s="520"/>
      <c r="AC39" s="520"/>
      <c r="AD39" s="520"/>
      <c r="AE39" s="520"/>
      <c r="AF39" s="520"/>
      <c r="AG39" s="520"/>
      <c r="AH39" s="520"/>
      <c r="AI39" s="521"/>
      <c r="AV39" s="279"/>
      <c r="AW39" s="280"/>
    </row>
    <row r="40" spans="2:49" s="278" customFormat="1" ht="19.5">
      <c r="B40" s="519"/>
      <c r="C40" s="520"/>
      <c r="D40" s="520"/>
      <c r="E40" s="520"/>
      <c r="F40" s="520"/>
      <c r="G40" s="520"/>
      <c r="H40" s="520"/>
      <c r="I40" s="520"/>
      <c r="J40" s="520"/>
      <c r="K40" s="520"/>
      <c r="L40" s="520"/>
      <c r="M40" s="520"/>
      <c r="N40" s="520"/>
      <c r="O40" s="520"/>
      <c r="P40" s="520"/>
      <c r="Q40" s="520"/>
      <c r="R40" s="520"/>
      <c r="S40" s="520"/>
      <c r="T40" s="520"/>
      <c r="U40" s="520"/>
      <c r="V40" s="520"/>
      <c r="W40" s="520"/>
      <c r="X40" s="520"/>
      <c r="Y40" s="520"/>
      <c r="Z40" s="520"/>
      <c r="AA40" s="520"/>
      <c r="AB40" s="520"/>
      <c r="AC40" s="520"/>
      <c r="AD40" s="520"/>
      <c r="AE40" s="520"/>
      <c r="AF40" s="520"/>
      <c r="AG40" s="520"/>
      <c r="AH40" s="520"/>
      <c r="AI40" s="521"/>
      <c r="AV40" s="279"/>
      <c r="AW40" s="280"/>
    </row>
    <row r="41" spans="2:49" s="278" customFormat="1" ht="19.5">
      <c r="B41" s="519"/>
      <c r="C41" s="520"/>
      <c r="D41" s="520"/>
      <c r="E41" s="520"/>
      <c r="F41" s="520"/>
      <c r="G41" s="520"/>
      <c r="H41" s="520"/>
      <c r="I41" s="520"/>
      <c r="J41" s="520"/>
      <c r="K41" s="520"/>
      <c r="L41" s="520"/>
      <c r="M41" s="520"/>
      <c r="N41" s="520"/>
      <c r="O41" s="520"/>
      <c r="P41" s="520"/>
      <c r="Q41" s="520"/>
      <c r="R41" s="520"/>
      <c r="S41" s="520"/>
      <c r="T41" s="520"/>
      <c r="U41" s="520"/>
      <c r="V41" s="520"/>
      <c r="W41" s="520"/>
      <c r="X41" s="520"/>
      <c r="Y41" s="520"/>
      <c r="Z41" s="520"/>
      <c r="AA41" s="520"/>
      <c r="AB41" s="520"/>
      <c r="AC41" s="520"/>
      <c r="AD41" s="520"/>
      <c r="AE41" s="520"/>
      <c r="AF41" s="520"/>
      <c r="AG41" s="520"/>
      <c r="AH41" s="520"/>
      <c r="AI41" s="521"/>
      <c r="AV41" s="279"/>
      <c r="AW41" s="280"/>
    </row>
    <row r="42" spans="2:49" s="278" customFormat="1" ht="19.5">
      <c r="B42" s="519"/>
      <c r="C42" s="520"/>
      <c r="D42" s="520"/>
      <c r="E42" s="520"/>
      <c r="F42" s="520"/>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520"/>
      <c r="AI42" s="521"/>
      <c r="AV42" s="279"/>
      <c r="AW42" s="280"/>
    </row>
    <row r="43" spans="2:49" s="278" customFormat="1" ht="19.5">
      <c r="B43" s="519"/>
      <c r="C43" s="520"/>
      <c r="D43" s="520"/>
      <c r="E43" s="520"/>
      <c r="F43" s="520"/>
      <c r="G43" s="520"/>
      <c r="H43" s="520"/>
      <c r="I43" s="520"/>
      <c r="J43" s="520"/>
      <c r="K43" s="520"/>
      <c r="L43" s="520"/>
      <c r="M43" s="520"/>
      <c r="N43" s="520"/>
      <c r="O43" s="520"/>
      <c r="P43" s="520"/>
      <c r="Q43" s="520"/>
      <c r="R43" s="520"/>
      <c r="S43" s="520"/>
      <c r="T43" s="520"/>
      <c r="U43" s="520"/>
      <c r="V43" s="520"/>
      <c r="W43" s="520"/>
      <c r="X43" s="520"/>
      <c r="Y43" s="520"/>
      <c r="Z43" s="520"/>
      <c r="AA43" s="520"/>
      <c r="AB43" s="520"/>
      <c r="AC43" s="520"/>
      <c r="AD43" s="520"/>
      <c r="AE43" s="520"/>
      <c r="AF43" s="520"/>
      <c r="AG43" s="520"/>
      <c r="AH43" s="520"/>
      <c r="AI43" s="521"/>
      <c r="AV43" s="279"/>
      <c r="AW43" s="280"/>
    </row>
    <row r="44" spans="2:49" s="278" customFormat="1" ht="19.5">
      <c r="B44" s="519"/>
      <c r="C44" s="520"/>
      <c r="D44" s="520"/>
      <c r="E44" s="520"/>
      <c r="F44" s="520"/>
      <c r="G44" s="520"/>
      <c r="H44" s="520"/>
      <c r="I44" s="520"/>
      <c r="J44" s="520"/>
      <c r="K44" s="520"/>
      <c r="L44" s="520"/>
      <c r="M44" s="520"/>
      <c r="N44" s="520"/>
      <c r="O44" s="520"/>
      <c r="P44" s="520"/>
      <c r="Q44" s="520"/>
      <c r="R44" s="520"/>
      <c r="S44" s="520"/>
      <c r="T44" s="520"/>
      <c r="U44" s="520"/>
      <c r="V44" s="520"/>
      <c r="W44" s="520"/>
      <c r="X44" s="520"/>
      <c r="Y44" s="520"/>
      <c r="Z44" s="520"/>
      <c r="AA44" s="520"/>
      <c r="AB44" s="520"/>
      <c r="AC44" s="520"/>
      <c r="AD44" s="520"/>
      <c r="AE44" s="520"/>
      <c r="AF44" s="520"/>
      <c r="AG44" s="520"/>
      <c r="AH44" s="520"/>
      <c r="AI44" s="521"/>
      <c r="AV44" s="279"/>
      <c r="AW44" s="280"/>
    </row>
    <row r="45" spans="2:49" s="278" customFormat="1" ht="19.5">
      <c r="B45" s="519"/>
      <c r="C45" s="520"/>
      <c r="D45" s="520"/>
      <c r="E45" s="520"/>
      <c r="F45" s="520"/>
      <c r="G45" s="520"/>
      <c r="H45" s="520"/>
      <c r="I45" s="520"/>
      <c r="J45" s="520"/>
      <c r="K45" s="520"/>
      <c r="L45" s="520"/>
      <c r="M45" s="520"/>
      <c r="N45" s="520"/>
      <c r="O45" s="520"/>
      <c r="P45" s="520"/>
      <c r="Q45" s="520"/>
      <c r="R45" s="520"/>
      <c r="S45" s="520"/>
      <c r="T45" s="520"/>
      <c r="U45" s="520"/>
      <c r="V45" s="520"/>
      <c r="W45" s="520"/>
      <c r="X45" s="520"/>
      <c r="Y45" s="520"/>
      <c r="Z45" s="520"/>
      <c r="AA45" s="520"/>
      <c r="AB45" s="520"/>
      <c r="AC45" s="520"/>
      <c r="AD45" s="520"/>
      <c r="AE45" s="520"/>
      <c r="AF45" s="520"/>
      <c r="AG45" s="520"/>
      <c r="AH45" s="520"/>
      <c r="AI45" s="521"/>
      <c r="AV45" s="279"/>
      <c r="AW45" s="280"/>
    </row>
    <row r="46" spans="2:49" s="278" customFormat="1" ht="19.5">
      <c r="B46" s="519"/>
      <c r="C46" s="520"/>
      <c r="D46" s="520"/>
      <c r="E46" s="520"/>
      <c r="F46" s="520"/>
      <c r="G46" s="520"/>
      <c r="H46" s="520"/>
      <c r="I46" s="520"/>
      <c r="J46" s="520"/>
      <c r="K46" s="520"/>
      <c r="L46" s="520"/>
      <c r="M46" s="520"/>
      <c r="N46" s="520"/>
      <c r="O46" s="520"/>
      <c r="P46" s="520"/>
      <c r="Q46" s="520"/>
      <c r="R46" s="520"/>
      <c r="S46" s="520"/>
      <c r="T46" s="520"/>
      <c r="U46" s="520"/>
      <c r="V46" s="520"/>
      <c r="W46" s="520"/>
      <c r="X46" s="520"/>
      <c r="Y46" s="520"/>
      <c r="Z46" s="520"/>
      <c r="AA46" s="520"/>
      <c r="AB46" s="520"/>
      <c r="AC46" s="520"/>
      <c r="AD46" s="520"/>
      <c r="AE46" s="520"/>
      <c r="AF46" s="520"/>
      <c r="AG46" s="520"/>
      <c r="AH46" s="520"/>
      <c r="AI46" s="521"/>
      <c r="AV46" s="279"/>
      <c r="AW46" s="280"/>
    </row>
    <row r="47" spans="2:49" s="278" customFormat="1" ht="19.5">
      <c r="B47" s="519"/>
      <c r="C47" s="520"/>
      <c r="D47" s="520"/>
      <c r="E47" s="520"/>
      <c r="F47" s="520"/>
      <c r="G47" s="520"/>
      <c r="H47" s="520"/>
      <c r="I47" s="520"/>
      <c r="J47" s="520"/>
      <c r="K47" s="520"/>
      <c r="L47" s="520"/>
      <c r="M47" s="520"/>
      <c r="N47" s="520"/>
      <c r="O47" s="520"/>
      <c r="P47" s="520"/>
      <c r="Q47" s="520"/>
      <c r="R47" s="520"/>
      <c r="S47" s="520"/>
      <c r="T47" s="520"/>
      <c r="U47" s="520"/>
      <c r="V47" s="520"/>
      <c r="W47" s="520"/>
      <c r="X47" s="520"/>
      <c r="Y47" s="520"/>
      <c r="Z47" s="520"/>
      <c r="AA47" s="520"/>
      <c r="AB47" s="520"/>
      <c r="AC47" s="520"/>
      <c r="AD47" s="520"/>
      <c r="AE47" s="520"/>
      <c r="AF47" s="520"/>
      <c r="AG47" s="520"/>
      <c r="AH47" s="520"/>
      <c r="AI47" s="521"/>
      <c r="AV47" s="279"/>
      <c r="AW47" s="280"/>
    </row>
    <row r="48" spans="2:49" s="278" customFormat="1" ht="19.5">
      <c r="B48" s="519"/>
      <c r="C48" s="520"/>
      <c r="D48" s="520"/>
      <c r="E48" s="520"/>
      <c r="F48" s="520"/>
      <c r="G48" s="520"/>
      <c r="H48" s="520"/>
      <c r="I48" s="520"/>
      <c r="J48" s="520"/>
      <c r="K48" s="520"/>
      <c r="L48" s="520"/>
      <c r="M48" s="520"/>
      <c r="N48" s="520"/>
      <c r="O48" s="520"/>
      <c r="P48" s="520"/>
      <c r="Q48" s="520"/>
      <c r="R48" s="520"/>
      <c r="S48" s="520"/>
      <c r="T48" s="520"/>
      <c r="U48" s="520"/>
      <c r="V48" s="520"/>
      <c r="W48" s="520"/>
      <c r="X48" s="520"/>
      <c r="Y48" s="520"/>
      <c r="Z48" s="520"/>
      <c r="AA48" s="520"/>
      <c r="AB48" s="520"/>
      <c r="AC48" s="520"/>
      <c r="AD48" s="520"/>
      <c r="AE48" s="520"/>
      <c r="AF48" s="520"/>
      <c r="AG48" s="520"/>
      <c r="AH48" s="520"/>
      <c r="AI48" s="521"/>
      <c r="AV48" s="279"/>
      <c r="AW48" s="280"/>
    </row>
    <row r="49" spans="2:49" s="278" customFormat="1" ht="19.5">
      <c r="B49" s="519"/>
      <c r="C49" s="520"/>
      <c r="D49" s="520"/>
      <c r="E49" s="520"/>
      <c r="F49" s="520"/>
      <c r="G49" s="520"/>
      <c r="H49" s="520"/>
      <c r="I49" s="520"/>
      <c r="J49" s="520"/>
      <c r="K49" s="520"/>
      <c r="L49" s="520"/>
      <c r="M49" s="520"/>
      <c r="N49" s="520"/>
      <c r="O49" s="520"/>
      <c r="P49" s="520"/>
      <c r="Q49" s="520"/>
      <c r="R49" s="520"/>
      <c r="S49" s="520"/>
      <c r="T49" s="520"/>
      <c r="U49" s="520"/>
      <c r="V49" s="520"/>
      <c r="W49" s="520"/>
      <c r="X49" s="520"/>
      <c r="Y49" s="520"/>
      <c r="Z49" s="520"/>
      <c r="AA49" s="520"/>
      <c r="AB49" s="520"/>
      <c r="AC49" s="520"/>
      <c r="AD49" s="520"/>
      <c r="AE49" s="520"/>
      <c r="AF49" s="520"/>
      <c r="AG49" s="520"/>
      <c r="AH49" s="520"/>
      <c r="AI49" s="521"/>
      <c r="AV49" s="279"/>
      <c r="AW49" s="280"/>
    </row>
    <row r="50" spans="2:49" s="278" customFormat="1" ht="19.5">
      <c r="B50" s="519"/>
      <c r="C50" s="520"/>
      <c r="D50" s="520"/>
      <c r="E50" s="520"/>
      <c r="F50" s="520"/>
      <c r="G50" s="520"/>
      <c r="H50" s="520"/>
      <c r="I50" s="520"/>
      <c r="J50" s="520"/>
      <c r="K50" s="520"/>
      <c r="L50" s="520"/>
      <c r="M50" s="520"/>
      <c r="N50" s="520"/>
      <c r="O50" s="520"/>
      <c r="P50" s="520"/>
      <c r="Q50" s="520"/>
      <c r="R50" s="520"/>
      <c r="S50" s="520"/>
      <c r="T50" s="520"/>
      <c r="U50" s="520"/>
      <c r="V50" s="520"/>
      <c r="W50" s="520"/>
      <c r="X50" s="520"/>
      <c r="Y50" s="520"/>
      <c r="Z50" s="520"/>
      <c r="AA50" s="520"/>
      <c r="AB50" s="520"/>
      <c r="AC50" s="520"/>
      <c r="AD50" s="520"/>
      <c r="AE50" s="520"/>
      <c r="AF50" s="520"/>
      <c r="AG50" s="520"/>
      <c r="AH50" s="520"/>
      <c r="AI50" s="521"/>
      <c r="AV50" s="279"/>
      <c r="AW50" s="280"/>
    </row>
    <row r="51" spans="2:49" s="278" customFormat="1" ht="19.5">
      <c r="B51" s="519"/>
      <c r="C51" s="520"/>
      <c r="D51" s="520"/>
      <c r="E51" s="520"/>
      <c r="F51" s="520"/>
      <c r="G51" s="520"/>
      <c r="H51" s="520"/>
      <c r="I51" s="520"/>
      <c r="J51" s="520"/>
      <c r="K51" s="520"/>
      <c r="L51" s="520"/>
      <c r="M51" s="520"/>
      <c r="N51" s="520"/>
      <c r="O51" s="520"/>
      <c r="P51" s="520"/>
      <c r="Q51" s="520"/>
      <c r="R51" s="520"/>
      <c r="S51" s="520"/>
      <c r="T51" s="520"/>
      <c r="U51" s="520"/>
      <c r="V51" s="520"/>
      <c r="W51" s="520"/>
      <c r="X51" s="520"/>
      <c r="Y51" s="520"/>
      <c r="Z51" s="520"/>
      <c r="AA51" s="520"/>
      <c r="AB51" s="520"/>
      <c r="AC51" s="520"/>
      <c r="AD51" s="520"/>
      <c r="AE51" s="520"/>
      <c r="AF51" s="520"/>
      <c r="AG51" s="520"/>
      <c r="AH51" s="520"/>
      <c r="AI51" s="521"/>
      <c r="AV51" s="279"/>
      <c r="AW51" s="280"/>
    </row>
    <row r="52" spans="2:49" s="278" customFormat="1" ht="19.5">
      <c r="B52" s="519"/>
      <c r="C52" s="520"/>
      <c r="D52" s="520"/>
      <c r="E52" s="520"/>
      <c r="F52" s="520"/>
      <c r="G52" s="520"/>
      <c r="H52" s="520"/>
      <c r="I52" s="520"/>
      <c r="J52" s="520"/>
      <c r="K52" s="520"/>
      <c r="L52" s="520"/>
      <c r="M52" s="520"/>
      <c r="N52" s="520"/>
      <c r="O52" s="520"/>
      <c r="P52" s="520"/>
      <c r="Q52" s="520"/>
      <c r="R52" s="520"/>
      <c r="S52" s="520"/>
      <c r="T52" s="520"/>
      <c r="U52" s="520"/>
      <c r="V52" s="520"/>
      <c r="W52" s="520"/>
      <c r="X52" s="520"/>
      <c r="Y52" s="520"/>
      <c r="Z52" s="520"/>
      <c r="AA52" s="520"/>
      <c r="AB52" s="520"/>
      <c r="AC52" s="520"/>
      <c r="AD52" s="520"/>
      <c r="AE52" s="520"/>
      <c r="AF52" s="520"/>
      <c r="AG52" s="520"/>
      <c r="AH52" s="520"/>
      <c r="AI52" s="521"/>
      <c r="AV52" s="279"/>
      <c r="AW52" s="280"/>
    </row>
    <row r="53" spans="2:49" s="278" customFormat="1" ht="19.5">
      <c r="B53" s="519"/>
      <c r="C53" s="520"/>
      <c r="D53" s="520"/>
      <c r="E53" s="520"/>
      <c r="F53" s="520"/>
      <c r="G53" s="520"/>
      <c r="H53" s="520"/>
      <c r="I53" s="520"/>
      <c r="J53" s="520"/>
      <c r="K53" s="520"/>
      <c r="L53" s="520"/>
      <c r="M53" s="520"/>
      <c r="N53" s="520"/>
      <c r="O53" s="520"/>
      <c r="P53" s="520"/>
      <c r="Q53" s="520"/>
      <c r="R53" s="520"/>
      <c r="S53" s="520"/>
      <c r="T53" s="520"/>
      <c r="U53" s="520"/>
      <c r="V53" s="520"/>
      <c r="W53" s="520"/>
      <c r="X53" s="520"/>
      <c r="Y53" s="520"/>
      <c r="Z53" s="520"/>
      <c r="AA53" s="520"/>
      <c r="AB53" s="520"/>
      <c r="AC53" s="520"/>
      <c r="AD53" s="520"/>
      <c r="AE53" s="520"/>
      <c r="AF53" s="520"/>
      <c r="AG53" s="520"/>
      <c r="AH53" s="520"/>
      <c r="AI53" s="521"/>
      <c r="AV53" s="279"/>
      <c r="AW53" s="280"/>
    </row>
    <row r="54" spans="2:49" s="278" customFormat="1" ht="19.5">
      <c r="B54" s="519"/>
      <c r="C54" s="520"/>
      <c r="D54" s="520"/>
      <c r="E54" s="520"/>
      <c r="F54" s="520"/>
      <c r="G54" s="520"/>
      <c r="H54" s="520"/>
      <c r="I54" s="520"/>
      <c r="J54" s="520"/>
      <c r="K54" s="520"/>
      <c r="L54" s="520"/>
      <c r="M54" s="520"/>
      <c r="N54" s="520"/>
      <c r="O54" s="520"/>
      <c r="P54" s="520"/>
      <c r="Q54" s="520"/>
      <c r="R54" s="520"/>
      <c r="S54" s="520"/>
      <c r="T54" s="520"/>
      <c r="U54" s="520"/>
      <c r="V54" s="520"/>
      <c r="W54" s="520"/>
      <c r="X54" s="520"/>
      <c r="Y54" s="520"/>
      <c r="Z54" s="520"/>
      <c r="AA54" s="520"/>
      <c r="AB54" s="520"/>
      <c r="AC54" s="520"/>
      <c r="AD54" s="520"/>
      <c r="AE54" s="520"/>
      <c r="AF54" s="520"/>
      <c r="AG54" s="520"/>
      <c r="AH54" s="520"/>
      <c r="AI54" s="521"/>
      <c r="AV54" s="279"/>
      <c r="AW54" s="280"/>
    </row>
    <row r="55" spans="2:49" s="278" customFormat="1" ht="19.5">
      <c r="B55" s="519"/>
      <c r="C55" s="520"/>
      <c r="D55" s="520"/>
      <c r="E55" s="520"/>
      <c r="F55" s="520"/>
      <c r="G55" s="520"/>
      <c r="H55" s="520"/>
      <c r="I55" s="520"/>
      <c r="J55" s="520"/>
      <c r="K55" s="520"/>
      <c r="L55" s="520"/>
      <c r="M55" s="520"/>
      <c r="N55" s="520"/>
      <c r="O55" s="520"/>
      <c r="P55" s="520"/>
      <c r="Q55" s="520"/>
      <c r="R55" s="520"/>
      <c r="S55" s="520"/>
      <c r="T55" s="520"/>
      <c r="U55" s="520"/>
      <c r="V55" s="520"/>
      <c r="W55" s="520"/>
      <c r="X55" s="520"/>
      <c r="Y55" s="520"/>
      <c r="Z55" s="520"/>
      <c r="AA55" s="520"/>
      <c r="AB55" s="520"/>
      <c r="AC55" s="520"/>
      <c r="AD55" s="520"/>
      <c r="AE55" s="520"/>
      <c r="AF55" s="520"/>
      <c r="AG55" s="520"/>
      <c r="AH55" s="520"/>
      <c r="AI55" s="521"/>
      <c r="AV55" s="279"/>
      <c r="AW55" s="280"/>
    </row>
    <row r="56" spans="2:49" s="278" customFormat="1" ht="20.25" thickBot="1">
      <c r="B56" s="522"/>
      <c r="C56" s="523"/>
      <c r="D56" s="523"/>
      <c r="E56" s="523"/>
      <c r="F56" s="523"/>
      <c r="G56" s="523"/>
      <c r="H56" s="523"/>
      <c r="I56" s="523"/>
      <c r="J56" s="523"/>
      <c r="K56" s="523"/>
      <c r="L56" s="523"/>
      <c r="M56" s="523"/>
      <c r="N56" s="523"/>
      <c r="O56" s="523"/>
      <c r="P56" s="523"/>
      <c r="Q56" s="523"/>
      <c r="R56" s="523"/>
      <c r="S56" s="523"/>
      <c r="T56" s="523"/>
      <c r="U56" s="523"/>
      <c r="V56" s="523"/>
      <c r="W56" s="523"/>
      <c r="X56" s="523"/>
      <c r="Y56" s="523"/>
      <c r="Z56" s="523"/>
      <c r="AA56" s="523"/>
      <c r="AB56" s="523"/>
      <c r="AC56" s="523"/>
      <c r="AD56" s="523"/>
      <c r="AE56" s="523"/>
      <c r="AF56" s="523"/>
      <c r="AG56" s="523"/>
      <c r="AH56" s="523"/>
      <c r="AI56" s="524"/>
      <c r="AV56" s="279"/>
      <c r="AW56" s="280"/>
    </row>
  </sheetData>
  <sheetProtection algorithmName="SHA-512" hashValue="7kgijmgTAL1ubnEjwwje8IpQUbtSdv2qVYhb16AzC62IXp+D2uyJLsAm4XPK2dsor+MVFfck9y3ZmvjIWb3nEA==" saltValue="JBjrRGRbdW8j3aCNhJjS6Q==" spinCount="100000" sheet="1" objects="1" scenarios="1"/>
  <mergeCells count="47">
    <mergeCell ref="N11:R12"/>
    <mergeCell ref="S11:AJ12"/>
    <mergeCell ref="A3:AJ5"/>
    <mergeCell ref="N7:R8"/>
    <mergeCell ref="S7:AJ8"/>
    <mergeCell ref="N9:R10"/>
    <mergeCell ref="S9:AJ10"/>
    <mergeCell ref="N13:R18"/>
    <mergeCell ref="S13:V14"/>
    <mergeCell ref="W13:AJ14"/>
    <mergeCell ref="S15:V16"/>
    <mergeCell ref="W15:AJ16"/>
    <mergeCell ref="S17:V18"/>
    <mergeCell ref="W17:AJ18"/>
    <mergeCell ref="A20:AJ20"/>
    <mergeCell ref="AW22:AX22"/>
    <mergeCell ref="A23:A31"/>
    <mergeCell ref="B23:F23"/>
    <mergeCell ref="K23:AJ23"/>
    <mergeCell ref="AW23:AX23"/>
    <mergeCell ref="B24:F24"/>
    <mergeCell ref="K24:AJ24"/>
    <mergeCell ref="AW24:AX24"/>
    <mergeCell ref="B25:F25"/>
    <mergeCell ref="B29:F29"/>
    <mergeCell ref="N29:AJ29"/>
    <mergeCell ref="AW29:AX29"/>
    <mergeCell ref="G25:M25"/>
    <mergeCell ref="N25:AJ25"/>
    <mergeCell ref="AW25:AX25"/>
    <mergeCell ref="B26:F26"/>
    <mergeCell ref="G26:M26"/>
    <mergeCell ref="N26:AJ26"/>
    <mergeCell ref="AW26:AX26"/>
    <mergeCell ref="B27:AJ27"/>
    <mergeCell ref="B28:F28"/>
    <mergeCell ref="G28:H28"/>
    <mergeCell ref="I28:AJ28"/>
    <mergeCell ref="AW28:AX28"/>
    <mergeCell ref="A32:AJ32"/>
    <mergeCell ref="B34:AI56"/>
    <mergeCell ref="B30:F30"/>
    <mergeCell ref="G30:AJ30"/>
    <mergeCell ref="AW30:AX30"/>
    <mergeCell ref="B31:F31"/>
    <mergeCell ref="G31:AJ31"/>
    <mergeCell ref="AW31:AX31"/>
  </mergeCells>
  <phoneticPr fontId="1"/>
  <conditionalFormatting sqref="AV22:AV31">
    <cfRule type="containsText" dxfId="146" priority="6" operator="containsText" text="×">
      <formula>NOT(ISERROR(SEARCH("×",AV22)))</formula>
    </cfRule>
  </conditionalFormatting>
  <conditionalFormatting sqref="AW23:AX31">
    <cfRule type="containsText" dxfId="145" priority="5" operator="containsText" text="未入力">
      <formula>NOT(ISERROR(SEARCH("未入力",AW23)))</formula>
    </cfRule>
  </conditionalFormatting>
  <conditionalFormatting sqref="AW22:AX22">
    <cfRule type="containsText" dxfId="144" priority="3" operator="containsText" text="不十分">
      <formula>NOT(ISERROR(SEARCH("不十分",AW22)))</formula>
    </cfRule>
    <cfRule type="containsText" dxfId="143" priority="4" operator="containsText" text="藤生bん">
      <formula>NOT(ISERROR(SEARCH("藤生bん",AW22)))</formula>
    </cfRule>
  </conditionalFormatting>
  <conditionalFormatting sqref="AK22">
    <cfRule type="containsText" dxfId="142" priority="1" operator="containsText" text="不十分">
      <formula>NOT(ISERROR(SEARCH("不十分",AK22)))</formula>
    </cfRule>
    <cfRule type="containsText" dxfId="141" priority="2" operator="containsText" text="藤生bん">
      <formula>NOT(ISERROR(SEARCH("藤生bん",AK22)))</formula>
    </cfRule>
  </conditionalFormatting>
  <dataValidations count="5">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23:J23">
      <formula1>AND(LENB(D23:G23)=LEN(D23:G23))</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24:I24">
      <formula1>AND(LENB(G24:I24)=LEN(G24:I24))</formula1>
    </dataValidation>
    <dataValidation type="custom" imeMode="halfAlpha"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29:M29">
      <formula1>AND(LENB(G29:M29)=LEN(G29:M29))</formula1>
    </dataValidation>
    <dataValidation allowBlank="1" showInputMessage="1" showErrorMessage="1" errorTitle="指定口座への振り込みが希望されています。" error="国保連登録口座以外への振込を希望する際は上段で「希望する」を選択してください。" promptTitle="金融機関名の入力" prompt="略称等は用いず、正式な名称を誤りのないように入力してください。" sqref="G25"/>
    <dataValidation type="textLength" imeMode="halfKatakana" allowBlank="1" showInputMessage="1" showErrorMessage="1" errorTitle="入力された文字列が長すぎます。" error="入力文字数は30字以内としてください。" prompt="左詰めで半角カタカナ30字以内で入力してください。" sqref="G30:G31 H30:AJ30">
      <formula1>1</formula1>
      <formula2>30</formula2>
    </dataValidation>
  </dataValidations>
  <pageMargins left="0.7" right="0.7" top="0.75" bottom="0.75" header="0.3" footer="0.3"/>
  <pageSetup paperSize="9" scale="61"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B56"/>
  <sheetViews>
    <sheetView showGridLines="0" view="pageBreakPreview" zoomScaleNormal="100" zoomScaleSheetLayoutView="100" workbookViewId="0">
      <selection activeCell="AI49" sqref="AI49"/>
    </sheetView>
  </sheetViews>
  <sheetFormatPr defaultColWidth="5.625" defaultRowHeight="20.100000000000001" customHeight="1"/>
  <cols>
    <col min="1" max="1" width="3.625" style="168" customWidth="1"/>
    <col min="2" max="18" width="4.625" style="168" customWidth="1"/>
    <col min="19" max="19" width="1.625" style="168" customWidth="1"/>
    <col min="20" max="20" width="1.75" style="168" customWidth="1"/>
    <col min="21" max="21" width="10.125" style="168" hidden="1" customWidth="1"/>
    <col min="22" max="22" width="10.125" style="168" customWidth="1"/>
    <col min="23" max="23" width="10.125" style="168" hidden="1" customWidth="1"/>
    <col min="24" max="25" width="10.125" style="168" customWidth="1"/>
    <col min="26" max="26" width="7" style="168" customWidth="1"/>
    <col min="27" max="38" width="10.25" style="168" customWidth="1"/>
    <col min="39" max="39" width="4.625" style="168" customWidth="1"/>
    <col min="40" max="41" width="10.625" style="168" customWidth="1"/>
    <col min="42" max="42" width="4.625" style="168" customWidth="1"/>
    <col min="43" max="44" width="10.25" style="168" customWidth="1"/>
    <col min="45" max="47" width="6.625" style="168" customWidth="1"/>
    <col min="48" max="54" width="10.25" style="168" customWidth="1"/>
    <col min="55" max="16384" width="5.625" style="168"/>
  </cols>
  <sheetData>
    <row r="1" spans="2:54" ht="45" customHeight="1"/>
    <row r="2" spans="2:54" ht="15" customHeight="1">
      <c r="Q2" s="376"/>
      <c r="R2" s="394" t="str">
        <f>IF(はじめに入力してください!L20="","",はじめに入力してください!AE20)</f>
        <v/>
      </c>
    </row>
    <row r="3" spans="2:54" ht="15" customHeight="1">
      <c r="B3" s="168" t="str">
        <f xml:space="preserve">
IF(V8="交付申請","様式１",
IF(V8="変更申請","様式２",
IF(V8="実績報告","様式３",
)))</f>
        <v>様式２</v>
      </c>
    </row>
    <row r="4" spans="2:54" ht="15" customHeight="1">
      <c r="N4" s="588" t="str">
        <f>IF(はじめに入力してください!H15="","",はじめに入力してください!H15)</f>
        <v/>
      </c>
      <c r="O4" s="588"/>
      <c r="P4" s="588"/>
      <c r="Q4" s="588"/>
      <c r="Z4" s="576"/>
      <c r="AA4" s="576"/>
      <c r="AB4" s="595"/>
      <c r="AC4" s="576"/>
      <c r="AD4" s="581"/>
      <c r="AE4" s="581"/>
      <c r="AF4" s="581"/>
      <c r="AG4" s="576"/>
      <c r="AH4" s="576"/>
      <c r="AI4" s="581"/>
      <c r="AJ4" s="581"/>
      <c r="AK4" s="586"/>
      <c r="AL4" s="586"/>
      <c r="AM4" s="586"/>
      <c r="AN4" s="586"/>
      <c r="AO4" s="586"/>
      <c r="AP4" s="586"/>
      <c r="AQ4" s="586"/>
      <c r="AR4" s="586"/>
      <c r="AS4" s="581"/>
      <c r="AT4" s="584"/>
      <c r="AU4" s="584"/>
      <c r="AV4" s="583"/>
      <c r="AW4" s="583"/>
      <c r="AX4" s="583"/>
      <c r="AY4" s="583"/>
      <c r="AZ4" s="583"/>
      <c r="BA4" s="585"/>
      <c r="BB4" s="585"/>
    </row>
    <row r="5" spans="2:54" ht="15" customHeight="1">
      <c r="N5" s="592" t="str">
        <f>IF(COUNTA(はじめに入力してください!I14,はじめに入力してください!K14,はじめに入力してください!M14)&lt;&gt;3,
"令和　年　月　　日",
はじめに入力してください!H14&amp;はじめに入力してください!I14&amp;はじめに入力してください!J14&amp;はじめに入力してください!K14&amp;はじめに入力してください!L14&amp;はじめに入力してください!M14&amp;はじめに入力してください!N14)</f>
        <v>令和　年　月　　日</v>
      </c>
      <c r="O5" s="593"/>
      <c r="P5" s="593"/>
      <c r="Q5" s="593"/>
      <c r="R5" s="374"/>
      <c r="Z5" s="576"/>
      <c r="AA5" s="576"/>
      <c r="AB5" s="595"/>
      <c r="AC5" s="576"/>
      <c r="AD5" s="581"/>
      <c r="AE5" s="581"/>
      <c r="AF5" s="581"/>
      <c r="AG5" s="576"/>
      <c r="AH5" s="576"/>
      <c r="AI5" s="581"/>
      <c r="AJ5" s="581"/>
      <c r="AK5" s="395"/>
      <c r="AL5" s="396"/>
      <c r="AM5" s="395"/>
      <c r="AN5" s="396"/>
      <c r="AO5" s="586"/>
      <c r="AP5" s="395"/>
      <c r="AQ5" s="396"/>
      <c r="AR5" s="586"/>
      <c r="AS5" s="581"/>
      <c r="AT5" s="584"/>
      <c r="AU5" s="584"/>
      <c r="AV5" s="583"/>
      <c r="AW5" s="583"/>
      <c r="AX5" s="583"/>
      <c r="AY5" s="583"/>
      <c r="AZ5" s="583"/>
      <c r="BA5" s="585"/>
      <c r="BB5" s="585"/>
    </row>
    <row r="6" spans="2:54" ht="15" customHeight="1">
      <c r="B6" s="589" t="s">
        <v>12</v>
      </c>
      <c r="C6" s="589"/>
      <c r="D6" s="589"/>
      <c r="E6" s="589"/>
      <c r="F6" s="589"/>
      <c r="G6" s="589"/>
      <c r="Z6" s="397"/>
      <c r="AA6" s="398"/>
      <c r="AB6" s="398"/>
      <c r="AC6" s="399"/>
      <c r="AD6" s="399"/>
      <c r="AE6" s="399"/>
      <c r="AF6" s="399"/>
      <c r="AG6" s="399"/>
      <c r="AH6" s="399"/>
      <c r="AI6" s="399"/>
      <c r="AJ6" s="399"/>
      <c r="AK6" s="399"/>
      <c r="AL6" s="399"/>
      <c r="AM6" s="399"/>
      <c r="AN6" s="399"/>
      <c r="AO6" s="399"/>
      <c r="AP6" s="399"/>
      <c r="AQ6" s="399"/>
      <c r="AR6" s="399"/>
      <c r="AS6" s="398"/>
      <c r="AT6" s="400"/>
      <c r="AU6" s="398"/>
      <c r="AV6" s="398"/>
      <c r="AW6" s="398"/>
      <c r="AX6" s="398"/>
      <c r="AY6" s="398"/>
      <c r="AZ6" s="398"/>
      <c r="BA6" s="398"/>
      <c r="BB6" s="398"/>
    </row>
    <row r="7" spans="2:54" ht="15" customHeight="1"/>
    <row r="8" spans="2:54" ht="15" customHeight="1">
      <c r="I8" s="582" t="s">
        <v>57</v>
      </c>
      <c r="J8" s="582"/>
      <c r="K8" s="582"/>
      <c r="L8" s="590" t="str">
        <f>IF(はじめに入力してください!H9=0,"",はじめに入力してください!H9)</f>
        <v/>
      </c>
      <c r="M8" s="590"/>
      <c r="N8" s="590"/>
      <c r="O8" s="590"/>
      <c r="P8" s="590"/>
      <c r="Q8" s="590"/>
      <c r="R8" s="590"/>
      <c r="V8" s="407" t="s">
        <v>247</v>
      </c>
      <c r="W8" s="168" t="s">
        <v>246</v>
      </c>
    </row>
    <row r="9" spans="2:54" ht="15" customHeight="1">
      <c r="I9" s="582" t="s">
        <v>10</v>
      </c>
      <c r="J9" s="582"/>
      <c r="K9" s="582"/>
      <c r="L9" s="590" t="str">
        <f xml:space="preserve">
IF(はじめに入力してください!O3="×","",
IF(はじめに入力してください!O3="○"&amp;CHAR(10)&amp;"（個人）",はじめに入力してください!H6,
IF(はじめに入力してください!O3="○"&amp;CHAR(10)&amp;"（法人）",はじめに入力してください!H6&amp;"("&amp;はじめに入力してください!H10&amp;")",
IF(はじめに入力してください!O3="○"&amp;CHAR(10)&amp;"（公立）",はじめに入力してください!H6&amp;"("&amp;はじめに入力してください!H10&amp;")"))))</f>
        <v/>
      </c>
      <c r="M9" s="590"/>
      <c r="N9" s="590"/>
      <c r="O9" s="590"/>
      <c r="P9" s="590"/>
      <c r="Q9" s="590"/>
      <c r="R9" s="590"/>
      <c r="W9" s="168" t="s">
        <v>247</v>
      </c>
    </row>
    <row r="10" spans="2:54" ht="15" customHeight="1">
      <c r="I10" s="582" t="s">
        <v>37</v>
      </c>
      <c r="J10" s="582"/>
      <c r="K10" s="582"/>
      <c r="L10" s="591" t="str">
        <f>はじめに入力してください!H7&amp;"　"&amp;はじめに入力してください!H8</f>
        <v>　</v>
      </c>
      <c r="M10" s="591"/>
      <c r="N10" s="591"/>
      <c r="O10" s="591"/>
      <c r="P10" s="591"/>
      <c r="Q10" s="591"/>
      <c r="R10" s="591"/>
      <c r="W10" s="168" t="s">
        <v>248</v>
      </c>
      <c r="AA10" s="401"/>
      <c r="AB10" s="401"/>
      <c r="AC10" s="401"/>
      <c r="AD10" s="401"/>
      <c r="AE10" s="401"/>
      <c r="AF10" s="401"/>
      <c r="AG10" s="401"/>
    </row>
    <row r="11" spans="2:54" ht="15" customHeight="1">
      <c r="AA11" s="401"/>
      <c r="AB11" s="401"/>
      <c r="AC11" s="401"/>
      <c r="AD11" s="401"/>
      <c r="AE11" s="401"/>
      <c r="AF11" s="401"/>
      <c r="AG11" s="401"/>
    </row>
    <row r="12" spans="2:54" ht="32.1" customHeight="1">
      <c r="B12" s="579" t="str">
        <f xml:space="preserve">
IF(V8="交付申請","　　　　令和４年度　新型コロナウイルス感染症患者等入院医療機関設備整備費補助金"&amp;CHAR(10)&amp;"　　　　交付申請書",
IF(V8="変更申請","　　　　令和４年度　新型コロナウイルス感染症患者等入院医療機関設備整備費補助金"&amp;CHAR(10)&amp;"　　　　変更交付申請書",
IF(V8="実績報告","　　　　令和４年度　新型コロナウイルス感染症患者等入院医療機関設備整備費補助金"&amp;CHAR(10)&amp;"　　　　事業実績報告書",
)))</f>
        <v>　　　　令和４年度　新型コロナウイルス感染症患者等入院医療機関設備整備費補助金
　　　　変更交付申請書</v>
      </c>
      <c r="C12" s="579"/>
      <c r="D12" s="579"/>
      <c r="E12" s="579"/>
      <c r="F12" s="579"/>
      <c r="G12" s="579"/>
      <c r="H12" s="579"/>
      <c r="I12" s="579"/>
      <c r="J12" s="579"/>
      <c r="K12" s="579"/>
      <c r="L12" s="579"/>
      <c r="M12" s="579"/>
      <c r="N12" s="579"/>
      <c r="O12" s="579"/>
      <c r="P12" s="579"/>
      <c r="Q12" s="579"/>
      <c r="R12" s="579"/>
    </row>
    <row r="13" spans="2:54" ht="15" customHeight="1"/>
    <row r="14" spans="2:54" ht="15" customHeight="1">
      <c r="B14" s="168" t="str">
        <f xml:space="preserve">
IF(V8="交付申請","　このことについて、下記により申請します。",
IF(V8="変更申請","　このことについて、下記により申請します。",
IF(V8="実績報告","　このことについて、下記により提出します。",
)))</f>
        <v>　このことについて、下記により申請します。</v>
      </c>
    </row>
    <row r="15" spans="2:54" ht="15" customHeight="1">
      <c r="B15" s="582" t="s">
        <v>14</v>
      </c>
      <c r="C15" s="582"/>
      <c r="D15" s="582"/>
      <c r="E15" s="582"/>
      <c r="F15" s="582"/>
      <c r="G15" s="582"/>
      <c r="H15" s="582"/>
      <c r="I15" s="582"/>
      <c r="J15" s="582"/>
      <c r="K15" s="582"/>
      <c r="L15" s="582"/>
      <c r="M15" s="582"/>
      <c r="N15" s="582"/>
      <c r="O15" s="582"/>
      <c r="P15" s="582"/>
      <c r="Q15" s="582"/>
      <c r="R15" s="582"/>
    </row>
    <row r="16" spans="2:54" ht="15" customHeight="1">
      <c r="B16" s="168" t="s">
        <v>38</v>
      </c>
      <c r="C16" s="169"/>
      <c r="D16" s="169"/>
      <c r="E16" s="169"/>
      <c r="F16" s="169"/>
      <c r="G16" s="169"/>
      <c r="H16" s="169"/>
      <c r="I16" s="169"/>
      <c r="J16" s="169"/>
      <c r="K16" s="169"/>
      <c r="L16" s="169"/>
      <c r="M16" s="169"/>
      <c r="N16" s="169"/>
      <c r="O16" s="169"/>
      <c r="P16" s="169"/>
      <c r="Q16" s="169"/>
      <c r="R16" s="169"/>
    </row>
    <row r="17" spans="2:21" ht="15" customHeight="1">
      <c r="C17" s="578" t="str">
        <f>IF(COUNTA(はじめに入力してください!H10)=0,"",はじめに入力してください!H10)</f>
        <v/>
      </c>
      <c r="D17" s="578"/>
      <c r="E17" s="578"/>
      <c r="F17" s="578"/>
      <c r="G17" s="578"/>
      <c r="H17" s="578"/>
      <c r="I17" s="578"/>
      <c r="J17" s="578"/>
      <c r="K17" s="578"/>
      <c r="L17" s="578"/>
      <c r="M17" s="578"/>
      <c r="N17" s="578"/>
      <c r="O17" s="578"/>
      <c r="P17" s="578"/>
      <c r="Q17" s="578"/>
      <c r="R17" s="578"/>
    </row>
    <row r="18" spans="2:21" ht="15" customHeight="1">
      <c r="C18" s="578" t="str">
        <f>IF(はじめに入力してください!H11=0,"",はじめに入力してください!H11)</f>
        <v/>
      </c>
      <c r="D18" s="578"/>
      <c r="E18" s="578"/>
      <c r="F18" s="578"/>
      <c r="G18" s="578"/>
      <c r="H18" s="578"/>
      <c r="I18" s="578"/>
      <c r="J18" s="578"/>
      <c r="K18" s="578"/>
      <c r="L18" s="578"/>
      <c r="M18" s="578"/>
      <c r="N18" s="578"/>
      <c r="O18" s="578"/>
      <c r="P18" s="578"/>
      <c r="Q18" s="578"/>
      <c r="R18" s="578"/>
    </row>
    <row r="19" spans="2:21" ht="15" customHeight="1">
      <c r="B19" s="578" t="str">
        <f xml:space="preserve">
IF(V8="交付申請","２　補助金申請額",
IF(V8="変更申請","２　補助金申請額",
IF(V8="実績報告","２　補助金精算額")))</f>
        <v>２　補助金申請額</v>
      </c>
      <c r="C19" s="578"/>
      <c r="D19" s="578"/>
      <c r="E19" s="578"/>
      <c r="F19" s="578"/>
      <c r="G19" s="578"/>
      <c r="H19" s="578"/>
      <c r="I19" s="578"/>
      <c r="J19" s="578"/>
      <c r="K19" s="578"/>
      <c r="L19" s="578"/>
      <c r="M19" s="578"/>
      <c r="N19" s="578"/>
      <c r="O19" s="578"/>
      <c r="P19" s="578"/>
      <c r="Q19" s="578"/>
    </row>
    <row r="20" spans="2:21" ht="15" customHeight="1">
      <c r="B20" s="578" t="str">
        <f xml:space="preserve">
IF(V8="交付申請","",
IF(V8="変更申請","（１）申請額",
IF(V8="実績報告","")))</f>
        <v>（１）申請額</v>
      </c>
      <c r="C20" s="578"/>
      <c r="D20" s="578"/>
      <c r="E20" s="578"/>
      <c r="F20" s="578"/>
      <c r="G20" s="600" t="str">
        <f xml:space="preserve">
IF(AND(表紙!V8="交付申請",はじめに入力してください!F31="×"),"金　　　　　　　　　円",
IF(AND(表紙!V8="交付申請",はじめに入力してください!F31="○"),経費書!K41,
IF(AND(表紙!V8="変更申請",はじめに入力してください!F31="×"),"金　　　　　　　　　円",
IF(AND(表紙!V8="変更申請",はじめに入力してください!F31="○"),経費書!K41,
IF(AND(表紙!V8="実績報告",はじめに入力してください!F31="×"),"金　　　　　　　　　円",
IF(AND(表紙!V8="実績報告",はじめに入力してください!F31="○"),MIN(VLOOKUP(はじめに入力してください!L20,リスト!A:B,2,FALSE),経費書!K41)))))))</f>
        <v>金　　　　　　　　　円</v>
      </c>
      <c r="H20" s="601"/>
      <c r="I20" s="601"/>
      <c r="J20" s="601"/>
      <c r="K20" s="601"/>
      <c r="L20" s="375"/>
      <c r="M20" s="375"/>
      <c r="N20" s="375"/>
      <c r="O20" s="375"/>
      <c r="P20" s="375"/>
    </row>
    <row r="21" spans="2:21" ht="15" customHeight="1">
      <c r="B21" s="578" t="str">
        <f xml:space="preserve">
IF(V8="交付申請","",
IF(V8="変更申請","（２）既交付決定額",
IF(V8="実績報告","")))</f>
        <v>（２）既交付決定額</v>
      </c>
      <c r="C21" s="578"/>
      <c r="D21" s="578"/>
      <c r="E21" s="578"/>
      <c r="F21" s="578"/>
      <c r="G21" s="580" t="str">
        <f xml:space="preserve">
IF(V8="交付申請","",
IF(AND(V8="変更申請",はじめに入力してください!L20=""),"金　　　　　　　　　円",
IF(AND(V8="変更申請",はじめに入力してください!L20&lt;&gt;""),VLOOKUP(はじめに入力してください!L20,リスト!A:B,2,FALSE),
IF(AND(V8="実績報告",はじめに入力してください!L20=""),"",
IF(AND(V8="実績報告",はじめに入力してください!L20&lt;&gt;""),""
)))))</f>
        <v>金　　　　　　　　　円</v>
      </c>
      <c r="H21" s="580"/>
      <c r="I21" s="580"/>
      <c r="J21" s="580"/>
      <c r="K21" s="580"/>
      <c r="L21" s="170"/>
      <c r="M21" s="170"/>
      <c r="N21" s="170"/>
      <c r="O21" s="170"/>
      <c r="P21" s="170"/>
    </row>
    <row r="22" spans="2:21" ht="15" customHeight="1">
      <c r="B22" s="578" t="str">
        <f xml:space="preserve">
IF(V8="交付申請","",
IF(V8="変更申請","（３）差引増減額",
IF(V8="実績報告","")))</f>
        <v>（３）差引増減額</v>
      </c>
      <c r="C22" s="578"/>
      <c r="D22" s="578"/>
      <c r="E22" s="578"/>
      <c r="F22" s="578"/>
      <c r="G22" s="577" t="str">
        <f>IFERROR(
IF(V8="交付申請","",
IF(AND(V8="変更申請",はじめに入力してください!L20=""),"金　　　　　　　　　円",
IF(AND(V8="変更申請",はじめに入力してください!L20&lt;&gt;""),G20-G21,
IF(AND(V8="実績報告",はじめに入力してください!L20=""),"",
IF(AND(V8="実績報告",はじめに入力してください!L20&lt;&gt;""),""
))))),"金　　　　　　　　　円")</f>
        <v>金　　　　　　　　　円</v>
      </c>
      <c r="H22" s="577"/>
      <c r="I22" s="577"/>
      <c r="J22" s="577"/>
      <c r="K22" s="577"/>
      <c r="L22" s="170"/>
      <c r="M22" s="170"/>
      <c r="N22" s="170"/>
      <c r="O22" s="170"/>
      <c r="P22" s="170"/>
    </row>
    <row r="23" spans="2:21" ht="15" customHeight="1">
      <c r="B23" s="168" t="str">
        <f xml:space="preserve">
IF(V8="交付申請","３　所要額調書（様式１－１、１－２）",
IF(V8="変更申請","３　所要額調書（様式１－１、１－２）",
IF(V8="実績報告","３　経費精算書（様式３－１、３－２）")))</f>
        <v>３　所要額調書（様式１－１、１－２）</v>
      </c>
    </row>
    <row r="24" spans="2:21" ht="15" customHeight="1">
      <c r="B24" s="171" t="s">
        <v>244</v>
      </c>
      <c r="C24" s="172"/>
      <c r="D24" s="172"/>
      <c r="E24" s="172"/>
      <c r="F24" s="172"/>
      <c r="G24" s="172"/>
      <c r="H24" s="172"/>
      <c r="I24" s="172"/>
      <c r="J24" s="172"/>
      <c r="K24" s="172"/>
      <c r="L24" s="172"/>
      <c r="M24" s="172"/>
    </row>
    <row r="25" spans="2:21" ht="15" customHeight="1">
      <c r="B25" s="579" t="str">
        <f xml:space="preserve">
IF(V8="交付申請","（１）歳入歳出予算書（又は見込書）抄本（様式１－３）",
IF(V8="変更申請","（１）歳入歳出予算書（又は見込書）抄本（様式１－３）",
IF(V8="実績報告","（１）歳入歳出決算書（見込書）抄本（様式３－３）")))</f>
        <v>（１）歳入歳出予算書（又は見込書）抄本（様式１－３）</v>
      </c>
      <c r="C25" s="579"/>
      <c r="D25" s="579"/>
      <c r="E25" s="579"/>
      <c r="F25" s="579"/>
      <c r="G25" s="579"/>
      <c r="H25" s="579"/>
      <c r="I25" s="579"/>
      <c r="J25" s="579"/>
      <c r="K25" s="579"/>
      <c r="L25" s="579"/>
      <c r="M25" s="579"/>
      <c r="N25" s="579"/>
      <c r="O25" s="579"/>
      <c r="P25" s="579"/>
      <c r="Q25" s="579"/>
      <c r="R25" s="579"/>
    </row>
    <row r="26" spans="2:21" ht="15" customHeight="1">
      <c r="B26" s="579" t="str">
        <f xml:space="preserve">
IF(V8="交付申請","　　（注）予算書には、当該事業の補助対象事業に係る額を備考欄に記入すること。",
IF(V8="変更申請","　　（注）予算書には、当該事業の補助対象事業に係る額を備考欄に記入すること。",
IF(V8="実績報告","　　（注）決算書には、当該事業の補助対象事業に係る額を備考欄に記入すること。")))</f>
        <v>　　（注）予算書には、当該事業の補助対象事業に係る額を備考欄に記入すること。</v>
      </c>
      <c r="C26" s="579"/>
      <c r="D26" s="579"/>
      <c r="E26" s="579"/>
      <c r="F26" s="579"/>
      <c r="G26" s="579"/>
      <c r="H26" s="579"/>
      <c r="I26" s="579"/>
      <c r="J26" s="579"/>
      <c r="K26" s="579"/>
      <c r="L26" s="579"/>
      <c r="M26" s="579"/>
      <c r="N26" s="579"/>
      <c r="O26" s="579"/>
      <c r="P26" s="579"/>
      <c r="Q26" s="579"/>
      <c r="R26" s="579"/>
    </row>
    <row r="27" spans="2:21" ht="15" customHeight="1">
      <c r="B27" s="579" t="str">
        <f xml:space="preserve">
IF(V8="交付申請","（２）見積書の写し等整備品目の規格（型式）、数量、単価及び金額の確認資料",
IF(V8="変更申請","（２）見積書の写し等整備品目の規格（型式）、数量、単価及び金額の確認資料",
IF(V8="実績報告","（２）設備を配置したフロアの平面図、整備仕様書、作業手順書")))</f>
        <v>（２）見積書の写し等整備品目の規格（型式）、数量、単価及び金額の確認資料</v>
      </c>
      <c r="C27" s="579"/>
      <c r="D27" s="579"/>
      <c r="E27" s="579"/>
      <c r="F27" s="579"/>
      <c r="G27" s="579"/>
      <c r="H27" s="579"/>
      <c r="I27" s="579"/>
      <c r="J27" s="579"/>
      <c r="K27" s="579"/>
      <c r="L27" s="579"/>
      <c r="M27" s="579"/>
      <c r="N27" s="579"/>
      <c r="O27" s="579"/>
      <c r="P27" s="579"/>
      <c r="Q27" s="579"/>
      <c r="R27" s="579"/>
    </row>
    <row r="28" spans="2:21" ht="15" customHeight="1">
      <c r="B28" s="579" t="str">
        <f xml:space="preserve">
IF(V8="交付申請","",
IF(V8="変更申請","",
IF(V8="実績報告","　（注）交付申請書又は変更交付申請書に添付した書類に変更がない場合は、省略することができる。")))</f>
        <v/>
      </c>
      <c r="C28" s="579"/>
      <c r="D28" s="579"/>
      <c r="E28" s="579"/>
      <c r="F28" s="579"/>
      <c r="G28" s="579"/>
      <c r="H28" s="579"/>
      <c r="I28" s="579"/>
      <c r="J28" s="579"/>
      <c r="K28" s="579"/>
      <c r="L28" s="579"/>
      <c r="M28" s="579"/>
      <c r="N28" s="579"/>
      <c r="O28" s="579"/>
      <c r="P28" s="579"/>
      <c r="Q28" s="579"/>
      <c r="R28" s="579"/>
    </row>
    <row r="29" spans="2:21" ht="15" customHeight="1">
      <c r="B29" s="579" t="str">
        <f xml:space="preserve">
IF(V8="交付申請","（３）以下に示す内容がわかる資料",
IF(V8="変更申請","（３）以下に示す内容がわかる資料",
IF(V8="実績報告","（３）契約書の写し、検収調書の写し等事業経費等を確認できる書類")))</f>
        <v>（３）以下に示す内容がわかる資料</v>
      </c>
      <c r="C29" s="579"/>
      <c r="D29" s="579"/>
      <c r="E29" s="579"/>
      <c r="F29" s="579"/>
      <c r="G29" s="579"/>
      <c r="H29" s="579"/>
      <c r="I29" s="579"/>
      <c r="J29" s="579"/>
      <c r="K29" s="579"/>
      <c r="L29" s="579"/>
      <c r="M29" s="579"/>
      <c r="N29" s="579"/>
      <c r="O29" s="579"/>
      <c r="P29" s="579"/>
      <c r="Q29" s="579"/>
      <c r="R29" s="579"/>
    </row>
    <row r="30" spans="2:21" ht="15" customHeight="1">
      <c r="B30" s="170" t="s">
        <v>245</v>
      </c>
      <c r="C30" s="599" t="str">
        <f xml:space="preserve">
IF(V8="交付申請","ア　初度設備関係",
IF(V8="変更申請","ア　初度設備関係",
IF(V8="実績報告","")))</f>
        <v>ア　初度設備関係</v>
      </c>
      <c r="D30" s="599"/>
      <c r="E30" s="599"/>
      <c r="F30" s="599"/>
      <c r="G30" s="599"/>
      <c r="H30" s="599"/>
      <c r="I30" s="599"/>
      <c r="J30" s="599"/>
      <c r="K30" s="599"/>
      <c r="L30" s="599"/>
      <c r="M30" s="599"/>
      <c r="N30" s="599"/>
      <c r="O30" s="599"/>
      <c r="P30" s="599"/>
      <c r="Q30" s="599"/>
      <c r="R30" s="599"/>
      <c r="U30" s="167" t="s">
        <v>249</v>
      </c>
    </row>
    <row r="31" spans="2:21" ht="32.1" customHeight="1">
      <c r="B31" s="170"/>
      <c r="C31" s="599" t="str">
        <f xml:space="preserve">
IF(V8="交付申請","　設備を配置するフロアの平面図、整備仕様書等院内感染防止に配慮した病床の新築又は増築する数及びこれに伴う整備であることの確認資料",
IF(V8="変更申請","　設備を配置するフロアの平面図、整備仕様書等院内感染防止に配慮した病床の新築又は増築する数及びこれに伴う整備であることの確認資料",
IF(V8="実績報告","")))</f>
        <v>　設備を配置するフロアの平面図、整備仕様書等院内感染防止に配慮した病床の新築又は増築する数及びこれに伴う整備であることの確認資料</v>
      </c>
      <c r="D31" s="599"/>
      <c r="E31" s="599"/>
      <c r="F31" s="599"/>
      <c r="G31" s="599"/>
      <c r="H31" s="599"/>
      <c r="I31" s="599"/>
      <c r="J31" s="599"/>
      <c r="K31" s="599"/>
      <c r="L31" s="599"/>
      <c r="M31" s="599"/>
      <c r="N31" s="599"/>
      <c r="O31" s="599"/>
      <c r="P31" s="599"/>
      <c r="Q31" s="599"/>
      <c r="R31" s="599"/>
      <c r="U31" s="167" t="s">
        <v>250</v>
      </c>
    </row>
    <row r="32" spans="2:21" ht="32.1" customHeight="1">
      <c r="B32" s="170"/>
      <c r="C32" s="599" t="str">
        <f xml:space="preserve">
IF(V8="交付申請","イ　簡易病室関係及び紫外線照射装置導入関係"&amp;CHAR(10)&amp;"・使用する場所・設備の仕様",
IF(V8="変更申請","イ　簡易病室関係及び紫外線照射装置導入関係"&amp;CHAR(10)&amp;"・使用する場所・設備の仕様",
IF(V8="実績報告","")))</f>
        <v>イ　簡易病室関係及び紫外線照射装置導入関係
・使用する場所・設備の仕様</v>
      </c>
      <c r="D32" s="599"/>
      <c r="E32" s="599"/>
      <c r="F32" s="599"/>
      <c r="G32" s="599"/>
      <c r="H32" s="599"/>
      <c r="I32" s="599"/>
      <c r="J32" s="599"/>
      <c r="K32" s="599"/>
      <c r="L32" s="599"/>
      <c r="M32" s="599"/>
      <c r="N32" s="599"/>
      <c r="O32" s="599"/>
      <c r="P32" s="599"/>
      <c r="Q32" s="599"/>
      <c r="R32" s="599"/>
    </row>
    <row r="33" spans="2:18" ht="15" customHeight="1">
      <c r="B33" s="579" t="str">
        <f xml:space="preserve">
IF(V8="交付申請","（４）その他参考となる書類",
IF(V8="変更申請","（４）その他参考となる書類",
IF(V8="実績報告","（４）簡易病室関係")))</f>
        <v>（４）その他参考となる書類</v>
      </c>
      <c r="C33" s="579"/>
      <c r="D33" s="579"/>
      <c r="E33" s="579"/>
      <c r="F33" s="579"/>
      <c r="G33" s="579"/>
      <c r="H33" s="579"/>
      <c r="I33" s="579"/>
      <c r="J33" s="579"/>
      <c r="K33" s="579"/>
      <c r="L33" s="579"/>
      <c r="M33" s="579"/>
      <c r="N33" s="579"/>
      <c r="O33" s="579"/>
      <c r="P33" s="579"/>
      <c r="Q33" s="579"/>
      <c r="R33" s="579"/>
    </row>
    <row r="34" spans="2:18" ht="36" customHeight="1">
      <c r="B34" s="170"/>
      <c r="C34" s="579" t="str">
        <f xml:space="preserve">
IF(V8="交付申請","",
IF(V8="変更申請","（注）様式１－１において当初申請と異なる箇所については、変更前を下段に（）書きし、変更後を上段に対応して記入すること。",
IF(V8="実績報告","　事業の完成を確認できる全景及び室内主要部の写真")))</f>
        <v>（注）様式１－１において当初申請と異なる箇所については、変更前を下段に（）書きし、変更後を上段に対応して記入すること。</v>
      </c>
      <c r="D34" s="579"/>
      <c r="E34" s="579"/>
      <c r="F34" s="579"/>
      <c r="G34" s="579"/>
      <c r="H34" s="579"/>
      <c r="I34" s="579"/>
      <c r="J34" s="579"/>
      <c r="K34" s="579"/>
      <c r="L34" s="579"/>
      <c r="M34" s="579"/>
      <c r="N34" s="579"/>
      <c r="O34" s="579"/>
      <c r="P34" s="579"/>
      <c r="Q34" s="579"/>
      <c r="R34" s="579"/>
    </row>
    <row r="35" spans="2:18" ht="24.95" customHeight="1">
      <c r="B35" s="168" t="str">
        <f xml:space="preserve">
IF(V8="交付申請","【申請にあたっての申立事項】",
IF(V8="変更申請","",
IF(V8="実績報告","")))</f>
        <v/>
      </c>
    </row>
    <row r="36" spans="2:18" ht="15.95" customHeight="1">
      <c r="B36" s="594" t="str">
        <f xml:space="preserve">
IF(AND(V8="実績報告",はじめに入力してください!O22="×"),"",
IF(AND(V8="実績報告",はじめに入力してください!O22="○"),"",
IF(AND(V8="変更申請",はじめに入力してください!O22="×"),"",
IF(AND(V8="変更申請",はじめに入力してください!O22="○"),"",
IF(AND(V8="交付申請",はじめに入力してください!O22="×"),U30,
IF(AND(V8="交付申請",はじめに入力してください!O22="○"),U31))))))</f>
        <v/>
      </c>
      <c r="C36" s="594"/>
      <c r="D36" s="594"/>
      <c r="E36" s="594"/>
      <c r="F36" s="594"/>
      <c r="G36" s="594"/>
      <c r="H36" s="594"/>
      <c r="I36" s="594"/>
      <c r="J36" s="594"/>
      <c r="K36" s="594"/>
      <c r="L36" s="594"/>
      <c r="M36" s="594"/>
      <c r="N36" s="594"/>
      <c r="O36" s="594"/>
      <c r="P36" s="594"/>
      <c r="Q36" s="594"/>
      <c r="R36" s="594"/>
    </row>
    <row r="37" spans="2:18" ht="15.95" customHeight="1">
      <c r="B37" s="594"/>
      <c r="C37" s="594"/>
      <c r="D37" s="594"/>
      <c r="E37" s="594"/>
      <c r="F37" s="594"/>
      <c r="G37" s="594"/>
      <c r="H37" s="594"/>
      <c r="I37" s="594"/>
      <c r="J37" s="594"/>
      <c r="K37" s="594"/>
      <c r="L37" s="594"/>
      <c r="M37" s="594"/>
      <c r="N37" s="594"/>
      <c r="O37" s="594"/>
      <c r="P37" s="594"/>
      <c r="Q37" s="594"/>
      <c r="R37" s="594"/>
    </row>
    <row r="38" spans="2:18" ht="15.95" customHeight="1">
      <c r="B38" s="594"/>
      <c r="C38" s="594"/>
      <c r="D38" s="594"/>
      <c r="E38" s="594"/>
      <c r="F38" s="594"/>
      <c r="G38" s="594"/>
      <c r="H38" s="594"/>
      <c r="I38" s="594"/>
      <c r="J38" s="594"/>
      <c r="K38" s="594"/>
      <c r="L38" s="594"/>
      <c r="M38" s="594"/>
      <c r="N38" s="594"/>
      <c r="O38" s="594"/>
      <c r="P38" s="594"/>
      <c r="Q38" s="594"/>
      <c r="R38" s="594"/>
    </row>
    <row r="39" spans="2:18" ht="15.95" customHeight="1">
      <c r="B39" s="594"/>
      <c r="C39" s="594"/>
      <c r="D39" s="594"/>
      <c r="E39" s="594"/>
      <c r="F39" s="594"/>
      <c r="G39" s="594"/>
      <c r="H39" s="594"/>
      <c r="I39" s="594"/>
      <c r="J39" s="594"/>
      <c r="K39" s="594"/>
      <c r="L39" s="594"/>
      <c r="M39" s="594"/>
      <c r="N39" s="594"/>
      <c r="O39" s="594"/>
      <c r="P39" s="594"/>
      <c r="Q39" s="594"/>
      <c r="R39" s="594"/>
    </row>
    <row r="40" spans="2:18" ht="15.95" customHeight="1">
      <c r="B40" s="594"/>
      <c r="C40" s="594"/>
      <c r="D40" s="594"/>
      <c r="E40" s="594"/>
      <c r="F40" s="594"/>
      <c r="G40" s="594"/>
      <c r="H40" s="594"/>
      <c r="I40" s="594"/>
      <c r="J40" s="594"/>
      <c r="K40" s="594"/>
      <c r="L40" s="594"/>
      <c r="M40" s="594"/>
      <c r="N40" s="594"/>
      <c r="O40" s="594"/>
      <c r="P40" s="594"/>
      <c r="Q40" s="594"/>
      <c r="R40" s="594"/>
    </row>
    <row r="41" spans="2:18" ht="15" customHeight="1"/>
    <row r="42" spans="2:18" ht="15" customHeight="1">
      <c r="J42" s="587" t="s">
        <v>17</v>
      </c>
      <c r="K42" s="587"/>
      <c r="L42" s="589" t="str">
        <f>IF(はじめに入力してください!H16=0,"",はじめに入力してください!H16)</f>
        <v/>
      </c>
      <c r="M42" s="589"/>
      <c r="N42" s="589"/>
      <c r="O42" s="589"/>
      <c r="P42" s="589"/>
      <c r="Q42" s="589"/>
      <c r="R42" s="589"/>
    </row>
    <row r="43" spans="2:18" ht="15" customHeight="1">
      <c r="J43" s="587" t="s">
        <v>18</v>
      </c>
      <c r="K43" s="587"/>
      <c r="L43" s="589" t="str">
        <f>IF(はじめに入力してください!H17=0,"",はじめに入力してください!H17)</f>
        <v/>
      </c>
      <c r="M43" s="589"/>
      <c r="N43" s="589"/>
      <c r="O43" s="589"/>
      <c r="P43" s="589"/>
      <c r="Q43" s="589"/>
      <c r="R43" s="589"/>
    </row>
    <row r="44" spans="2:18" ht="15" customHeight="1">
      <c r="J44" s="587" t="s">
        <v>19</v>
      </c>
      <c r="K44" s="587"/>
      <c r="L44" s="589" t="str">
        <f>IF(はじめに入力してください!H18=0,"",はじめに入力してください!H18)</f>
        <v/>
      </c>
      <c r="M44" s="589"/>
      <c r="N44" s="589"/>
      <c r="O44" s="589"/>
      <c r="P44" s="589"/>
      <c r="Q44" s="589"/>
      <c r="R44" s="589"/>
    </row>
    <row r="45" spans="2:18" ht="15" customHeight="1">
      <c r="J45" s="587" t="s">
        <v>20</v>
      </c>
      <c r="K45" s="587"/>
      <c r="L45" s="589" t="str">
        <f>IF(はじめに入力してください!H19=0,"",はじめに入力してください!H19)</f>
        <v/>
      </c>
      <c r="M45" s="589"/>
      <c r="N45" s="589"/>
      <c r="O45" s="589"/>
      <c r="P45" s="589"/>
      <c r="Q45" s="589"/>
      <c r="R45" s="589"/>
    </row>
    <row r="46" spans="2:18" ht="15" customHeight="1"/>
    <row r="50" spans="39:42" ht="30" customHeight="1">
      <c r="AM50" s="330"/>
      <c r="AN50" s="331"/>
      <c r="AO50" s="331"/>
      <c r="AP50" s="332"/>
    </row>
    <row r="51" spans="39:42" ht="30" customHeight="1">
      <c r="AM51" s="333"/>
      <c r="AN51" s="334"/>
      <c r="AO51" s="334"/>
      <c r="AP51" s="335"/>
    </row>
    <row r="52" spans="39:42" ht="27" customHeight="1">
      <c r="AM52" s="404"/>
      <c r="AN52" s="596"/>
      <c r="AO52" s="597"/>
      <c r="AP52" s="405"/>
    </row>
    <row r="53" spans="39:42" ht="27" customHeight="1">
      <c r="AM53" s="406"/>
      <c r="AN53" s="596" t="str">
        <f>はじめに入力してください!AE20</f>
        <v>入院第号</v>
      </c>
      <c r="AO53" s="598"/>
      <c r="AP53" s="405"/>
    </row>
    <row r="54" spans="39:42" ht="24.95" customHeight="1">
      <c r="AM54" s="341"/>
      <c r="AN54" s="339"/>
      <c r="AO54" s="339"/>
      <c r="AP54" s="340"/>
    </row>
    <row r="55" spans="39:42" ht="30" customHeight="1">
      <c r="AM55" s="333"/>
      <c r="AN55" s="334"/>
      <c r="AO55" s="334"/>
      <c r="AP55" s="335"/>
    </row>
    <row r="56" spans="39:42" ht="20.100000000000001" customHeight="1">
      <c r="AM56" s="336"/>
      <c r="AN56" s="337"/>
      <c r="AO56" s="337"/>
      <c r="AP56" s="338"/>
    </row>
  </sheetData>
  <sheetProtection algorithmName="SHA-512" hashValue="YJbOKJQnT6ZP4hqs8TOjxK1J10vANxAtMNBdqk3RrAIdtZ4ghQzvRGHQMKFpfck2vImPVHIOQdtsujm1YduzmQ==" saltValue="rdWdzdGnycrvnnhew6RjhA==" spinCount="100000" sheet="1" formatCells="0" formatColumns="0" formatRows="0"/>
  <mergeCells count="67">
    <mergeCell ref="AN52:AO52"/>
    <mergeCell ref="AN53:AO53"/>
    <mergeCell ref="C17:R17"/>
    <mergeCell ref="C18:R18"/>
    <mergeCell ref="J45:K45"/>
    <mergeCell ref="L42:R42"/>
    <mergeCell ref="B26:R26"/>
    <mergeCell ref="B27:R27"/>
    <mergeCell ref="B29:R29"/>
    <mergeCell ref="B33:R33"/>
    <mergeCell ref="C32:R32"/>
    <mergeCell ref="C31:R31"/>
    <mergeCell ref="C30:R30"/>
    <mergeCell ref="B28:R28"/>
    <mergeCell ref="G20:K20"/>
    <mergeCell ref="L43:R43"/>
    <mergeCell ref="L44:R44"/>
    <mergeCell ref="L45:R45"/>
    <mergeCell ref="C34:R34"/>
    <mergeCell ref="B36:R40"/>
    <mergeCell ref="AB4:AB5"/>
    <mergeCell ref="AJ4:AJ5"/>
    <mergeCell ref="J44:K44"/>
    <mergeCell ref="J42:K42"/>
    <mergeCell ref="J43:K43"/>
    <mergeCell ref="B25:R25"/>
    <mergeCell ref="N4:Q4"/>
    <mergeCell ref="B6:G6"/>
    <mergeCell ref="L8:R8"/>
    <mergeCell ref="L9:R9"/>
    <mergeCell ref="L10:R10"/>
    <mergeCell ref="I8:K8"/>
    <mergeCell ref="I9:K9"/>
    <mergeCell ref="I10:K10"/>
    <mergeCell ref="AI4:AI5"/>
    <mergeCell ref="N5:Q5"/>
    <mergeCell ref="AH4:AH5"/>
    <mergeCell ref="AK4:AL4"/>
    <mergeCell ref="AR4:AR5"/>
    <mergeCell ref="AO4:AO5"/>
    <mergeCell ref="AM4:AN4"/>
    <mergeCell ref="AP4:AQ4"/>
    <mergeCell ref="BB4:BB5"/>
    <mergeCell ref="BA4:BA5"/>
    <mergeCell ref="AZ4:AZ5"/>
    <mergeCell ref="AY4:AY5"/>
    <mergeCell ref="AX4:AX5"/>
    <mergeCell ref="AW4:AW5"/>
    <mergeCell ref="AV4:AV5"/>
    <mergeCell ref="AU4:AU5"/>
    <mergeCell ref="AT4:AT5"/>
    <mergeCell ref="AS4:AS5"/>
    <mergeCell ref="AG4:AG5"/>
    <mergeCell ref="G22:K22"/>
    <mergeCell ref="B19:Q19"/>
    <mergeCell ref="B20:F20"/>
    <mergeCell ref="B21:F21"/>
    <mergeCell ref="B22:F22"/>
    <mergeCell ref="B12:R12"/>
    <mergeCell ref="G21:K21"/>
    <mergeCell ref="Z4:Z5"/>
    <mergeCell ref="AF4:AF5"/>
    <mergeCell ref="AE4:AE5"/>
    <mergeCell ref="AD4:AD5"/>
    <mergeCell ref="AC4:AC5"/>
    <mergeCell ref="B15:R15"/>
    <mergeCell ref="AA4:AA5"/>
  </mergeCells>
  <phoneticPr fontId="1"/>
  <conditionalFormatting sqref="G20:G22">
    <cfRule type="containsText" dxfId="140" priority="1" operator="containsText" text="不備">
      <formula>NOT(ISERROR(SEARCH("不備",G20)))</formula>
    </cfRule>
  </conditionalFormatting>
  <dataValidations count="1">
    <dataValidation type="list" allowBlank="1" showInputMessage="1" showErrorMessage="1" sqref="V8">
      <formula1>$W$8:$W$10</formula1>
    </dataValidation>
  </dataValidations>
  <printOptions horizontalCentered="1"/>
  <pageMargins left="0.59055118110236227" right="0.39370078740157483" top="0.39370078740157483" bottom="0.39370078740157483"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dimension ref="A1:M45"/>
  <sheetViews>
    <sheetView view="pageBreakPreview" zoomScale="30" zoomScaleNormal="100" zoomScaleSheetLayoutView="30" workbookViewId="0">
      <pane ySplit="4" topLeftCell="A14" activePane="bottomLeft" state="frozen"/>
      <selection pane="bottomLeft" activeCell="D27" sqref="D27"/>
    </sheetView>
  </sheetViews>
  <sheetFormatPr defaultColWidth="8.625" defaultRowHeight="35.25"/>
  <cols>
    <col min="1" max="4" width="15.625" style="370" customWidth="1"/>
    <col min="5" max="5" width="30.625" style="370" customWidth="1"/>
    <col min="6" max="9" width="15.625" style="370" customWidth="1"/>
    <col min="10" max="12" width="8.625" style="370"/>
    <col min="13" max="13" width="90.625" style="370" customWidth="1"/>
    <col min="14" max="16384" width="8.625" style="370"/>
  </cols>
  <sheetData>
    <row r="1" spans="1:9" ht="45" customHeight="1">
      <c r="F1" s="605"/>
      <c r="G1" s="606"/>
      <c r="H1" s="607" t="str">
        <f>IF(はじめに入力してください!L20="","",はじめに入力してください!AE20)</f>
        <v/>
      </c>
      <c r="I1" s="608"/>
    </row>
    <row r="2" spans="1:9" ht="45" customHeight="1"/>
    <row r="3" spans="1:9" ht="45" customHeight="1">
      <c r="I3" s="371" t="s">
        <v>737</v>
      </c>
    </row>
    <row r="4" spans="1:9" ht="45" customHeight="1">
      <c r="A4" s="609" t="s">
        <v>738</v>
      </c>
      <c r="B4" s="610"/>
      <c r="C4" s="610"/>
    </row>
    <row r="5" spans="1:9" ht="45" customHeight="1"/>
    <row r="6" spans="1:9" ht="45" customHeight="1">
      <c r="E6" s="611" t="s">
        <v>739</v>
      </c>
      <c r="F6" s="609" t="str">
        <f>IF(はじめに入力してください!H9="","",はじめに入力してください!H9)</f>
        <v/>
      </c>
      <c r="G6" s="613"/>
      <c r="H6" s="613"/>
      <c r="I6" s="613"/>
    </row>
    <row r="7" spans="1:9" ht="45" customHeight="1">
      <c r="E7" s="612"/>
      <c r="F7" s="613"/>
      <c r="G7" s="613"/>
      <c r="H7" s="613"/>
      <c r="I7" s="613"/>
    </row>
    <row r="8" spans="1:9" ht="45" customHeight="1">
      <c r="E8" s="372" t="s">
        <v>10</v>
      </c>
      <c r="F8" s="609" t="str">
        <f>IF(はじめに入力してください!H6="","",はじめに入力してください!H6)</f>
        <v/>
      </c>
      <c r="G8" s="613"/>
      <c r="H8" s="613"/>
      <c r="I8" s="613"/>
    </row>
    <row r="9" spans="1:9" ht="45" customHeight="1">
      <c r="E9" s="372" t="s">
        <v>37</v>
      </c>
      <c r="F9" s="609" t="str">
        <f>表紙!L10</f>
        <v>　</v>
      </c>
      <c r="G9" s="613"/>
      <c r="H9" s="613"/>
      <c r="I9" s="613"/>
    </row>
    <row r="10" spans="1:9" ht="45" customHeight="1">
      <c r="E10" s="372" t="s">
        <v>153</v>
      </c>
      <c r="F10" s="609" t="str">
        <f>表紙!C17</f>
        <v/>
      </c>
      <c r="G10" s="613"/>
      <c r="H10" s="613"/>
      <c r="I10" s="613"/>
    </row>
    <row r="11" spans="1:9" ht="45" customHeight="1"/>
    <row r="12" spans="1:9" ht="45" customHeight="1">
      <c r="A12" s="614" t="s">
        <v>740</v>
      </c>
      <c r="B12" s="615"/>
      <c r="C12" s="615"/>
      <c r="D12" s="615"/>
      <c r="E12" s="615"/>
      <c r="F12" s="615"/>
      <c r="G12" s="615"/>
      <c r="H12" s="615"/>
      <c r="I12" s="615"/>
    </row>
    <row r="13" spans="1:9" ht="45" customHeight="1">
      <c r="A13" s="615"/>
      <c r="B13" s="615"/>
      <c r="C13" s="615"/>
      <c r="D13" s="615"/>
      <c r="E13" s="615"/>
      <c r="F13" s="615"/>
      <c r="G13" s="615"/>
      <c r="H13" s="615"/>
      <c r="I13" s="615"/>
    </row>
    <row r="14" spans="1:9" ht="45" customHeight="1"/>
    <row r="15" spans="1:9" ht="45" customHeight="1">
      <c r="A15" s="616" t="s">
        <v>745</v>
      </c>
      <c r="B15" s="617"/>
      <c r="C15" s="617"/>
      <c r="D15" s="617"/>
      <c r="E15" s="617"/>
      <c r="F15" s="617"/>
      <c r="G15" s="617"/>
      <c r="H15" s="617"/>
      <c r="I15" s="617"/>
    </row>
    <row r="16" spans="1:9" ht="45" customHeight="1">
      <c r="A16" s="617"/>
      <c r="B16" s="617"/>
      <c r="C16" s="617"/>
      <c r="D16" s="617"/>
      <c r="E16" s="617"/>
      <c r="F16" s="617"/>
      <c r="G16" s="617"/>
      <c r="H16" s="617"/>
      <c r="I16" s="617"/>
    </row>
    <row r="17" spans="1:13" ht="45" customHeight="1">
      <c r="A17" s="618" t="s">
        <v>14</v>
      </c>
      <c r="B17" s="619"/>
      <c r="C17" s="619"/>
      <c r="D17" s="619"/>
      <c r="E17" s="619"/>
      <c r="F17" s="619"/>
      <c r="G17" s="619"/>
      <c r="H17" s="619"/>
      <c r="I17" s="619"/>
    </row>
    <row r="18" spans="1:13" ht="45" customHeight="1">
      <c r="A18" s="370" t="s">
        <v>741</v>
      </c>
    </row>
    <row r="19" spans="1:13" ht="45" customHeight="1">
      <c r="A19" s="370" t="str">
        <f>IF(表紙!G20="金　　　　　　　　　円","　　金　　　　　　　　　円","　　金"&amp;TEXT(表紙!G20,"#,###")&amp;"円")</f>
        <v>　　金　　　　　　　　　円</v>
      </c>
    </row>
    <row r="20" spans="1:13" ht="45" customHeight="1"/>
    <row r="21" spans="1:13" ht="45" customHeight="1">
      <c r="A21" s="370" t="s">
        <v>742</v>
      </c>
    </row>
    <row r="22" spans="1:13" ht="45" customHeight="1">
      <c r="B22" s="602" t="s">
        <v>743</v>
      </c>
      <c r="C22" s="603"/>
      <c r="D22" s="604" t="str">
        <f>IFERROR(VLOOKUP(はじめに入力してください!L20,リスト!A:DX,126,FALSE),"")</f>
        <v/>
      </c>
      <c r="E22" s="411"/>
      <c r="F22" s="411"/>
      <c r="G22" s="411"/>
      <c r="H22" s="411"/>
    </row>
    <row r="23" spans="1:13" ht="45" customHeight="1">
      <c r="B23" s="602" t="s">
        <v>164</v>
      </c>
      <c r="C23" s="603"/>
      <c r="D23" s="604" t="str">
        <f>IFERROR(VLOOKUP(はじめに入力してください!L20,リスト!A:DX,127,FALSE),"")</f>
        <v/>
      </c>
      <c r="E23" s="411"/>
      <c r="F23" s="411"/>
      <c r="G23" s="411"/>
      <c r="H23" s="411"/>
    </row>
    <row r="24" spans="1:13" ht="45" customHeight="1">
      <c r="B24" s="602" t="s">
        <v>744</v>
      </c>
      <c r="C24" s="603"/>
      <c r="D24" s="604" t="str">
        <f>IFERROR(VLOOKUP(はじめに入力してください!L20,リスト!A:DX,128,FALSE),"")</f>
        <v/>
      </c>
      <c r="E24" s="411"/>
      <c r="F24" s="411"/>
      <c r="G24" s="411"/>
      <c r="H24" s="411"/>
    </row>
    <row r="25" spans="1:13" ht="45" customHeight="1">
      <c r="B25" s="602" t="s">
        <v>166</v>
      </c>
      <c r="C25" s="603"/>
      <c r="D25" s="623" t="s">
        <v>750</v>
      </c>
      <c r="E25" s="624"/>
      <c r="F25" s="624"/>
      <c r="G25" s="624"/>
      <c r="H25" s="624"/>
    </row>
    <row r="26" spans="1:13" ht="45" customHeight="1"/>
    <row r="27" spans="1:13" ht="45" customHeight="1"/>
    <row r="28" spans="1:13" ht="45" customHeight="1"/>
    <row r="29" spans="1:13" ht="45" customHeight="1"/>
    <row r="30" spans="1:13" ht="45" customHeight="1"/>
    <row r="31" spans="1:13" ht="45" customHeight="1"/>
    <row r="32" spans="1:13" ht="45" customHeight="1">
      <c r="L32" s="373" t="s">
        <v>64</v>
      </c>
      <c r="M32" s="373" t="s">
        <v>121</v>
      </c>
    </row>
    <row r="33" spans="12:13" ht="45" customHeight="1">
      <c r="L33" s="620" t="str">
        <f>IF(LEN(D25)=7,"○","×")</f>
        <v>○</v>
      </c>
      <c r="M33" s="621" t="str">
        <f>IF(LEN(D25)=7,"適切に入力がされました。"&amp;CHAR(10)&amp;"※右肩の日付は入力しないでください。",
"【要修正】７桁の振込先口座番号を入力してください。"&amp;CHAR(10)&amp;"※先頭が０の場合も必ず入力してください。"&amp;CHAR(10)&amp;"※右肩の日付は入力しないでください。")</f>
        <v>適切に入力がされました。
※右肩の日付は入力しないでください。</v>
      </c>
    </row>
    <row r="34" spans="12:13" ht="45" customHeight="1">
      <c r="L34" s="415"/>
      <c r="M34" s="622"/>
    </row>
    <row r="35" spans="12:13" ht="45" customHeight="1"/>
    <row r="36" spans="12:13" ht="45" customHeight="1"/>
    <row r="37" spans="12:13" ht="45" customHeight="1"/>
    <row r="38" spans="12:13" ht="45" customHeight="1"/>
    <row r="39" spans="12:13" ht="45" customHeight="1"/>
    <row r="40" spans="12:13" ht="45" customHeight="1"/>
    <row r="41" spans="12:13" ht="45" customHeight="1"/>
    <row r="42" spans="12:13" ht="45" customHeight="1"/>
    <row r="43" spans="12:13" ht="45" customHeight="1"/>
    <row r="44" spans="12:13" ht="45" customHeight="1"/>
    <row r="45" spans="12:13" ht="45" customHeight="1"/>
  </sheetData>
  <sheetProtection algorithmName="SHA-512" hashValue="igA61BBw93k77xVaf+NrltCPU0+zlH48sIYx3d8BrEWoVComJ2sI1tOxW0g2wmzjyJpPrFdDXFx2GjrOO7Ed8g==" saltValue="jxUf9VCpPzxjtZudSddOnQ==" spinCount="100000" sheet="1" objects="1" scenarios="1"/>
  <mergeCells count="21">
    <mergeCell ref="L33:L34"/>
    <mergeCell ref="M33:M34"/>
    <mergeCell ref="B23:C23"/>
    <mergeCell ref="D23:H23"/>
    <mergeCell ref="B24:C24"/>
    <mergeCell ref="D24:H24"/>
    <mergeCell ref="B25:C25"/>
    <mergeCell ref="D25:H25"/>
    <mergeCell ref="B22:C22"/>
    <mergeCell ref="D22:H22"/>
    <mergeCell ref="F1:G1"/>
    <mergeCell ref="H1:I1"/>
    <mergeCell ref="A4:C4"/>
    <mergeCell ref="E6:E7"/>
    <mergeCell ref="F6:I7"/>
    <mergeCell ref="F8:I8"/>
    <mergeCell ref="F9:I9"/>
    <mergeCell ref="F10:I10"/>
    <mergeCell ref="A12:I13"/>
    <mergeCell ref="A15:I16"/>
    <mergeCell ref="A17:I17"/>
  </mergeCells>
  <phoneticPr fontId="1"/>
  <conditionalFormatting sqref="L33:L34">
    <cfRule type="containsText" dxfId="139" priority="2" operator="containsText" text="×">
      <formula>NOT(ISERROR(SEARCH("×",L33)))</formula>
    </cfRule>
  </conditionalFormatting>
  <conditionalFormatting sqref="M33:M34">
    <cfRule type="containsText" dxfId="138" priority="1" operator="containsText" text="要修正">
      <formula>NOT(ISERROR(SEARCH("要修正",M33)))</formula>
    </cfRule>
  </conditionalFormatting>
  <pageMargins left="0.7" right="0.7" top="0.75" bottom="0.75" header="0.3" footer="0.3"/>
  <pageSetup paperSize="9" scale="51"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P46"/>
  <sheetViews>
    <sheetView showGridLines="0" view="pageBreakPreview" zoomScale="60" zoomScaleNormal="100" workbookViewId="0">
      <pane xSplit="1" ySplit="6" topLeftCell="B7" activePane="bottomRight" state="frozen"/>
      <selection activeCell="N3" sqref="N3:Q3"/>
      <selection pane="topRight" activeCell="N3" sqref="N3:Q3"/>
      <selection pane="bottomLeft" activeCell="N3" sqref="N3:Q3"/>
      <selection pane="bottomRight" activeCell="I30" sqref="I30"/>
    </sheetView>
  </sheetViews>
  <sheetFormatPr defaultColWidth="9" defaultRowHeight="18"/>
  <cols>
    <col min="1" max="1" width="2.625" style="1" customWidth="1"/>
    <col min="2" max="3" width="20.625" style="1" customWidth="1"/>
    <col min="4" max="11" width="18.625" style="1" customWidth="1"/>
    <col min="12" max="12" width="11.125" style="1" customWidth="1"/>
    <col min="13" max="14" width="2.625" style="1" customWidth="1"/>
    <col min="15" max="15" width="15" style="1" customWidth="1"/>
    <col min="16" max="16" width="12.75" style="288" customWidth="1"/>
    <col min="17" max="16384" width="9" style="1"/>
  </cols>
  <sheetData>
    <row r="1" spans="2:16" ht="18" customHeight="1">
      <c r="B1" s="1" t="str">
        <f xml:space="preserve">
IF(表紙!V8="交付申請","様式１－１",
IF(表紙!V8="変更申請","様式１－１",
IF(表紙!V8="実績報告","様式３－１")))</f>
        <v>様式１－１</v>
      </c>
      <c r="L1" s="387" t="str">
        <f>IF(はじめに入力してください!L20="","",はじめに入力してください!AE20)</f>
        <v/>
      </c>
    </row>
    <row r="2" spans="2:16" ht="18" customHeight="1">
      <c r="B2" s="625" t="str">
        <f xml:space="preserve">
IF(表紙!V8="交付申請","令和４年度　新型コロナウイルス感染症患者等入院医療機関設備整備費補助金経費所要額調書",
IF(表紙!V8="変更申請","令和４年度　新型コロナウイルス感染症患者等入院医療機関設備整備費補助金経費所要額調書",
IF(表紙!V8="実績報告","令和４年度　新型コロナウイルス感染症患者等入院医療機関設備整備費補助金経費精算書")))</f>
        <v>令和４年度　新型コロナウイルス感染症患者等入院医療機関設備整備費補助金経費所要額調書</v>
      </c>
      <c r="C2" s="625"/>
      <c r="D2" s="625"/>
      <c r="E2" s="625"/>
      <c r="F2" s="625"/>
      <c r="G2" s="625"/>
      <c r="H2" s="625"/>
      <c r="I2" s="625"/>
      <c r="J2" s="625"/>
      <c r="K2" s="625"/>
      <c r="L2" s="625"/>
    </row>
    <row r="3" spans="2:16" ht="18" customHeight="1">
      <c r="B3" s="377"/>
      <c r="C3" s="377"/>
      <c r="D3" s="377"/>
      <c r="E3" s="377"/>
      <c r="F3" s="377"/>
      <c r="G3" s="377"/>
      <c r="I3" s="16" t="s">
        <v>45</v>
      </c>
      <c r="J3" s="632" t="str">
        <f>IF(はじめに入力してください!H10=0,"",はじめに入力してください!H10)</f>
        <v/>
      </c>
      <c r="K3" s="633"/>
      <c r="L3" s="159"/>
    </row>
    <row r="4" spans="2:16" ht="18" customHeight="1">
      <c r="B4" s="289"/>
      <c r="C4" s="289"/>
      <c r="D4" s="289"/>
      <c r="E4" s="289"/>
      <c r="F4" s="289"/>
      <c r="G4" s="289"/>
      <c r="I4" s="290" t="str">
        <f xml:space="preserve">
IF(表紙!V8="交付申請","事業完了予定日",
IF(表紙!V8="変更申請","事業完了予定日",
IF(表紙!V8="実績報告","事業完了日")))</f>
        <v>事業完了予定日</v>
      </c>
      <c r="J4" s="634" t="str">
        <f>IF(MAX(額内訳書!AG7:AG29)=0,"",MAX(額内訳書!AG7:AG29))</f>
        <v/>
      </c>
      <c r="K4" s="634"/>
      <c r="L4" s="291"/>
    </row>
    <row r="5" spans="2:16" s="2" customFormat="1" ht="54.95" customHeight="1" thickBot="1">
      <c r="B5" s="378" t="s">
        <v>56</v>
      </c>
      <c r="C5" s="378"/>
      <c r="D5" s="378" t="s">
        <v>58</v>
      </c>
      <c r="E5" s="378" t="str">
        <f xml:space="preserve">
IF(表紙!V8="交付申請","寄付金その他の"&amp;CHAR(10)&amp;"収入予定額"&amp;CHAR(10)&amp;"(B)",
IF(表紙!V8="変更申請","寄付金その他の"&amp;CHAR(10)&amp;"収入予定額"&amp;CHAR(10)&amp;"(B)",
IF(表紙!V8="実績報告","寄付金その他の"&amp;CHAR(10)&amp;"収入済額"&amp;CHAR(10)&amp;"(B)")))</f>
        <v>寄付金その他の
収入予定額
(B)</v>
      </c>
      <c r="F5" s="378" t="s">
        <v>6</v>
      </c>
      <c r="G5" s="378" t="str">
        <f xml:space="preserve">
IF(表紙!V8="交付申請","対象経費"&amp;CHAR(10)&amp;"支出予定額"&amp;CHAR(10)&amp;"(D)",
IF(表紙!V8="変更申請","対象経費"&amp;CHAR(10)&amp;"支出予定額"&amp;CHAR(10)&amp;"(D)",
IF(表紙!V8="実績報告","対象経費"&amp;CHAR(10)&amp;"支出済額"&amp;CHAR(10)&amp;"(D)")))</f>
        <v>対象経費
支出予定額
(D)</v>
      </c>
      <c r="H5" s="378" t="s">
        <v>59</v>
      </c>
      <c r="I5" s="378" t="s">
        <v>60</v>
      </c>
      <c r="J5" s="378" t="s">
        <v>46</v>
      </c>
      <c r="K5" s="378" t="s">
        <v>5</v>
      </c>
      <c r="L5" s="378" t="s">
        <v>52</v>
      </c>
      <c r="P5" s="292"/>
    </row>
    <row r="6" spans="2:16" ht="20.100000000000001" hidden="1" customHeight="1">
      <c r="B6" s="293"/>
      <c r="C6" s="293"/>
      <c r="D6" s="294" t="s">
        <v>4</v>
      </c>
      <c r="E6" s="294" t="s">
        <v>4</v>
      </c>
      <c r="F6" s="294" t="s">
        <v>4</v>
      </c>
      <c r="G6" s="294" t="s">
        <v>4</v>
      </c>
      <c r="H6" s="294" t="s">
        <v>4</v>
      </c>
      <c r="I6" s="294" t="s">
        <v>4</v>
      </c>
      <c r="J6" s="294" t="s">
        <v>4</v>
      </c>
      <c r="K6" s="294" t="s">
        <v>4</v>
      </c>
      <c r="L6" s="295"/>
    </row>
    <row r="7" spans="2:16" ht="17.100000000000001" customHeight="1">
      <c r="B7" s="626" t="s">
        <v>178</v>
      </c>
      <c r="C7" s="640" t="s">
        <v>172</v>
      </c>
      <c r="D7" s="347">
        <f>額内訳書!K7</f>
        <v>0</v>
      </c>
      <c r="E7" s="391">
        <v>0</v>
      </c>
      <c r="F7" s="347">
        <f>D7-E7</f>
        <v>0</v>
      </c>
      <c r="G7" s="347">
        <f>F7</f>
        <v>0</v>
      </c>
      <c r="H7" s="347">
        <f>額内訳書!G7</f>
        <v>0</v>
      </c>
      <c r="I7" s="347">
        <f>MIN(G7,H7)</f>
        <v>0</v>
      </c>
      <c r="J7" s="347">
        <f>I7</f>
        <v>0</v>
      </c>
      <c r="K7" s="347">
        <f>ROUNDDOWN(J7,-3)</f>
        <v>0</v>
      </c>
      <c r="L7" s="635" t="str">
        <f xml:space="preserve">
IF(表紙!V8="交付申請","内訳は様式1-2のとおり",
IF(表紙!V8="変更申請","内訳は様式1-2のとおり",
IF(表紙!V8="実績報告","内訳は様式3-2のとおり")))</f>
        <v>内訳は様式1-2のとおり</v>
      </c>
    </row>
    <row r="8" spans="2:16" ht="17.100000000000001" customHeight="1">
      <c r="B8" s="627"/>
      <c r="C8" s="631"/>
      <c r="D8" s="369" t="str">
        <f>IF(表紙!V8="変更申請",IFERROR(VLOOKUP(はじめに入力してください!L20,リスト!A:DR,3,FALSE),""),"")</f>
        <v/>
      </c>
      <c r="E8" s="392" t="str">
        <f>IF(表紙!V8="変更申請",IFERROR(VLOOKUP(はじめに入力してください!L20,リスト!A:DR,4,FALSE),""),"")</f>
        <v/>
      </c>
      <c r="F8" s="369" t="str">
        <f>IF(表紙!V8="変更申請",IFERROR(VLOOKUP(はじめに入力してください!L20,リスト!A:DR,5,FALSE),""),"")</f>
        <v/>
      </c>
      <c r="G8" s="369" t="str">
        <f>IF(表紙!V8="変更申請",IFERROR(VLOOKUP(はじめに入力してください!L20,リスト!A:DR,6,FALSE),""),"")</f>
        <v/>
      </c>
      <c r="H8" s="369" t="str">
        <f>IF(表紙!V8="変更申請",IFERROR(VLOOKUP(はじめに入力してください!L20,リスト!A:DR,7,FALSE),""),"")</f>
        <v/>
      </c>
      <c r="I8" s="369" t="str">
        <f>IF(表紙!V8="変更申請",IFERROR(VLOOKUP(はじめに入力してください!L20,リスト!A:DR,8,FALSE),""),"")</f>
        <v/>
      </c>
      <c r="J8" s="369" t="str">
        <f>IF(表紙!V8="変更申請",IFERROR(VLOOKUP(はじめに入力してください!L20,リスト!A:DR,9,FALSE),""),"")</f>
        <v/>
      </c>
      <c r="K8" s="369" t="str">
        <f>IF(表紙!V8="変更申請",IFERROR(VLOOKUP(はじめに入力してください!L20,リスト!A:DR,10,FALSE),""),"")</f>
        <v/>
      </c>
      <c r="L8" s="636"/>
      <c r="O8" s="289"/>
      <c r="P8" s="296"/>
    </row>
    <row r="9" spans="2:16" ht="17.100000000000001" customHeight="1">
      <c r="B9" s="628"/>
      <c r="C9" s="630" t="s">
        <v>173</v>
      </c>
      <c r="D9" s="346">
        <f>額内訳書!K8</f>
        <v>0</v>
      </c>
      <c r="E9" s="393">
        <v>0</v>
      </c>
      <c r="F9" s="346">
        <f>D9-E9</f>
        <v>0</v>
      </c>
      <c r="G9" s="346">
        <f>F9</f>
        <v>0</v>
      </c>
      <c r="H9" s="346">
        <f>額内訳書!G8</f>
        <v>0</v>
      </c>
      <c r="I9" s="346">
        <f>MIN(G9,H9)</f>
        <v>0</v>
      </c>
      <c r="J9" s="346">
        <f>I9</f>
        <v>0</v>
      </c>
      <c r="K9" s="346">
        <f>ROUNDDOWN(J9,-3)</f>
        <v>0</v>
      </c>
      <c r="L9" s="636"/>
      <c r="O9" s="289"/>
      <c r="P9" s="296"/>
    </row>
    <row r="10" spans="2:16" ht="17.100000000000001" customHeight="1">
      <c r="B10" s="628"/>
      <c r="C10" s="631"/>
      <c r="D10" s="369" t="str">
        <f>IF(表紙!V8="変更申請",IFERROR(VLOOKUP(はじめに入力してください!L20,リスト!A:DR,11,FALSE),""),"")</f>
        <v/>
      </c>
      <c r="E10" s="392" t="str">
        <f>IF(表紙!V8="変更申請",IFERROR(VLOOKUP(はじめに入力してください!L20,リスト!A:DR,12,FALSE),""),"")</f>
        <v/>
      </c>
      <c r="F10" s="369" t="str">
        <f>IF(表紙!V8="変更申請",IFERROR(VLOOKUP(はじめに入力してください!L20,リスト!A:DR,13,FALSE),""),"")</f>
        <v/>
      </c>
      <c r="G10" s="369" t="str">
        <f>IF(表紙!V8="変更申請",IFERROR(VLOOKUP(はじめに入力してください!L20,リスト!A:DR,14,FALSE),""),"")</f>
        <v/>
      </c>
      <c r="H10" s="369" t="str">
        <f>IF(表紙!V8="変更申請",IFERROR(VLOOKUP(はじめに入力してください!L20,リスト!A:DR,15,FALSE),""),"")</f>
        <v/>
      </c>
      <c r="I10" s="369" t="str">
        <f>IF(表紙!V8="変更申請",IFERROR(VLOOKUP(はじめに入力してください!L20,リスト!A:DR,16,FALSE),""),"")</f>
        <v/>
      </c>
      <c r="J10" s="369" t="str">
        <f>IF(表紙!V8="変更申請",IFERROR(VLOOKUP(はじめに入力してください!L20,リスト!A:DR,17,FALSE),""),"")</f>
        <v/>
      </c>
      <c r="K10" s="369" t="str">
        <f>IF(表紙!V8="変更申請",IFERROR(VLOOKUP(はじめに入力してください!L20,リスト!A:DR,18,FALSE),""),"")</f>
        <v/>
      </c>
      <c r="L10" s="636"/>
    </row>
    <row r="11" spans="2:16" ht="17.100000000000001" customHeight="1">
      <c r="B11" s="628"/>
      <c r="C11" s="630" t="s">
        <v>9</v>
      </c>
      <c r="D11" s="346">
        <f>額内訳書!K9</f>
        <v>0</v>
      </c>
      <c r="E11" s="393">
        <v>0</v>
      </c>
      <c r="F11" s="346">
        <f>D11-E11</f>
        <v>0</v>
      </c>
      <c r="G11" s="346">
        <f>F11</f>
        <v>0</v>
      </c>
      <c r="H11" s="346">
        <f>額内訳書!G9</f>
        <v>0</v>
      </c>
      <c r="I11" s="346">
        <f>MIN(G11,H11)</f>
        <v>0</v>
      </c>
      <c r="J11" s="346">
        <f>I11</f>
        <v>0</v>
      </c>
      <c r="K11" s="346">
        <f>ROUNDDOWN(J11,-3)</f>
        <v>0</v>
      </c>
      <c r="L11" s="636"/>
    </row>
    <row r="12" spans="2:16" ht="17.100000000000001" customHeight="1">
      <c r="B12" s="628"/>
      <c r="C12" s="631"/>
      <c r="D12" s="369" t="str">
        <f>IF(表紙!V8="変更申請",IFERROR(VLOOKUP(はじめに入力してください!L20,リスト!A:DR,19,FALSE),""),"")</f>
        <v/>
      </c>
      <c r="E12" s="392" t="str">
        <f>IF(表紙!V8="変更申請",IFERROR(VLOOKUP(はじめに入力してください!L20,リスト!A:DR,20,FALSE),""),"")</f>
        <v/>
      </c>
      <c r="F12" s="369" t="str">
        <f>IF(表紙!V8="変更申請",IFERROR(VLOOKUP(はじめに入力してください!L20,リスト!A:DR,21,FALSE),""),"")</f>
        <v/>
      </c>
      <c r="G12" s="369" t="str">
        <f>IF(表紙!V8="変更申請",IFERROR(VLOOKUP(はじめに入力してください!L20,リスト!A:DR,22,FALSE),""),"")</f>
        <v/>
      </c>
      <c r="H12" s="369" t="str">
        <f>IF(表紙!V8="変更申請",IFERROR(VLOOKUP(はじめに入力してください!L20,リスト!A:DR,23,FALSE),""),"")</f>
        <v/>
      </c>
      <c r="I12" s="369" t="str">
        <f>IF(表紙!V8="変更申請",IFERROR(VLOOKUP(はじめに入力してください!L20,リスト!A:DR,24,FALSE),""),"")</f>
        <v/>
      </c>
      <c r="J12" s="369" t="str">
        <f>IF(表紙!V8="変更申請",IFERROR(VLOOKUP(はじめに入力してください!L20,リスト!A:DR,25,FALSE),""),"")</f>
        <v/>
      </c>
      <c r="K12" s="369" t="str">
        <f>IF(表紙!V8="変更申請",IFERROR(VLOOKUP(はじめに入力してください!L20,リスト!A:DR,26,FALSE),""),"")</f>
        <v/>
      </c>
      <c r="L12" s="636"/>
    </row>
    <row r="13" spans="2:16" ht="17.100000000000001" customHeight="1">
      <c r="B13" s="628"/>
      <c r="C13" s="630" t="s">
        <v>174</v>
      </c>
      <c r="D13" s="346">
        <f>額内訳書!K10</f>
        <v>0</v>
      </c>
      <c r="E13" s="393">
        <v>0</v>
      </c>
      <c r="F13" s="346">
        <f>D13-E13</f>
        <v>0</v>
      </c>
      <c r="G13" s="346">
        <f>F13</f>
        <v>0</v>
      </c>
      <c r="H13" s="346">
        <f>額内訳書!G10</f>
        <v>0</v>
      </c>
      <c r="I13" s="346">
        <f>MIN(G13,H13)</f>
        <v>0</v>
      </c>
      <c r="J13" s="346">
        <f>I13</f>
        <v>0</v>
      </c>
      <c r="K13" s="346">
        <f>ROUNDDOWN(J13,-3)</f>
        <v>0</v>
      </c>
      <c r="L13" s="636"/>
    </row>
    <row r="14" spans="2:16" ht="17.100000000000001" customHeight="1">
      <c r="B14" s="628"/>
      <c r="C14" s="631"/>
      <c r="D14" s="369" t="str">
        <f>IF(表紙!V8="変更申請",IFERROR(VLOOKUP(はじめに入力してください!L20,リスト!A:DR,27,FALSE),""),"")</f>
        <v/>
      </c>
      <c r="E14" s="392" t="str">
        <f>IF(表紙!V8="変更申請",IFERROR(VLOOKUP(はじめに入力してください!L20,リスト!A:DR,28,FALSE),""),"")</f>
        <v/>
      </c>
      <c r="F14" s="369" t="str">
        <f>IF(表紙!V8="変更申請",IFERROR(VLOOKUP(はじめに入力してください!L20,リスト!A:DR,29,FALSE),""),"")</f>
        <v/>
      </c>
      <c r="G14" s="369" t="str">
        <f>IF(表紙!V8="変更申請",IFERROR(VLOOKUP(はじめに入力してください!L20,リスト!A:DR,30,FALSE),""),"")</f>
        <v/>
      </c>
      <c r="H14" s="369" t="str">
        <f>IF(表紙!V8="変更申請",IFERROR(VLOOKUP(はじめに入力してください!L20,リスト!A:DR,31,FALSE),""),"")</f>
        <v/>
      </c>
      <c r="I14" s="369" t="str">
        <f>IF(表紙!V8="変更申請",IFERROR(VLOOKUP(はじめに入力してください!L20,リスト!A:DR,32,FALSE),""),"")</f>
        <v/>
      </c>
      <c r="J14" s="369" t="str">
        <f>IF(表紙!V8="変更申請",IFERROR(VLOOKUP(はじめに入力してください!L20,リスト!A:DR,33,FALSE),""),"")</f>
        <v/>
      </c>
      <c r="K14" s="369" t="str">
        <f>IF(表紙!V8="変更申請",IFERROR(VLOOKUP(はじめに入力してください!L20,リスト!A:DR,34,FALSE),""),"")</f>
        <v/>
      </c>
      <c r="L14" s="636"/>
    </row>
    <row r="15" spans="2:16" ht="17.100000000000001" customHeight="1">
      <c r="B15" s="628"/>
      <c r="C15" s="630" t="s">
        <v>43</v>
      </c>
      <c r="D15" s="346">
        <f>SUM(額内訳書!K11:K14)</f>
        <v>0</v>
      </c>
      <c r="E15" s="393">
        <v>0</v>
      </c>
      <c r="F15" s="346">
        <f>D15-E15</f>
        <v>0</v>
      </c>
      <c r="G15" s="346">
        <f>F15</f>
        <v>0</v>
      </c>
      <c r="H15" s="346">
        <f>SUM(額内訳書!G11:G14)</f>
        <v>0</v>
      </c>
      <c r="I15" s="346">
        <f>MIN(G15,H15)</f>
        <v>0</v>
      </c>
      <c r="J15" s="346">
        <f>I15</f>
        <v>0</v>
      </c>
      <c r="K15" s="346">
        <f>ROUNDDOWN(J15,-3)</f>
        <v>0</v>
      </c>
      <c r="L15" s="636"/>
    </row>
    <row r="16" spans="2:16" ht="17.100000000000001" customHeight="1">
      <c r="B16" s="628"/>
      <c r="C16" s="631"/>
      <c r="D16" s="369" t="str">
        <f>IF(表紙!V8="変更申請",IFERROR(VLOOKUP(はじめに入力してください!L20,リスト!A:DR,35,FALSE),""),"")</f>
        <v/>
      </c>
      <c r="E16" s="392" t="str">
        <f>IF(表紙!V8="変更申請",IFERROR(VLOOKUP(はじめに入力してください!L20,リスト!A:DR,36,FALSE),""),"")</f>
        <v/>
      </c>
      <c r="F16" s="369" t="str">
        <f>IF(表紙!V8="変更申請",IFERROR(VLOOKUP(はじめに入力してください!L20,リスト!A:DR,37,FALSE),""),"")</f>
        <v/>
      </c>
      <c r="G16" s="369" t="str">
        <f>IF(表紙!V8="変更申請",IFERROR(VLOOKUP(はじめに入力してください!L20,リスト!A:DR,38,FALSE),""),"")</f>
        <v/>
      </c>
      <c r="H16" s="369" t="str">
        <f>IF(表紙!V8="変更申請",IFERROR(VLOOKUP(はじめに入力してください!L20,リスト!A:DR,39,FALSE),""),"")</f>
        <v/>
      </c>
      <c r="I16" s="369" t="str">
        <f>IF(表紙!V8="変更申請",IFERROR(VLOOKUP(はじめに入力してください!L20,リスト!A:DR,40,FALSE),""),"")</f>
        <v/>
      </c>
      <c r="J16" s="369" t="str">
        <f>IF(表紙!V8="変更申請",IFERROR(VLOOKUP(はじめに入力してください!L20,リスト!A:DR,41,FALSE),""),"")</f>
        <v/>
      </c>
      <c r="K16" s="369" t="str">
        <f>IF(表紙!V8="変更申請",IFERROR(VLOOKUP(はじめに入力してください!L20,リスト!A:DR,42,FALSE),""),"")</f>
        <v/>
      </c>
      <c r="L16" s="636"/>
    </row>
    <row r="17" spans="2:16" ht="17.100000000000001" customHeight="1">
      <c r="B17" s="628"/>
      <c r="C17" s="630" t="s">
        <v>175</v>
      </c>
      <c r="D17" s="346">
        <f>SUM(額内訳書!K15:K17)</f>
        <v>0</v>
      </c>
      <c r="E17" s="393">
        <v>0</v>
      </c>
      <c r="F17" s="346">
        <f>D17-E17</f>
        <v>0</v>
      </c>
      <c r="G17" s="346">
        <f>F17</f>
        <v>0</v>
      </c>
      <c r="H17" s="346">
        <f>SUM(額内訳書!G15:G17)</f>
        <v>0</v>
      </c>
      <c r="I17" s="346">
        <f>MIN(G17,H17)</f>
        <v>0</v>
      </c>
      <c r="J17" s="346">
        <f>I17</f>
        <v>0</v>
      </c>
      <c r="K17" s="346">
        <f>ROUNDDOWN(J17,-3)</f>
        <v>0</v>
      </c>
      <c r="L17" s="636"/>
      <c r="O17" s="289"/>
      <c r="P17" s="296"/>
    </row>
    <row r="18" spans="2:16" ht="17.100000000000001" customHeight="1">
      <c r="B18" s="628"/>
      <c r="C18" s="631"/>
      <c r="D18" s="369" t="str">
        <f>IF(表紙!V8="変更申請",IFERROR(VLOOKUP(はじめに入力してください!L20,リスト!A:DR,43,FALSE),""),"")</f>
        <v/>
      </c>
      <c r="E18" s="392" t="str">
        <f>IF(表紙!V8="変更申請",IFERROR(VLOOKUP(はじめに入力してください!L20,リスト!A:DR,44,FALSE),""),"")</f>
        <v/>
      </c>
      <c r="F18" s="369" t="str">
        <f>IF(表紙!V8="変更申請",IFERROR(VLOOKUP(はじめに入力してください!L20,リスト!A:DR,45,FALSE),""),"")</f>
        <v/>
      </c>
      <c r="G18" s="369" t="str">
        <f>IF(表紙!V8="変更申請",IFERROR(VLOOKUP(はじめに入力してください!L20,リスト!A:DR,46,FALSE),""),"")</f>
        <v/>
      </c>
      <c r="H18" s="369" t="str">
        <f>IF(表紙!V8="変更申請",IFERROR(VLOOKUP(はじめに入力してください!L20,リスト!A:DR,47,FALSE),""),"")</f>
        <v/>
      </c>
      <c r="I18" s="369" t="str">
        <f>IF(表紙!V8="変更申請",IFERROR(VLOOKUP(はじめに入力してください!L20,リスト!A:DR,48,FALSE),""),"")</f>
        <v/>
      </c>
      <c r="J18" s="369" t="str">
        <f>IF(表紙!V8="変更申請",IFERROR(VLOOKUP(はじめに入力してください!L20,リスト!A:DR,49,FALSE),""),"")</f>
        <v/>
      </c>
      <c r="K18" s="369" t="str">
        <f>IF(表紙!V8="変更申請",IFERROR(VLOOKUP(はじめに入力してください!L20,リスト!A:DR,50,FALSE),""),"")</f>
        <v/>
      </c>
      <c r="L18" s="636"/>
    </row>
    <row r="19" spans="2:16" ht="17.100000000000001" customHeight="1">
      <c r="B19" s="628"/>
      <c r="C19" s="630" t="s">
        <v>176</v>
      </c>
      <c r="D19" s="346">
        <f>額内訳書!K18</f>
        <v>0</v>
      </c>
      <c r="E19" s="393">
        <v>0</v>
      </c>
      <c r="F19" s="346">
        <f>D19-E19</f>
        <v>0</v>
      </c>
      <c r="G19" s="346">
        <f>F19</f>
        <v>0</v>
      </c>
      <c r="H19" s="346">
        <f>額内訳書!G18</f>
        <v>0</v>
      </c>
      <c r="I19" s="346">
        <f>MIN(G19,H19)</f>
        <v>0</v>
      </c>
      <c r="J19" s="346">
        <f>I19</f>
        <v>0</v>
      </c>
      <c r="K19" s="346">
        <f>ROUNDDOWN(J19,-3)</f>
        <v>0</v>
      </c>
      <c r="L19" s="636"/>
    </row>
    <row r="20" spans="2:16" ht="17.100000000000001" customHeight="1">
      <c r="B20" s="629"/>
      <c r="C20" s="631"/>
      <c r="D20" s="369" t="str">
        <f>IF(表紙!V8="変更申請",IFERROR(VLOOKUP(はじめに入力してください!L20,リスト!A:DR,51,FALSE),""),"")</f>
        <v/>
      </c>
      <c r="E20" s="392" t="str">
        <f>IF(表紙!V8="変更申請",IFERROR(VLOOKUP(はじめに入力してください!L20,リスト!A:DR,52,FALSE),""),"")</f>
        <v/>
      </c>
      <c r="F20" s="369" t="str">
        <f>IF(表紙!V8="変更申請",IFERROR(VLOOKUP(はじめに入力してください!L20,リスト!A:DR,53,FALSE),""),"")</f>
        <v/>
      </c>
      <c r="G20" s="369" t="str">
        <f>IF(表紙!V8="変更申請",IFERROR(VLOOKUP(はじめに入力してください!L20,リスト!A:DR,54,FALSE),""),"")</f>
        <v/>
      </c>
      <c r="H20" s="369" t="str">
        <f>IF(表紙!V8="変更申請",IFERROR(VLOOKUP(はじめに入力してください!L20,リスト!A:DR,55,FALSE),""),"")</f>
        <v/>
      </c>
      <c r="I20" s="369" t="str">
        <f>IF(表紙!V8="変更申請",IFERROR(VLOOKUP(はじめに入力してください!L20,リスト!A:DR,56,FALSE),""),"")</f>
        <v/>
      </c>
      <c r="J20" s="369" t="str">
        <f>IF(表紙!V8="変更申請",IFERROR(VLOOKUP(はじめに入力してください!L20,リスト!A:DR,57,FALSE),""),"")</f>
        <v/>
      </c>
      <c r="K20" s="369" t="str">
        <f>IF(表紙!V8="変更申請",IFERROR(VLOOKUP(はじめに入力してください!L20,リスト!A:DR,58,FALSE),""),"")</f>
        <v/>
      </c>
      <c r="L20" s="636"/>
    </row>
    <row r="21" spans="2:16" ht="17.100000000000001" customHeight="1">
      <c r="B21" s="637" t="s">
        <v>179</v>
      </c>
      <c r="C21" s="638" t="s">
        <v>177</v>
      </c>
      <c r="D21" s="346">
        <f>SUM(額内訳書!K19:K21)</f>
        <v>0</v>
      </c>
      <c r="E21" s="393">
        <v>0</v>
      </c>
      <c r="F21" s="346">
        <f>D21-E21</f>
        <v>0</v>
      </c>
      <c r="G21" s="346">
        <f>F21</f>
        <v>0</v>
      </c>
      <c r="H21" s="346">
        <f>SUM(額内訳書!G19:G21)</f>
        <v>0</v>
      </c>
      <c r="I21" s="346">
        <f>MIN(G21,H21)</f>
        <v>0</v>
      </c>
      <c r="J21" s="346">
        <f>I21</f>
        <v>0</v>
      </c>
      <c r="K21" s="346">
        <f>ROUNDDOWN(J21*1/2,-3)</f>
        <v>0</v>
      </c>
      <c r="L21" s="636"/>
    </row>
    <row r="22" spans="2:16" ht="17.100000000000001" customHeight="1" thickBot="1">
      <c r="B22" s="627"/>
      <c r="C22" s="639"/>
      <c r="D22" s="369" t="str">
        <f>IF(表紙!V8="変更申請",IFERROR(VLOOKUP(はじめに入力してください!L20,リスト!A:DR,59,FALSE),""),"")</f>
        <v/>
      </c>
      <c r="E22" s="392" t="str">
        <f>IF(表紙!V8="変更申請",IFERROR(VLOOKUP(はじめに入力してください!L20,リスト!A:DR,60,FALSE),""),"")</f>
        <v/>
      </c>
      <c r="F22" s="369" t="str">
        <f>IF(表紙!V8="変更申請",IFERROR(VLOOKUP(はじめに入力してください!L20,リスト!A:DR,61,FALSE),""),"")</f>
        <v/>
      </c>
      <c r="G22" s="369" t="str">
        <f>IF(表紙!V8="変更申請",IFERROR(VLOOKUP(はじめに入力してください!L20,リスト!A:DR,62,FALSE),""),"")</f>
        <v/>
      </c>
      <c r="H22" s="369" t="str">
        <f>IF(表紙!V8="変更申請",IFERROR(VLOOKUP(はじめに入力してください!L20,リスト!A:DR,63,FALSE),""),"")</f>
        <v/>
      </c>
      <c r="I22" s="369" t="str">
        <f>IF(表紙!V8="変更申請",IFERROR(VLOOKUP(はじめに入力してください!L20,リスト!A:DR,64,FALSE),""),"")</f>
        <v/>
      </c>
      <c r="J22" s="369" t="str">
        <f>IF(表紙!V8="変更申請",IFERROR(VLOOKUP(はじめに入力してください!L20,リスト!A:DR,65,FALSE),""),"")</f>
        <v/>
      </c>
      <c r="K22" s="369" t="str">
        <f>IF(表紙!V8="変更申請",IFERROR(VLOOKUP(はじめに入力してください!L20,リスト!A:DR,66,FALSE),""),"")</f>
        <v/>
      </c>
      <c r="L22" s="636"/>
    </row>
    <row r="23" spans="2:16" ht="17.100000000000001" customHeight="1" thickTop="1">
      <c r="B23" s="364" t="s">
        <v>7</v>
      </c>
      <c r="C23" s="365"/>
      <c r="D23" s="366">
        <f>SUM(D7,D9,D11,D13,D15,D17,D19,D21)</f>
        <v>0</v>
      </c>
      <c r="E23" s="366">
        <f t="shared" ref="E23:K23" si="0">SUM(E7,E9,E11,E13,E15,E17,E19,E21)</f>
        <v>0</v>
      </c>
      <c r="F23" s="366">
        <f t="shared" si="0"/>
        <v>0</v>
      </c>
      <c r="G23" s="366">
        <f t="shared" si="0"/>
        <v>0</v>
      </c>
      <c r="H23" s="366">
        <f t="shared" si="0"/>
        <v>0</v>
      </c>
      <c r="I23" s="366">
        <f t="shared" si="0"/>
        <v>0</v>
      </c>
      <c r="J23" s="366">
        <f t="shared" si="0"/>
        <v>0</v>
      </c>
      <c r="K23" s="366">
        <f t="shared" si="0"/>
        <v>0</v>
      </c>
      <c r="L23" s="367"/>
      <c r="P23" s="1"/>
    </row>
    <row r="24" spans="2:16" ht="17.100000000000001" customHeight="1" thickBot="1">
      <c r="B24" s="361"/>
      <c r="C24" s="362"/>
      <c r="D24" s="368">
        <f>IF(表紙!V8="変更申請",SUM(D8,D10,D12,D14,D16,D18,D20,D22),"")</f>
        <v>0</v>
      </c>
      <c r="E24" s="368">
        <f>IF(表紙!V8="変更申請",SUM(E8,E10,E12,E14,E16,E18,E20,E22),"")</f>
        <v>0</v>
      </c>
      <c r="F24" s="368">
        <f>IF(表紙!V8="変更申請",SUM(F8,F10,F12,F14,F16,F18,F20,F22),"")</f>
        <v>0</v>
      </c>
      <c r="G24" s="368">
        <f>IF(表紙!V8="変更申請",SUM(G8,G10,G12,G14,G16,G18,G20,G22),"")</f>
        <v>0</v>
      </c>
      <c r="H24" s="368">
        <f>IF(表紙!V8="変更申請",SUM(H8,H10,H12,H14,H16,H18,H20,H22),"")</f>
        <v>0</v>
      </c>
      <c r="I24" s="368">
        <f>IF(表紙!V8="変更申請",SUM(I8,I10,I12,I14,I16,I18,I20,I22),"")</f>
        <v>0</v>
      </c>
      <c r="J24" s="368">
        <f>IF(表紙!V8="変更申請",SUM(J8,J10,J12,J14,J16,J18,J20,J22),"")</f>
        <v>0</v>
      </c>
      <c r="K24" s="368">
        <f>IF(表紙!V8="変更申請",SUM(K8,K10,K12,K14,K16,K18,K20,K22),"")</f>
        <v>0</v>
      </c>
      <c r="L24" s="363"/>
      <c r="P24" s="1"/>
    </row>
    <row r="25" spans="2:16" ht="17.100000000000001" customHeight="1">
      <c r="B25" s="626" t="s">
        <v>240</v>
      </c>
      <c r="C25" s="640" t="s">
        <v>180</v>
      </c>
      <c r="D25" s="347">
        <f>額内訳書!K23</f>
        <v>0</v>
      </c>
      <c r="E25" s="391">
        <v>0</v>
      </c>
      <c r="F25" s="347">
        <f>D25-E25</f>
        <v>0</v>
      </c>
      <c r="G25" s="347">
        <f>F25</f>
        <v>0</v>
      </c>
      <c r="H25" s="347">
        <f>額内訳書!G23</f>
        <v>0</v>
      </c>
      <c r="I25" s="347">
        <f t="shared" ref="I25:I37" si="1">MIN(G25,H25)</f>
        <v>0</v>
      </c>
      <c r="J25" s="347">
        <f>I25</f>
        <v>0</v>
      </c>
      <c r="K25" s="347">
        <f>ROUNDDOWN(J25,-3)</f>
        <v>0</v>
      </c>
      <c r="L25" s="635" t="str">
        <f xml:space="preserve">
IF(表紙!V8="交付申請","内訳は様式1-2のとおり",
IF(表紙!V8="変更申請","内訳は様式1-2のとおり",
IF(表紙!V8="実績報告","内訳は様式3-2のとおり")))</f>
        <v>内訳は様式1-2のとおり</v>
      </c>
    </row>
    <row r="26" spans="2:16" ht="17.100000000000001" customHeight="1">
      <c r="B26" s="627"/>
      <c r="C26" s="631"/>
      <c r="D26" s="369" t="str">
        <f>IF(表紙!V8="変更申請",IFERROR(VLOOKUP(はじめに入力してください!L20,リスト!A:DR,67,FALSE),""),"")</f>
        <v/>
      </c>
      <c r="E26" s="392" t="str">
        <f>IF(表紙!V8="変更申請",IFERROR(VLOOKUP(はじめに入力してください!L20,リスト!A:DR,68,FALSE),""),"")</f>
        <v/>
      </c>
      <c r="F26" s="369" t="str">
        <f>IF(表紙!V8="変更申請",IFERROR(VLOOKUP(はじめに入力してください!L20,リスト!A:DR,69,FALSE),""),"")</f>
        <v/>
      </c>
      <c r="G26" s="369" t="str">
        <f>IF(表紙!V8="変更申請",IFERROR(VLOOKUP(はじめに入力してください!L20,リスト!A:DR,70,FALSE),""),"")</f>
        <v/>
      </c>
      <c r="H26" s="369" t="str">
        <f>IF(表紙!V8="変更申請",IFERROR(VLOOKUP(はじめに入力してください!L20,リスト!A:DR,71,FALSE),""),"")</f>
        <v/>
      </c>
      <c r="I26" s="369" t="str">
        <f>IF(表紙!V8="変更申請",IFERROR(VLOOKUP(はじめに入力してください!L20,リスト!A:DR,72,FALSE),""),"")</f>
        <v/>
      </c>
      <c r="J26" s="369" t="str">
        <f>IF(表紙!V8="変更申請",IFERROR(VLOOKUP(はじめに入力してください!L20,リスト!A:DR,73,FALSE),""),"")</f>
        <v/>
      </c>
      <c r="K26" s="369" t="str">
        <f>IF(表紙!V8="変更申請",IFERROR(VLOOKUP(はじめに入力してください!L20,リスト!A:DR,74,FALSE),""),"")</f>
        <v/>
      </c>
      <c r="L26" s="636"/>
      <c r="O26" s="289"/>
      <c r="P26" s="296"/>
    </row>
    <row r="27" spans="2:16" ht="17.100000000000001" customHeight="1">
      <c r="B27" s="628"/>
      <c r="C27" s="630" t="s">
        <v>181</v>
      </c>
      <c r="D27" s="346">
        <f>額内訳書!K24</f>
        <v>0</v>
      </c>
      <c r="E27" s="393">
        <v>0</v>
      </c>
      <c r="F27" s="346">
        <f>D27-E27</f>
        <v>0</v>
      </c>
      <c r="G27" s="346">
        <f>F27</f>
        <v>0</v>
      </c>
      <c r="H27" s="346">
        <f>額内訳書!G24</f>
        <v>0</v>
      </c>
      <c r="I27" s="346">
        <f t="shared" si="1"/>
        <v>0</v>
      </c>
      <c r="J27" s="346">
        <f>I27</f>
        <v>0</v>
      </c>
      <c r="K27" s="346">
        <f>ROUNDDOWN(J27,-3)</f>
        <v>0</v>
      </c>
      <c r="L27" s="636"/>
      <c r="O27" s="289"/>
      <c r="P27" s="296"/>
    </row>
    <row r="28" spans="2:16" ht="17.100000000000001" customHeight="1">
      <c r="B28" s="628"/>
      <c r="C28" s="631"/>
      <c r="D28" s="369" t="str">
        <f>IF(表紙!V8="変更申請",IFERROR(VLOOKUP(はじめに入力してください!L20,リスト!A:DR,75,FALSE),""),"")</f>
        <v/>
      </c>
      <c r="E28" s="392" t="str">
        <f>IF(表紙!V8="変更申請",IFERROR(VLOOKUP(はじめに入力してください!L20,リスト!A:DR,76,FALSE),""),"")</f>
        <v/>
      </c>
      <c r="F28" s="369" t="str">
        <f>IF(表紙!V8="変更申請",IFERROR(VLOOKUP(はじめに入力してください!L20,リスト!A:DR,77,FALSE),""),"")</f>
        <v/>
      </c>
      <c r="G28" s="369" t="str">
        <f>IF(表紙!V8="変更申請",IFERROR(VLOOKUP(はじめに入力してください!L20,リスト!A:DR,78,FALSE),""),"")</f>
        <v/>
      </c>
      <c r="H28" s="369" t="str">
        <f>IF(表紙!V8="変更申請",IFERROR(VLOOKUP(はじめに入力してください!L20,リスト!A:DR,79,FALSE),""),"")</f>
        <v/>
      </c>
      <c r="I28" s="369" t="str">
        <f>IF(表紙!V8="変更申請",IFERROR(VLOOKUP(はじめに入力してください!L20,リスト!A:DR,80,FALSE),""),"")</f>
        <v/>
      </c>
      <c r="J28" s="369" t="str">
        <f>IF(表紙!V8="変更申請",IFERROR(VLOOKUP(はじめに入力してください!L20,リスト!A:DR,81,FALSE),""),"")</f>
        <v/>
      </c>
      <c r="K28" s="369" t="str">
        <f>IF(表紙!V8="変更申請",IFERROR(VLOOKUP(はじめに入力してください!L20,リスト!A:DR,82,FALSE),""),"")</f>
        <v/>
      </c>
      <c r="L28" s="636"/>
    </row>
    <row r="29" spans="2:16" ht="17.100000000000001" customHeight="1">
      <c r="B29" s="628"/>
      <c r="C29" s="630" t="s">
        <v>182</v>
      </c>
      <c r="D29" s="346">
        <f>額内訳書!K25</f>
        <v>0</v>
      </c>
      <c r="E29" s="393">
        <v>0</v>
      </c>
      <c r="F29" s="346">
        <f>D29-E29</f>
        <v>0</v>
      </c>
      <c r="G29" s="346">
        <f>F29</f>
        <v>0</v>
      </c>
      <c r="H29" s="346">
        <f>額内訳書!G25</f>
        <v>0</v>
      </c>
      <c r="I29" s="346">
        <f t="shared" si="1"/>
        <v>0</v>
      </c>
      <c r="J29" s="346">
        <f>I29</f>
        <v>0</v>
      </c>
      <c r="K29" s="346">
        <f>ROUNDDOWN(J29,-3)</f>
        <v>0</v>
      </c>
      <c r="L29" s="636"/>
    </row>
    <row r="30" spans="2:16" ht="17.100000000000001" customHeight="1">
      <c r="B30" s="628"/>
      <c r="C30" s="631"/>
      <c r="D30" s="369" t="str">
        <f>IF(表紙!V8="変更申請",IFERROR(VLOOKUP(はじめに入力してください!L20,リスト!A:DR,83,FALSE),""),"")</f>
        <v/>
      </c>
      <c r="E30" s="392" t="str">
        <f>IF(表紙!V8="変更申請",IFERROR(VLOOKUP(はじめに入力してください!L20,リスト!A:DR,84,FALSE),""),"")</f>
        <v/>
      </c>
      <c r="F30" s="369" t="str">
        <f>IF(表紙!V8="変更申請",IFERROR(VLOOKUP(はじめに入力してください!L20,リスト!A:DR,85,FALSE),""),"")</f>
        <v/>
      </c>
      <c r="G30" s="369" t="str">
        <f>IF(表紙!V8="変更申請",IFERROR(VLOOKUP(はじめに入力してください!L20,リスト!A:DR,86,FALSE),""),"")</f>
        <v/>
      </c>
      <c r="H30" s="369" t="str">
        <f>IF(表紙!V8="変更申請",IFERROR(VLOOKUP(はじめに入力してください!L20,リスト!A:DR,87,FALSE),""),"")</f>
        <v/>
      </c>
      <c r="I30" s="369" t="str">
        <f>IF(表紙!V8="変更申請",IFERROR(VLOOKUP(はじめに入力してください!L20,リスト!A:DR,88,FALSE),""),"")</f>
        <v/>
      </c>
      <c r="J30" s="369" t="str">
        <f>IF(表紙!V8="変更申請",IFERROR(VLOOKUP(はじめに入力してください!L20,リスト!A:DR,89,FALSE),""),"")</f>
        <v/>
      </c>
      <c r="K30" s="369" t="str">
        <f>IF(表紙!V8="変更申請",IFERROR(VLOOKUP(はじめに入力してください!L20,リスト!A:DR,90,FALSE),""),"")</f>
        <v/>
      </c>
      <c r="L30" s="636"/>
    </row>
    <row r="31" spans="2:16" ht="17.100000000000001" customHeight="1">
      <c r="B31" s="628"/>
      <c r="C31" s="630" t="s">
        <v>183</v>
      </c>
      <c r="D31" s="346">
        <f>額内訳書!K26</f>
        <v>0</v>
      </c>
      <c r="E31" s="393">
        <v>0</v>
      </c>
      <c r="F31" s="346">
        <f>D31-E31</f>
        <v>0</v>
      </c>
      <c r="G31" s="346">
        <f>F31</f>
        <v>0</v>
      </c>
      <c r="H31" s="346">
        <f>額内訳書!G26</f>
        <v>0</v>
      </c>
      <c r="I31" s="346">
        <f t="shared" si="1"/>
        <v>0</v>
      </c>
      <c r="J31" s="346">
        <f>I31</f>
        <v>0</v>
      </c>
      <c r="K31" s="346">
        <f>ROUNDDOWN(J31,-3)</f>
        <v>0</v>
      </c>
      <c r="L31" s="636"/>
    </row>
    <row r="32" spans="2:16" ht="17.100000000000001" customHeight="1">
      <c r="B32" s="628"/>
      <c r="C32" s="631"/>
      <c r="D32" s="369" t="str">
        <f>IF(表紙!V8="変更申請",IFERROR(VLOOKUP(はじめに入力してください!L20,リスト!A:DR,91,FALSE),""),"")</f>
        <v/>
      </c>
      <c r="E32" s="392" t="str">
        <f>IF(表紙!V8="変更申請",IFERROR(VLOOKUP(はじめに入力してください!L20,リスト!A:DR,92,FALSE),""),"")</f>
        <v/>
      </c>
      <c r="F32" s="369" t="str">
        <f>IF(表紙!V8="変更申請",IFERROR(VLOOKUP(はじめに入力してください!L20,リスト!A:DR,93,FALSE),""),"")</f>
        <v/>
      </c>
      <c r="G32" s="369" t="str">
        <f>IF(表紙!V8="変更申請",IFERROR(VLOOKUP(はじめに入力してください!L20,リスト!A:DR,94,FALSE),""),"")</f>
        <v/>
      </c>
      <c r="H32" s="369" t="str">
        <f>IF(表紙!V8="変更申請",IFERROR(VLOOKUP(はじめに入力してください!L20,リスト!A:DR,95,FALSE),""),"")</f>
        <v/>
      </c>
      <c r="I32" s="369" t="str">
        <f>IF(表紙!V8="変更申請",IFERROR(VLOOKUP(はじめに入力してください!L20,リスト!A:DR,96,FALSE),""),"")</f>
        <v/>
      </c>
      <c r="J32" s="369" t="str">
        <f>IF(表紙!V8="変更申請",IFERROR(VLOOKUP(はじめに入力してください!L20,リスト!A:DR,97,FALSE),""),"")</f>
        <v/>
      </c>
      <c r="K32" s="369" t="str">
        <f>IF(表紙!V8="変更申請",IFERROR(VLOOKUP(はじめに入力してください!L20,リスト!A:DR,98,FALSE),""),"")</f>
        <v/>
      </c>
      <c r="L32" s="636"/>
    </row>
    <row r="33" spans="2:16" ht="17.100000000000001" customHeight="1">
      <c r="B33" s="628"/>
      <c r="C33" s="630" t="s">
        <v>585</v>
      </c>
      <c r="D33" s="346">
        <f>額内訳書!K27</f>
        <v>0</v>
      </c>
      <c r="E33" s="393">
        <v>0</v>
      </c>
      <c r="F33" s="346">
        <f>D33-E33</f>
        <v>0</v>
      </c>
      <c r="G33" s="346">
        <f>F33</f>
        <v>0</v>
      </c>
      <c r="H33" s="346">
        <f>額内訳書!G27</f>
        <v>0</v>
      </c>
      <c r="I33" s="346">
        <f t="shared" si="1"/>
        <v>0</v>
      </c>
      <c r="J33" s="346">
        <f>I33</f>
        <v>0</v>
      </c>
      <c r="K33" s="346">
        <f>ROUNDDOWN(J33,-3)</f>
        <v>0</v>
      </c>
      <c r="L33" s="636"/>
    </row>
    <row r="34" spans="2:16" ht="17.100000000000001" customHeight="1">
      <c r="B34" s="628"/>
      <c r="C34" s="631"/>
      <c r="D34" s="369" t="str">
        <f>IF(表紙!V8="変更申請",IFERROR(VLOOKUP(はじめに入力してください!L20,リスト!A:DR,99,FALSE),""),"")</f>
        <v/>
      </c>
      <c r="E34" s="392" t="str">
        <f>IF(表紙!V8="変更申請",IFERROR(VLOOKUP(はじめに入力してください!L20,リスト!A:DR,100,FALSE),""),"")</f>
        <v/>
      </c>
      <c r="F34" s="369" t="str">
        <f>IF(表紙!V8="変更申請",IFERROR(VLOOKUP(はじめに入力してください!L20,リスト!A:DR,101,FALSE),""),"")</f>
        <v/>
      </c>
      <c r="G34" s="369" t="str">
        <f>IF(表紙!V8="変更申請",IFERROR(VLOOKUP(はじめに入力してください!L20,リスト!A:DR,102,FALSE),""),"")</f>
        <v/>
      </c>
      <c r="H34" s="369" t="str">
        <f>IF(表紙!V8="変更申請",IFERROR(VLOOKUP(はじめに入力してください!L20,リスト!A:DR,103,FALSE),""),"")</f>
        <v/>
      </c>
      <c r="I34" s="369" t="str">
        <f>IF(表紙!V8="変更申請",IFERROR(VLOOKUP(はじめに入力してください!L20,リスト!A:DR,104,FALSE),""),"")</f>
        <v/>
      </c>
      <c r="J34" s="369" t="str">
        <f>IF(表紙!V8="変更申請",IFERROR(VLOOKUP(はじめに入力してください!L20,リスト!A:DR,105,FALSE),""),"")</f>
        <v/>
      </c>
      <c r="K34" s="369" t="str">
        <f>IF(表紙!V8="変更申請",IFERROR(VLOOKUP(はじめに入力してください!L20,リスト!A:DR,106,FALSE),""),"")</f>
        <v/>
      </c>
      <c r="L34" s="636"/>
    </row>
    <row r="35" spans="2:16" ht="17.100000000000001" customHeight="1">
      <c r="B35" s="628"/>
      <c r="C35" s="630" t="s">
        <v>184</v>
      </c>
      <c r="D35" s="346">
        <f>額内訳書!K28</f>
        <v>0</v>
      </c>
      <c r="E35" s="393">
        <v>0</v>
      </c>
      <c r="F35" s="346">
        <f>D35-E35</f>
        <v>0</v>
      </c>
      <c r="G35" s="346">
        <f>F35</f>
        <v>0</v>
      </c>
      <c r="H35" s="346">
        <f>額内訳書!G28</f>
        <v>0</v>
      </c>
      <c r="I35" s="346">
        <f t="shared" si="1"/>
        <v>0</v>
      </c>
      <c r="J35" s="346">
        <f>I35</f>
        <v>0</v>
      </c>
      <c r="K35" s="346">
        <f>ROUNDDOWN(J35,-3)</f>
        <v>0</v>
      </c>
      <c r="L35" s="636"/>
      <c r="O35" s="289"/>
      <c r="P35" s="296"/>
    </row>
    <row r="36" spans="2:16" ht="17.100000000000001" customHeight="1">
      <c r="B36" s="628"/>
      <c r="C36" s="631"/>
      <c r="D36" s="369" t="str">
        <f>IF(表紙!V8="変更申請",IFERROR(VLOOKUP(はじめに入力してください!L20,リスト!A:DR,107,FALSE),""),"")</f>
        <v/>
      </c>
      <c r="E36" s="392" t="str">
        <f>IF(表紙!V8="変更申請",IFERROR(VLOOKUP(はじめに入力してください!L20,リスト!A:DR,108,FALSE),""),"")</f>
        <v/>
      </c>
      <c r="F36" s="369" t="str">
        <f>IF(表紙!V8="変更申請",IFERROR(VLOOKUP(はじめに入力してください!L20,リスト!A:DR,109,FALSE),""),"")</f>
        <v/>
      </c>
      <c r="G36" s="369" t="str">
        <f>IF(表紙!V8="変更申請",IFERROR(VLOOKUP(はじめに入力してください!L20,リスト!A:DR,110,FALSE),""),"")</f>
        <v/>
      </c>
      <c r="H36" s="369" t="str">
        <f>IF(表紙!V8="変更申請",IFERROR(VLOOKUP(はじめに入力してください!L20,リスト!A:DR,111,FALSE),""),"")</f>
        <v/>
      </c>
      <c r="I36" s="369" t="str">
        <f>IF(表紙!V8="変更申請",IFERROR(VLOOKUP(はじめに入力してください!L20,リスト!A:DR,112,FALSE),""),"")</f>
        <v/>
      </c>
      <c r="J36" s="369" t="str">
        <f>IF(表紙!V8="変更申請",IFERROR(VLOOKUP(はじめに入力してください!L20,リスト!A:DR,113,FALSE),""),"")</f>
        <v/>
      </c>
      <c r="K36" s="369" t="str">
        <f>IF(表紙!V8="変更申請",IFERROR(VLOOKUP(はじめに入力してください!L20,リスト!A:DR,114,FALSE),""),"")</f>
        <v/>
      </c>
      <c r="L36" s="636"/>
    </row>
    <row r="37" spans="2:16" ht="17.100000000000001" customHeight="1">
      <c r="B37" s="628"/>
      <c r="C37" s="630" t="s">
        <v>185</v>
      </c>
      <c r="D37" s="346">
        <f>額内訳書!K29</f>
        <v>0</v>
      </c>
      <c r="E37" s="393">
        <v>0</v>
      </c>
      <c r="F37" s="346"/>
      <c r="G37" s="346">
        <f>F37</f>
        <v>0</v>
      </c>
      <c r="H37" s="346">
        <f>額内訳書!G29</f>
        <v>0</v>
      </c>
      <c r="I37" s="346">
        <f t="shared" si="1"/>
        <v>0</v>
      </c>
      <c r="J37" s="346">
        <f>I37</f>
        <v>0</v>
      </c>
      <c r="K37" s="346">
        <f>ROUNDDOWN(J37,-3)</f>
        <v>0</v>
      </c>
      <c r="L37" s="636"/>
    </row>
    <row r="38" spans="2:16" ht="17.100000000000001" customHeight="1" thickBot="1">
      <c r="B38" s="629"/>
      <c r="C38" s="631"/>
      <c r="D38" s="369" t="str">
        <f>IF(表紙!V8="変更申請",IFERROR(VLOOKUP(はじめに入力してください!L20,リスト!A:DR,115,FALSE),""),"")</f>
        <v/>
      </c>
      <c r="E38" s="392" t="str">
        <f>IF(表紙!V8="変更申請",IFERROR(VLOOKUP(はじめに入力してください!L20,リスト!A:DR,116,FALSE),""),"")</f>
        <v/>
      </c>
      <c r="F38" s="369" t="str">
        <f>IF(表紙!V8="変更申請",IFERROR(VLOOKUP(はじめに入力してください!L20,リスト!A:DR,117,FALSE),""),"")</f>
        <v/>
      </c>
      <c r="G38" s="369" t="str">
        <f>IF(表紙!V8="変更申請",IFERROR(VLOOKUP(はじめに入力してください!L20,リスト!A:DR,118,FALSE),""),"")</f>
        <v/>
      </c>
      <c r="H38" s="369" t="str">
        <f>IF(表紙!V8="変更申請",IFERROR(VLOOKUP(はじめに入力してください!L20,リスト!A:DR,119,FALSE),""),"")</f>
        <v/>
      </c>
      <c r="I38" s="369" t="str">
        <f>IF(表紙!V8="変更申請",IFERROR(VLOOKUP(はじめに入力してください!L20,リスト!A:DR,120,FALSE),""),"")</f>
        <v/>
      </c>
      <c r="J38" s="369" t="str">
        <f>IF(表紙!V8="変更申請",IFERROR(VLOOKUP(はじめに入力してください!L20,リスト!A:DR,121,FALSE),""),"")</f>
        <v/>
      </c>
      <c r="K38" s="369" t="str">
        <f>IF(表紙!V8="変更申請",IFERROR(VLOOKUP(はじめに入力してください!L20,リスト!A:DR,122,FALSE),""),"")</f>
        <v/>
      </c>
      <c r="L38" s="636"/>
    </row>
    <row r="39" spans="2:16" ht="17.100000000000001" customHeight="1" thickTop="1">
      <c r="B39" s="364" t="s">
        <v>7</v>
      </c>
      <c r="C39" s="365"/>
      <c r="D39" s="366">
        <f>SUM(D25,D27,D29,D31,D33,D35,D37)</f>
        <v>0</v>
      </c>
      <c r="E39" s="366">
        <f t="shared" ref="E39:J39" si="2">SUM(E25,E27,E29,E31,E33,E35,E37)</f>
        <v>0</v>
      </c>
      <c r="F39" s="366">
        <f t="shared" si="2"/>
        <v>0</v>
      </c>
      <c r="G39" s="366">
        <f t="shared" si="2"/>
        <v>0</v>
      </c>
      <c r="H39" s="366">
        <f t="shared" si="2"/>
        <v>0</v>
      </c>
      <c r="I39" s="366">
        <f t="shared" si="2"/>
        <v>0</v>
      </c>
      <c r="J39" s="366">
        <f t="shared" si="2"/>
        <v>0</v>
      </c>
      <c r="K39" s="366">
        <f>SUM(K25,K27,K29,K31,K33,K35,K37)</f>
        <v>0</v>
      </c>
      <c r="L39" s="367"/>
      <c r="P39" s="1"/>
    </row>
    <row r="40" spans="2:16" ht="17.100000000000001" customHeight="1" thickBot="1">
      <c r="B40" s="361"/>
      <c r="C40" s="362"/>
      <c r="D40" s="368">
        <f>IF(表紙!V8="変更申請",SUM(D26,D28,D30,D32,D34,D36,D38),"")</f>
        <v>0</v>
      </c>
      <c r="E40" s="368">
        <f>IF(表紙!V8="変更申請",SUM(E26,E28,E30,E32,E34,E36,E38),"")</f>
        <v>0</v>
      </c>
      <c r="F40" s="368">
        <f>IF(表紙!V8="変更申請",SUM(F26,F28,F30,F32,F34,F36,F38),"")</f>
        <v>0</v>
      </c>
      <c r="G40" s="368">
        <f>IF(表紙!V8="変更申請",SUM(G26,G28,G30,G32,G34,G36,G38),"")</f>
        <v>0</v>
      </c>
      <c r="H40" s="368">
        <f>IF(表紙!V8="変更申請",SUM(H26,H28,H30,H32,H34,H36,H38),"")</f>
        <v>0</v>
      </c>
      <c r="I40" s="368">
        <f>IF(表紙!V8="変更申請",SUM(I26,I28,I30,I32,I34,I36,I38),"")</f>
        <v>0</v>
      </c>
      <c r="J40" s="368">
        <f>IF(表紙!V8="変更申請",SUM(J26,J28,J30,J32,J34,J36,J38),"")</f>
        <v>0</v>
      </c>
      <c r="K40" s="368">
        <f>IF(表紙!V8="変更申請",SUM(K26,K28,K30,K32,K34,K36,K38),"")</f>
        <v>0</v>
      </c>
      <c r="L40" s="363"/>
      <c r="P40" s="1"/>
    </row>
    <row r="41" spans="2:16" ht="17.100000000000001" customHeight="1">
      <c r="B41" s="357" t="s">
        <v>186</v>
      </c>
      <c r="C41" s="358"/>
      <c r="D41" s="359">
        <f>SUM(D39,D23)</f>
        <v>0</v>
      </c>
      <c r="E41" s="359">
        <f t="shared" ref="E41:K41" si="3">SUM(E39,E23)</f>
        <v>0</v>
      </c>
      <c r="F41" s="359">
        <f t="shared" si="3"/>
        <v>0</v>
      </c>
      <c r="G41" s="359">
        <f t="shared" si="3"/>
        <v>0</v>
      </c>
      <c r="H41" s="359">
        <f t="shared" si="3"/>
        <v>0</v>
      </c>
      <c r="I41" s="359">
        <f t="shared" si="3"/>
        <v>0</v>
      </c>
      <c r="J41" s="359">
        <f t="shared" si="3"/>
        <v>0</v>
      </c>
      <c r="K41" s="359">
        <f t="shared" si="3"/>
        <v>0</v>
      </c>
      <c r="L41" s="360"/>
      <c r="P41" s="1"/>
    </row>
    <row r="42" spans="2:16" ht="17.100000000000001" customHeight="1" thickBot="1">
      <c r="B42" s="361"/>
      <c r="C42" s="362"/>
      <c r="D42" s="368">
        <f>IF(表紙!V8="変更申請",SUM(D24,D40),"")</f>
        <v>0</v>
      </c>
      <c r="E42" s="368">
        <f>IF(表紙!V8="変更申請",SUM(E24,E40),"")</f>
        <v>0</v>
      </c>
      <c r="F42" s="368">
        <f>IF(表紙!V8="変更申請",SUM(F24,F40),"")</f>
        <v>0</v>
      </c>
      <c r="G42" s="368">
        <f>IF(表紙!V8="変更申請",SUM(G24,G40),"")</f>
        <v>0</v>
      </c>
      <c r="H42" s="368">
        <f>IF(表紙!V8="変更申請",SUM(H24,H40),"")</f>
        <v>0</v>
      </c>
      <c r="I42" s="368">
        <f>IF(表紙!V8="変更申請",SUM(I24,I40),"")</f>
        <v>0</v>
      </c>
      <c r="J42" s="368">
        <f>IF(表紙!V8="変更申請",SUM(J24,J40),"")</f>
        <v>0</v>
      </c>
      <c r="K42" s="368">
        <f>IF(表紙!V8="変更申請",SUM(K24,K40),"")</f>
        <v>0</v>
      </c>
      <c r="L42" s="363"/>
      <c r="P42" s="1"/>
    </row>
    <row r="43" spans="2:16" ht="21.75" customHeight="1">
      <c r="B43" s="1" t="s">
        <v>8</v>
      </c>
      <c r="P43" s="1"/>
    </row>
    <row r="44" spans="2:16" ht="20.100000000000001" customHeight="1">
      <c r="P44" s="1"/>
    </row>
    <row r="45" spans="2:16" ht="20.100000000000001" customHeight="1">
      <c r="P45" s="1"/>
    </row>
    <row r="46" spans="2:16" ht="20.100000000000001" customHeight="1">
      <c r="P46" s="1"/>
    </row>
  </sheetData>
  <sheetProtection algorithmName="SHA-512" hashValue="Grh+N+BorVweVIJEC2GneGhYnSUJAcE0YlBlLGx+cbl4owMUH9jlZOcQpfhRi+7lAyG1086qTxr3fUrQXLLu3g==" saltValue="9TZWZrFxFsPdLBxABd7i/Q==" spinCount="100000" sheet="1" objects="1" scenarios="1"/>
  <mergeCells count="23">
    <mergeCell ref="L25:L38"/>
    <mergeCell ref="C31:C32"/>
    <mergeCell ref="C27:C28"/>
    <mergeCell ref="B25:B38"/>
    <mergeCell ref="C25:C26"/>
    <mergeCell ref="C33:C34"/>
    <mergeCell ref="C35:C36"/>
    <mergeCell ref="C37:C38"/>
    <mergeCell ref="C29:C30"/>
    <mergeCell ref="B2:L2"/>
    <mergeCell ref="B7:B20"/>
    <mergeCell ref="C11:C12"/>
    <mergeCell ref="C13:C14"/>
    <mergeCell ref="C15:C16"/>
    <mergeCell ref="J3:K3"/>
    <mergeCell ref="J4:K4"/>
    <mergeCell ref="L7:L22"/>
    <mergeCell ref="B21:B22"/>
    <mergeCell ref="C21:C22"/>
    <mergeCell ref="C19:C20"/>
    <mergeCell ref="C17:C18"/>
    <mergeCell ref="C7:C8"/>
    <mergeCell ref="C9:C10"/>
  </mergeCells>
  <phoneticPr fontId="1"/>
  <dataValidations count="1">
    <dataValidation allowBlank="1" showInputMessage="1" showErrorMessage="1" promptTitle="「寄付金その他の収入予定額（B）」欄について" prompt="本補助金で申請した「総事業費（A）」に対して、本補助金以外の寄付金やその他の収入を充てている場合はその金額を、ない場合は「0」円を入力してください。 _x000a_" sqref="E7:E22 E25:E38"/>
  </dataValidations>
  <printOptions horizontalCentered="1"/>
  <pageMargins left="0.59055118110236227" right="0.39370078740157483" top="0.98425196850393704" bottom="0.39370078740157483" header="0.31496062992125984" footer="0.31496062992125984"/>
  <pageSetup paperSize="9" scale="60" fitToWidth="0"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AZ34"/>
  <sheetViews>
    <sheetView showGridLines="0" view="pageBreakPreview" zoomScale="50" zoomScaleNormal="100" zoomScaleSheetLayoutView="50" workbookViewId="0">
      <pane xSplit="1" ySplit="5" topLeftCell="B6" activePane="bottomRight" state="frozen"/>
      <selection activeCell="N3" sqref="N3:Q3"/>
      <selection pane="topRight" activeCell="N3" sqref="N3:Q3"/>
      <selection pane="bottomLeft" activeCell="N3" sqref="N3:Q3"/>
      <selection pane="bottomRight" activeCell="Q9" activeCellId="2" sqref="M9 O9 Q9"/>
    </sheetView>
  </sheetViews>
  <sheetFormatPr defaultColWidth="9" defaultRowHeight="19.5"/>
  <cols>
    <col min="1" max="1" width="2.625" style="40" customWidth="1"/>
    <col min="2" max="3" width="30.625" style="40" customWidth="1"/>
    <col min="4" max="4" width="20.625" style="40" customWidth="1"/>
    <col min="5" max="5" width="10.625" style="40" customWidth="1"/>
    <col min="6" max="8" width="20.625" style="40" customWidth="1"/>
    <col min="9" max="9" width="10.625" style="40" customWidth="1"/>
    <col min="10" max="11" width="20.625" style="40" customWidth="1"/>
    <col min="12" max="17" width="5.625" style="40" customWidth="1"/>
    <col min="18" max="18" width="5.625" style="25" customWidth="1"/>
    <col min="19" max="19" width="2.625" style="40" customWidth="1"/>
    <col min="20" max="27" width="8.625" style="40" customWidth="1"/>
    <col min="28" max="31" width="9" style="40" customWidth="1"/>
    <col min="32" max="33" width="10.625" style="66" customWidth="1"/>
    <col min="34" max="35" width="9" style="40" customWidth="1"/>
    <col min="36" max="36" width="10.625" style="38" customWidth="1"/>
    <col min="37" max="42" width="10.625" style="40" customWidth="1"/>
    <col min="43" max="43" width="9" style="25"/>
    <col min="44" max="44" width="11.625" style="40" bestFit="1" customWidth="1"/>
    <col min="45" max="45" width="9" style="40"/>
    <col min="46" max="46" width="90.625" style="67" customWidth="1"/>
    <col min="47" max="47" width="9" style="38"/>
    <col min="48" max="16384" width="9" style="40"/>
  </cols>
  <sheetData>
    <row r="1" spans="2:52" ht="24.95" customHeight="1">
      <c r="B1" s="154" t="str">
        <f xml:space="preserve">
IF(表紙!V8="交付申請","様式１－２",
IF(表紙!V8="変更申請","様式１－２",
IF(表紙!V8="実績報告","様式3－２")))</f>
        <v>様式１－２</v>
      </c>
      <c r="D1" s="25"/>
      <c r="P1" s="641" t="str">
        <f>IF(はじめに入力してください!L20="","",はじめに入力してください!AE20)</f>
        <v/>
      </c>
      <c r="Q1" s="642"/>
      <c r="R1" s="642"/>
      <c r="AJ1" s="228"/>
      <c r="AK1" s="228"/>
      <c r="AL1" s="228"/>
      <c r="AM1" s="228"/>
      <c r="AN1" s="56"/>
      <c r="AO1" s="69"/>
    </row>
    <row r="2" spans="2:52" ht="24.95" customHeight="1">
      <c r="B2" s="649" t="str">
        <f xml:space="preserve">
IF(表紙!V8="交付申請","設備整備基準算出内訳及び対象経費支出予定額内訳",
IF(表紙!V8="変更申請","設備整備基準算出内訳及び対象経費支出予定額内訳",
IF(表紙!V8="実績報告","設備整備基準算出内訳及び対象経費実支出額内訳")))</f>
        <v>設備整備基準算出内訳及び対象経費支出予定額内訳</v>
      </c>
      <c r="C2" s="650"/>
      <c r="D2" s="650"/>
      <c r="E2" s="650"/>
      <c r="F2" s="650"/>
      <c r="G2" s="650"/>
      <c r="H2" s="650"/>
      <c r="I2" s="650"/>
      <c r="J2" s="650"/>
      <c r="K2" s="650"/>
      <c r="L2" s="650"/>
      <c r="M2" s="650"/>
      <c r="N2" s="650"/>
      <c r="O2" s="650"/>
      <c r="P2" s="650"/>
      <c r="Q2" s="650"/>
      <c r="R2" s="650"/>
      <c r="AJ2" s="210"/>
      <c r="AK2" s="68"/>
      <c r="AL2" s="68"/>
      <c r="AM2" s="68"/>
      <c r="AN2" s="68"/>
      <c r="AO2" s="68"/>
      <c r="AQ2" s="672" t="s">
        <v>125</v>
      </c>
      <c r="AR2" s="673"/>
      <c r="AS2" s="676" t="str">
        <f>IF(SUM(COUNTIF(AS7:AS21,"×"),COUNTIF(AS23:AS29,"×"))&gt;=1,"×",
IF(AND(SUM(COUNTIF(AS7:AS21,"×"),COUNTIF(AS23:AS29,"×"))=0,SUM(COUNTIF(AS7:AS21,"◎"),COUNTIF(AS23:AS29,"◎"))&gt;=1),"○",
IF(SUM(COUNTIF(AS7:AS21,"○"),COUNTIF(AS23:AS29,"○"))=22,"×")))</f>
        <v>×</v>
      </c>
      <c r="AT2" s="678" t="str">
        <f>IF(AS2="×","【要修正】全ての項目が未記入又は記載不十分の箇所があるため赤色表示の行を確認してください。",
IF(AS2="○","適切に入力がされました。"))</f>
        <v>【要修正】全ての項目が未記入又は記載不十分の箇所があるため赤色表示の行を確認してください。</v>
      </c>
      <c r="AV2" s="40" t="str">
        <f>AV7&amp;AV8&amp;AV9&amp;AV10&amp;AV11&amp;AV12&amp;AV13&amp;AV14&amp;AV15&amp;AV16&amp;AV17&amp;AV18&amp;AV19&amp;AV20&amp;AV21&amp;AV23&amp;AV24&amp;AV25&amp;AV26&amp;AV27&amp;AV28&amp;AV29</f>
        <v/>
      </c>
    </row>
    <row r="3" spans="2:52" ht="9.9499999999999993" customHeight="1">
      <c r="C3" s="69"/>
      <c r="D3" s="69"/>
      <c r="E3" s="69"/>
      <c r="F3" s="69"/>
      <c r="G3" s="69"/>
      <c r="H3" s="69"/>
      <c r="I3" s="69"/>
      <c r="J3" s="69"/>
      <c r="K3" s="69"/>
      <c r="L3" s="69"/>
      <c r="M3" s="69"/>
      <c r="N3" s="69"/>
      <c r="O3" s="69"/>
      <c r="P3" s="69"/>
      <c r="Q3" s="69"/>
      <c r="R3" s="56"/>
      <c r="T3" s="25" t="str">
        <f>AS2</f>
        <v>×</v>
      </c>
      <c r="AJ3" s="210"/>
      <c r="AK3" s="68"/>
      <c r="AL3" s="68"/>
      <c r="AM3" s="68"/>
      <c r="AN3" s="68"/>
      <c r="AO3" s="68"/>
      <c r="AQ3" s="674"/>
      <c r="AR3" s="675"/>
      <c r="AS3" s="677"/>
      <c r="AT3" s="679"/>
    </row>
    <row r="4" spans="2:52" ht="36" customHeight="1">
      <c r="B4" s="657" t="s">
        <v>251</v>
      </c>
      <c r="C4" s="657" t="s">
        <v>47</v>
      </c>
      <c r="D4" s="664" t="s">
        <v>48</v>
      </c>
      <c r="E4" s="664" t="s">
        <v>50</v>
      </c>
      <c r="F4" s="664"/>
      <c r="G4" s="664"/>
      <c r="H4" s="664" t="str">
        <f xml:space="preserve">
IF(表紙!V8="交付申請","対象経費支出予定額",
IF(表紙!V8="変更申請","対象経費支出予定額",
IF(表紙!V8="実績報告","対象経費実支出額")))</f>
        <v>対象経費支出予定額</v>
      </c>
      <c r="I4" s="664"/>
      <c r="J4" s="664"/>
      <c r="K4" s="664"/>
      <c r="L4" s="665" t="str">
        <f xml:space="preserve">
IF(表紙!V8="交付申請","事業完了予定日"&amp;CHAR(10)&amp;"（複数の場合は最終納品の予定日）",
IF(表紙!V8="変更申請","事業完了予定日"&amp;CHAR(10)&amp;"（複数の場合は最終納品の予定日）",
IF(表紙!V8="実績報告","事業完了日"&amp;CHAR(10)&amp;"（複数の場合は最終納品日）")))</f>
        <v>事業完了予定日
（複数の場合は最終納品の予定日）</v>
      </c>
      <c r="M4" s="666"/>
      <c r="N4" s="666"/>
      <c r="O4" s="666"/>
      <c r="P4" s="667"/>
      <c r="Q4" s="667"/>
      <c r="R4" s="668"/>
      <c r="AF4" s="670"/>
      <c r="AG4" s="670"/>
      <c r="AJ4" s="210"/>
      <c r="AK4" s="68"/>
      <c r="AL4" s="68"/>
      <c r="AM4" s="68"/>
      <c r="AN4" s="68"/>
      <c r="AO4" s="68"/>
      <c r="AQ4" s="657" t="s">
        <v>92</v>
      </c>
      <c r="AR4" s="664" t="s">
        <v>93</v>
      </c>
      <c r="AS4" s="664" t="s">
        <v>112</v>
      </c>
      <c r="AT4" s="664" t="s">
        <v>64</v>
      </c>
    </row>
    <row r="5" spans="2:52" ht="36" customHeight="1" thickBot="1">
      <c r="B5" s="657"/>
      <c r="C5" s="657"/>
      <c r="D5" s="664"/>
      <c r="E5" s="226" t="s">
        <v>0</v>
      </c>
      <c r="F5" s="226" t="s">
        <v>49</v>
      </c>
      <c r="G5" s="226" t="s">
        <v>51</v>
      </c>
      <c r="H5" s="225" t="s">
        <v>61</v>
      </c>
      <c r="I5" s="226" t="s">
        <v>1</v>
      </c>
      <c r="J5" s="173" t="s">
        <v>63</v>
      </c>
      <c r="K5" s="226" t="s">
        <v>51</v>
      </c>
      <c r="L5" s="669" t="s">
        <v>81</v>
      </c>
      <c r="M5" s="667"/>
      <c r="N5" s="668"/>
      <c r="O5" s="669" t="s">
        <v>83</v>
      </c>
      <c r="P5" s="668"/>
      <c r="Q5" s="669" t="s">
        <v>85</v>
      </c>
      <c r="R5" s="668"/>
      <c r="AF5" s="671"/>
      <c r="AG5" s="671"/>
      <c r="AJ5" s="211"/>
      <c r="AK5" s="65"/>
      <c r="AL5" s="65"/>
      <c r="AM5" s="65"/>
      <c r="AQ5" s="664"/>
      <c r="AR5" s="664"/>
      <c r="AS5" s="664"/>
      <c r="AT5" s="664"/>
    </row>
    <row r="6" spans="2:52" ht="36" hidden="1" customHeight="1">
      <c r="B6" s="70"/>
      <c r="C6" s="70"/>
      <c r="D6" s="71"/>
      <c r="E6" s="71"/>
      <c r="F6" s="72" t="s">
        <v>4</v>
      </c>
      <c r="G6" s="72" t="s">
        <v>4</v>
      </c>
      <c r="H6" s="73"/>
      <c r="I6" s="72"/>
      <c r="J6" s="72" t="s">
        <v>4</v>
      </c>
      <c r="K6" s="72" t="s">
        <v>4</v>
      </c>
      <c r="L6" s="72"/>
      <c r="M6" s="72"/>
      <c r="N6" s="72"/>
      <c r="O6" s="72"/>
      <c r="P6" s="72"/>
      <c r="Q6" s="72"/>
      <c r="R6" s="71"/>
      <c r="AQ6" s="50"/>
      <c r="AR6" s="74"/>
      <c r="AS6" s="74"/>
      <c r="AT6" s="75"/>
    </row>
    <row r="7" spans="2:52" ht="35.1" customHeight="1">
      <c r="B7" s="643" t="s">
        <v>178</v>
      </c>
      <c r="C7" s="98" t="s">
        <v>172</v>
      </c>
      <c r="D7" s="297" t="str">
        <f>IF(J7&gt;0,"（別添明細のとおり）","")</f>
        <v/>
      </c>
      <c r="E7" s="192">
        <f>IF(K7=0,0,はじめに入力してください!K13)</f>
        <v>0</v>
      </c>
      <c r="F7" s="122">
        <v>133000</v>
      </c>
      <c r="G7" s="122">
        <f>E7*F7</f>
        <v>0</v>
      </c>
      <c r="H7" s="176" t="str">
        <f>IF(D7="","",D7)</f>
        <v/>
      </c>
      <c r="I7" s="192">
        <f>IF(E7&lt;&gt;0,1,0)</f>
        <v>0</v>
      </c>
      <c r="J7" s="298">
        <f>K7</f>
        <v>0</v>
      </c>
      <c r="K7" s="122">
        <f>'初度設備明細 '!K9</f>
        <v>0</v>
      </c>
      <c r="L7" s="99" t="s">
        <v>79</v>
      </c>
      <c r="M7" s="304"/>
      <c r="N7" s="100" t="s">
        <v>80</v>
      </c>
      <c r="O7" s="304"/>
      <c r="P7" s="100" t="s">
        <v>82</v>
      </c>
      <c r="Q7" s="304"/>
      <c r="R7" s="101" t="s">
        <v>84</v>
      </c>
      <c r="AA7" s="25" t="b">
        <f>IF(AT7="申請しない場合は黄色セル入力不要です。","○",IF(AT7="【要修正】型番、数量、単価（税込）の一部欄のみ入力されています。"&amp;CHAR(10)&amp;"申請する場合は黄色セルを全て入力してください。","×",IF(AT7="必要情報が全て入力されました。","○")))</f>
        <v>0</v>
      </c>
      <c r="AF7" s="76" t="str">
        <f t="shared" ref="AF7:AF15" si="0">IF(M7="","",SUM(2022,M7-4))</f>
        <v/>
      </c>
      <c r="AG7" s="77" t="str">
        <f>IFERROR(DATE(AF7,O7,Q7),"")</f>
        <v/>
      </c>
      <c r="AJ7" s="212" t="str">
        <f>IF(AQ7="×","空気清浄機の入力項目/","")</f>
        <v/>
      </c>
      <c r="AK7" s="78"/>
      <c r="AP7" s="25" t="s">
        <v>77</v>
      </c>
      <c r="AQ7" s="50" t="str">
        <f>IF(COUNTA(M7,O7,Q7)=0,"○",
IF(AND(COUNTA(M7,O7,Q7)&lt;3,COUNTA(M7,O7,Q7)&gt;=1),"×",
IF(COUNTA(M7,O7,Q7)=3,"◎")))</f>
        <v>○</v>
      </c>
      <c r="AR7" s="50" t="str">
        <f>'初度設備明細 '!AD7</f>
        <v>○</v>
      </c>
      <c r="AS7" s="50" t="str">
        <f xml:space="preserve">
IF(AND(AQ7="×",AR7="×"),"×",
IF(AND(AQ7="×",AR7="○"),"×",
IF(AND(AQ7="×",AR7="◎"),"×",
IF(AND(AQ7="○",AR7="×"),"×",
IF(AND(AQ7="○",AR7="○"),"○",
IF(AND(AQ7="○",AR7="◎"),"×",
IF(AND(AQ7="◎",AR7="×"),"×",
IF(AND(AQ7="◎",AR7="○"),"×",
IF(AND(AQ7="◎",AR7="◎"),"◎")))))))))</f>
        <v>○</v>
      </c>
      <c r="AT7" s="80" t="str">
        <f xml:space="preserve">
IF(AND(AQ7="×",AR7="×"),"【要修正】本シート及び「明細」シートがいずれも入力不十分です。",
IF(AND(AQ7="×",AR7="○"),"【要修正】本シートが入力不十分、「明細」シートが未入力です。",
IF(AND(AQ7="×",AR7="◎"),"【要修正】本シートが入力不十分です。",
IF(AND(AQ7="○",AR7="×"),"【要修正】本シートが未入力、「明細」シートが入力不十分です。",
IF(AND(AQ7="○",AR7="○"),"申請しない場合は入力不要です。",
IF(AND(AQ7="○",AR7="◎"),"【要修正】本シートが未入力です。",
IF(AND(AQ7="◎",AR7="×"),"【要修正】「明細」シートがいずれも入力不十分です。",
IF(AND(AQ7="◎",AR7="○"),"【要修正】「明細」シートが未入力です。",
IF(AND(AQ7="◎",AR7="◎"),"適切に入力がされました。")))))))))</f>
        <v>申請しない場合は入力不要です。</v>
      </c>
      <c r="AU7" s="38" t="str">
        <f>"【"&amp;C7&amp;"】"</f>
        <v>【初度設備】</v>
      </c>
      <c r="AV7" s="40" t="str">
        <f xml:space="preserve">
IF(AND(AQ7="×",AR7="×"),AU7&amp;"本シート及び「明細」シートがいずれも入力不十分です。",
IF(AND(AQ7="×",AR7="○"),AU7&amp;"本シートが入力不十分、「明細」シートが未入力です。",
IF(AND(AQ7="×",AR7="◎"),AU7&amp;"本シートが入力不十分です。",
IF(AND(AQ7="○",AR7="×"),AU7&amp;"本シートが未入力、「明細」シートが入力不十分です。",
IF(AND(AQ7="○",AR7="○"),"",
IF(AND(AQ7="○",AR7="◎"),AU7&amp;"本シートが未入力です。",
IF(AND(AQ7="◎",AR7="×"),AU7&amp;"「明細」シートがいずれも入力不十分です。",
IF(AND(AQ7="◎",AR7="○"),AU7&amp;"【要修正】「明細」シートが未入力です。",
IF(AND(AQ7="◎",AR7="◎"),AU7&amp;"適切に入力がされました。")))))))))</f>
        <v/>
      </c>
      <c r="AW7" s="350" t="str">
        <f>IFERROR(DATE(AX7,AY7,AZ7),"")</f>
        <v/>
      </c>
      <c r="AX7" s="351" t="str">
        <f>IF(M7="","",SUM(2022,M7-4))</f>
        <v/>
      </c>
      <c r="AY7" s="352">
        <f>O7</f>
        <v>0</v>
      </c>
      <c r="AZ7" s="352">
        <f>Q7</f>
        <v>0</v>
      </c>
    </row>
    <row r="8" spans="2:52" ht="35.1" customHeight="1">
      <c r="B8" s="644"/>
      <c r="C8" s="227" t="s">
        <v>173</v>
      </c>
      <c r="D8" s="116" t="str">
        <f>IF(J8&gt;0,"（別添明細のとおり）","")</f>
        <v/>
      </c>
      <c r="E8" s="123">
        <f>I8</f>
        <v>0</v>
      </c>
      <c r="F8" s="124">
        <f>J8</f>
        <v>0</v>
      </c>
      <c r="G8" s="124">
        <f t="shared" ref="G8:G14" si="1">E8*F8</f>
        <v>0</v>
      </c>
      <c r="H8" s="177" t="str">
        <f t="shared" ref="H8:H17" si="2">IF(D8="","",D8)</f>
        <v/>
      </c>
      <c r="I8" s="123">
        <f>人工呼吸器明細!D10</f>
        <v>0</v>
      </c>
      <c r="J8" s="299">
        <f>IFERROR(K8/I8,0)</f>
        <v>0</v>
      </c>
      <c r="K8" s="124">
        <f>人工呼吸器明細!K10</f>
        <v>0</v>
      </c>
      <c r="L8" s="117" t="s">
        <v>78</v>
      </c>
      <c r="M8" s="305"/>
      <c r="N8" s="118" t="s">
        <v>80</v>
      </c>
      <c r="O8" s="305"/>
      <c r="P8" s="118" t="s">
        <v>82</v>
      </c>
      <c r="Q8" s="305"/>
      <c r="R8" s="119" t="s">
        <v>84</v>
      </c>
      <c r="AA8" s="25" t="b">
        <f>IF(AT8="申請しない場合は黄色セル入力不要です。","○",IF(AT8="【要修正】型番、数量、単価（税込）の一部欄のみ入力されています。"&amp;CHAR(10)&amp;"申請する場合は黄色セルを全て入力してください。","×",IF(AT8="必要情報が全て入力されました。","○")))</f>
        <v>0</v>
      </c>
      <c r="AF8" s="76" t="str">
        <f t="shared" si="0"/>
        <v/>
      </c>
      <c r="AG8" s="77" t="str">
        <f t="shared" ref="AG8:AG18" si="3">IFERROR(DATE(AF8,O8,Q8),"")</f>
        <v/>
      </c>
      <c r="AJ8" s="212" t="str">
        <f>IF(AQ8="×","パーテーション（１行目）の入力項目/","")</f>
        <v/>
      </c>
      <c r="AK8" s="78"/>
      <c r="AP8" s="25" t="s">
        <v>77</v>
      </c>
      <c r="AQ8" s="50" t="str">
        <f>IF(COUNTA(M8,O8,Q8)=0,"○",
IF(AND(COUNTA(M8,O8,Q8)&lt;3,COUNTA(M8,O8,Q8)&gt;=1),"×",
IF(COUNTA(M8,O8,Q8)=3,"◎")))</f>
        <v>○</v>
      </c>
      <c r="AR8" s="50" t="str">
        <f>人工呼吸器明細!AD7</f>
        <v>○</v>
      </c>
      <c r="AS8" s="344" t="str">
        <f xml:space="preserve">
IF(AND(AQ8="×",AR8="×"),"×",
IF(AND(AQ8="×",AR8="○"),"×",
IF(AND(AQ8="×",AR8="◎"),"×",
IF(AND(AQ8="○",AR8="×"),"×",
IF(AND(AQ8="○",AR8="○"),"○",
IF(AND(AQ8="○",AR8="◎"),"×",
IF(AND(AQ8="◎",AR8="×"),"×",
IF(AND(AQ8="◎",AR8="○"),"×",
IF(AND(AQ8="◎",AR8="◎"),"◎")))))))))</f>
        <v>○</v>
      </c>
      <c r="AT8" s="80" t="str">
        <f xml:space="preserve">
IF(AND(AQ8="×",AR8="×"),"【要修正】本シート及び「明細」シートがいずれも入力不十分です。",
IF(AND(AQ8="×",AR8="○"),"【要修正】本シートが入力不十分、「明細」シートが未入力です。",
IF(AND(AQ8="×",AR8="◎"),"【要修正】本シートが入力不十分です。",
IF(AND(AQ8="○",AR8="×"),"【要修正】本シートが未入力、「明細」シートが入力不十分です。",
IF(AND(AQ8="○",AR8="○"),"申請しない場合は入力不要です。",
IF(AND(AQ8="○",AR8="◎"),"【要修正】本シートが未入力です。",
IF(AND(AQ8="◎",AR8="×"),"【要修正】「明細」シートがいずれも入力不十分です。",
IF(AND(AQ8="◎",AR8="○"),"【要修正】「明細」シートが未入力です。",
IF(AND(AQ8="◎",AR8="◎"),"適切に入力がされました。")))))))))</f>
        <v>申請しない場合は入力不要です。</v>
      </c>
      <c r="AU8" s="38" t="str">
        <f>"【"&amp;C8&amp;"】"</f>
        <v>【人工呼吸器】</v>
      </c>
      <c r="AV8" s="40" t="str">
        <f xml:space="preserve">
IF(AND(AQ8="×",AR8="×"),AU8&amp;"本シート及び「明細」シートがいずれも入力不十分です。",
IF(AND(AQ8="×",AR8="○"),AU8&amp;"本シートが入力不十分、「明細」シートが未入力です。",
IF(AND(AQ8="×",AR8="◎"),AU8&amp;"本シートが入力不十分です。",
IF(AND(AQ8="○",AR8="×"),AU8&amp;"本シートが未入力、「明細」シートが入力不十分です。",
IF(AND(AQ8="○",AR8="○"),"",
IF(AND(AQ8="○",AR8="◎"),AU8&amp;"本シートが未入力です。",
IF(AND(AQ8="◎",AR8="×"),AU8&amp;"「明細」シートがいずれも入力不十分です。",
IF(AND(AQ8="◎",AR8="○"),AU8&amp;"【要修正】「明細」シートが未入力です。",
IF(AND(AQ8="◎",AR8="◎"),AU8&amp;"適切に入力がされました。")))))))))</f>
        <v/>
      </c>
      <c r="AW8" s="350" t="str">
        <f t="shared" ref="AW8:AW29" si="4">IFERROR(DATE(AX8,AF8,AH8),"")</f>
        <v/>
      </c>
      <c r="AX8" s="351" t="str">
        <f t="shared" ref="AX8:AX29" si="5">IF(M8="","",SUM(2022,M8-4))</f>
        <v/>
      </c>
      <c r="AY8" s="352">
        <f t="shared" ref="AY8:AY29" si="6">O8</f>
        <v>0</v>
      </c>
      <c r="AZ8" s="352">
        <f t="shared" ref="AZ8:AZ29" si="7">Q8</f>
        <v>0</v>
      </c>
    </row>
    <row r="9" spans="2:52" ht="35.1" customHeight="1">
      <c r="B9" s="644"/>
      <c r="C9" s="227" t="s">
        <v>2</v>
      </c>
      <c r="D9" s="116" t="str">
        <f>IF(J9&gt;0,"（別添明細のとおり）","")</f>
        <v/>
      </c>
      <c r="E9" s="300">
        <f>IF(AND(個人防護具明細!AV5="×",個人防護具明細!AV6="×"),0,
IF(AND(個人防護具明細!AV5="×",個人防護具明細!AV6="○"),0,
IF(AND(個人防護具明細!AV5="×",個人防護具明細!AV6="◎"),0,
IF(AND(個人防護具明細!AV5="○",個人防護具明細!AV6="×"),0,
IF(AND(個人防護具明細!AV5="○",個人防護具明細!AV6="○"),0,
IF(AND(個人防護具明細!AV5="○",個人防護具明細!AV6="◎"),0,
IF(AND(個人防護具明細!AV5="◎",個人防護具明細!AV6="×"),0,
IF(AND(個人防護具明細!AV5="◎",個人防護具明細!AV6="○"),0,
IF(AND(個人防護具明細!AV5="◎",個人防護具明細!AV6="◎"),個人防護具明細!D6)))))))))</f>
        <v>0</v>
      </c>
      <c r="F9" s="125">
        <v>3600</v>
      </c>
      <c r="G9" s="125">
        <f t="shared" si="1"/>
        <v>0</v>
      </c>
      <c r="H9" s="116" t="str">
        <f>IF(D9="","",D9)</f>
        <v/>
      </c>
      <c r="I9" s="343">
        <f>個人防護具明細!D6</f>
        <v>0</v>
      </c>
      <c r="J9" s="299">
        <f>IFERROR(K9/I9,0)</f>
        <v>0</v>
      </c>
      <c r="K9" s="124">
        <f>個人防護具明細!E2</f>
        <v>0</v>
      </c>
      <c r="L9" s="108" t="s">
        <v>78</v>
      </c>
      <c r="M9" s="306"/>
      <c r="N9" s="109" t="s">
        <v>80</v>
      </c>
      <c r="O9" s="306"/>
      <c r="P9" s="109" t="s">
        <v>82</v>
      </c>
      <c r="Q9" s="306"/>
      <c r="R9" s="110" t="s">
        <v>84</v>
      </c>
      <c r="U9" s="40" t="str">
        <f>IF(COUNTIF(AT7:AT17,"【要修正】型番、数量、単価（税込）の一部欄のみ入力されています。申請する場合は黄色セルを全て入力してください。")&gt;=1,"入力されていない箇所があります。",IF(COUNTIF(AT7:AT17,"申請しない場合は黄色セル入力不要です。")=9,"",IF(COUNTIF(AT7:AT17,"【要修正】型番、数量、単価（税込）の一部欄のみ入力されています。申請する場合は黄色セルを全て入力してください。")&gt;=1,"入力されていない箇所があります。","申請額が正しく表示されました。")))</f>
        <v>申請額が正しく表示されました。</v>
      </c>
      <c r="AA9" s="83" t="b">
        <f>IF(AT9="【要修正】《個人防護具のシートをご確認ください》"&amp;CHAR(10)&amp;"員数、防護具情報の入力に不足有","×",IF(AT9="【要修正】《個人防護具のシートをご確認ください》本シートで納品の日付が入力されていますが、個人防護具の申請情報が未入力となっています。","×",IF(AT9="【要修正】《個人防護具のシートをご確認ください》"&amp;CHAR(10)&amp;"員数情報が入力されていません。","×",IF(AT9="【要修正】《個人防護具のシートをご確認ください》"&amp;CHAR(10)&amp;"個人防護具の情報が適切に入力されていない箇所があります。","×",IF(AT9="【要修正】《個人防護具のシートをご確認ください》"&amp;CHAR(10)&amp;"個人防護具の情報が入力されていません。","×",IF(AT9="必要情報が全て入力されました。","○",IF(AT9="【要修正】《個人防護具のシートをご確認ください》"&amp;CHAR(10)&amp;"員数、防護具情報の入力に不足が有ります。"&amp;CHAR(10)&amp;"本シート中、納品予定日の日付が未記入となっています。","×",IF(AT9="申請しない場合は個人防護具シートの入力は不要です。","○",IF(AT9="【要修正】《個人防護具のシートをご確認ください》"&amp;CHAR(10)&amp;"員数情報が入力されていません。"&amp;CHAR(10)&amp;"本シート中、納品予定日の日付が未記入となっています。","×",IF(AT9="【要修正】《個人防護具のシートをご確認ください》"&amp;CHAR(10)&amp;"個人防護具の情報が適切に入力されていない箇所があります。"&amp;CHAR(10)&amp;"本シート中、納品予定日の日付が未記入となっています。","×",IF(AT9="【要修正】《個人防護具のシートをご確認ください》"&amp;CHAR(10)&amp;"個人防護具の情報が入力されていません。"&amp;CHAR(10)&amp;"本シート中、納品予定日の日付が未記入となっています。","×",IF(AT9="本シート中、納品予定日の日付が未記入となっています。",IF(AT9="【要修正】《個人防護具のシートをご確認ください》"&amp;CHAR(10)&amp;"員数、防護具情報の入力に不足が有ります。"&amp;CHAR(10)&amp;"本シート中、納品予定の日付が一部しか入力されていません。","×",IF(AT9="【要修正】《個人防護具のシートをご確認ください》個人防護具の申請情報が未入力となっています。"&amp;CHAR(10)&amp;"本シート中、納品予定の日付が一部しか入力されていません。","×",IF(AT9="【要修正】《個人防護具のシートをご確認ください》"&amp;CHAR(10)&amp;"員数情報が入力されていません。"&amp;CHAR(10)&amp;"本シート中、納品予定の日付が一部しか入力されていません。","×",IF(AT9="【要修正】《個人防護具のシートをご確認ください》"&amp;CHAR(10)&amp;"個人防護具の情報が適切に入力されていない箇所があります。"&amp;CHAR(10)&amp;"本シート中、納品予定の日付が一部しか入力されていません。","×",IF(AT9="【要修正】《個人防護具のシートをご確認ください》"&amp;CHAR(10)&amp;"個人防護具の情報が入力されていません。"&amp;CHAR(10)&amp;"本シート中、納品予定の日付が一部しか入力されていません。","×",IF(AT9="【要修正】本シート中、納品予定の日付が一部しか入力されていません。","×"))))))))))))))))))</f>
        <v>0</v>
      </c>
      <c r="AF9" s="76" t="str">
        <f t="shared" si="0"/>
        <v/>
      </c>
      <c r="AG9" s="77" t="str">
        <f>IFERROR(DATE(AF9,O9,Q9),"")</f>
        <v/>
      </c>
      <c r="AJ9" s="212" t="str">
        <f>IF(AND(AQ9="◎",AR9="×"),"事業完了予定の日付が入力されているが、個人防護具明細が入力不十分/",
IF(AND(AQ9="◎",AR9="○"),"事業完了予定の日付が入力されているが、個人防護具明細が未入力/",
IF(AND(AQ9="◎",AR9="◎"),"",
IF(AND(AQ9="○",AR9="×"),"個人防護具明細が入力不十分/事業完了予定の日付未入力/",
IF(AND(AQ9="○",AR9="○"),"",
IF(AND(AQ9="○",AR9="◎"),"個人防護具明細が入力されているが事業完了予定の日付未記入/",
IF(AND(AQ9="×",AR9="×"),"個人防護具明細の入力不十分/事業完了予定日付の入力不十分/",
IF(AND(AQ9="×",AR9="○"),"個人防護具明細が未入力/事業完了予定の日付の入力不十分/",
IF(AND(AQ9="×",AR9="◎"),"個人防護具明細が入力されているが事業完了予定の日付の入力不十分")))))))))</f>
        <v/>
      </c>
      <c r="AK9" s="78"/>
      <c r="AP9" s="25" t="s">
        <v>77</v>
      </c>
      <c r="AQ9" s="50" t="str">
        <f>IF(COUNTA(M9,O9,Q9)=0,"○",
IF(AND(COUNTA(M9,O9,Q9)&lt;3,COUNTA(M9,O9,Q9)&gt;=1),"×",
IF(COUNTA(M9,O9,Q9)=3,"◎")))</f>
        <v>○</v>
      </c>
      <c r="AR9" s="50" t="str">
        <f>個人防護具明細!AW5</f>
        <v>○</v>
      </c>
      <c r="AS9" s="344" t="str">
        <f xml:space="preserve">
IF(AND(AQ9="×",AR9="×"),"×",
IF(AND(AQ9="×",AR9="○"),"×",
IF(AND(AQ9="×",AR9="◎"),"×",
IF(AND(AQ9="○",AR9="×"),"×",
IF(AND(AQ9="○",AR9="○"),"○",
IF(AND(AQ9="○",AR9="◎"),"×",
IF(AND(AQ9="◎",AR9="×"),"×",
IF(AND(AQ9="◎",AR9="○"),"×",
IF(AND(AQ9="◎",AR9="◎"),"◎")))))))))</f>
        <v>○</v>
      </c>
      <c r="AT9" s="80" t="str">
        <f xml:space="preserve">
IF(AND(AQ9="×",AR9="×"),"【要修正】本シート及び「明細」シートがいずれも入力不十分です。",
IF(AND(AQ9="×",AR9="○"),"【要修正】本シートが入力不十分、「明細」シートが未入力です。",
IF(AND(AQ9="×",AR9="◎"),"【要修正】本シートが入力不十分です。",
IF(AND(AQ9="○",AR9="×"),"【要修正】本シートが未入力、「明細」シートが入力不十分です。",
IF(AND(AQ9="○",AR9="○"),"申請しない場合は入力不要です。",
IF(AND(AQ9="○",AR9="◎"),"【要修正】本シートが未入力です。",
IF(AND(AQ9="◎",AR9="×"),"【要修正】「明細」シートがいずれも入力不十分です。",
IF(AND(AQ9="◎",AR9="○"),"【要修正】「明細」シートが未入力です。",
IF(AND(AQ9="◎",AR9="◎"),"適切に入力がされました。")))))))))</f>
        <v>申請しない場合は入力不要です。</v>
      </c>
      <c r="AU9" s="38" t="str">
        <f>"【"&amp;C9&amp;"】"</f>
        <v>【個人防護具】</v>
      </c>
      <c r="AV9" s="40" t="str">
        <f xml:space="preserve">
IF(AND(AQ9="×",AR9="×"),AU9&amp;"本シート及び「明細」シートがいずれも入力不十分です。",
IF(AND(AQ9="×",AR9="○"),AU9&amp;"本シートが入力不十分、「明細」シートが未入力です。",
IF(AND(AQ9="×",AR9="◎"),AU9&amp;"本シートが入力不十分です。",
IF(AND(AQ9="○",AR9="×"),AU9&amp;"本シートが未入力、「明細」シートが入力不十分です。",
IF(AND(AQ9="○",AR9="○"),"",
IF(AND(AQ9="○",AR9="◎"),AU9&amp;"本シートが未入力です。",
IF(AND(AQ9="◎",AR9="×"),AU9&amp;"「明細」シートがいずれも入力不十分です。",
IF(AND(AQ9="◎",AR9="○"),AU9&amp;"【要修正】「明細」シートが未入力です。",
IF(AND(AQ9="◎",AR9="◎"),AU9&amp;"適切に入力がされました。")))))))))</f>
        <v/>
      </c>
      <c r="AW9" s="350" t="str">
        <f t="shared" si="4"/>
        <v/>
      </c>
      <c r="AX9" s="351" t="str">
        <f t="shared" si="5"/>
        <v/>
      </c>
      <c r="AY9" s="352">
        <f t="shared" si="6"/>
        <v>0</v>
      </c>
      <c r="AZ9" s="352">
        <f t="shared" si="7"/>
        <v>0</v>
      </c>
    </row>
    <row r="10" spans="2:52" ht="35.1" customHeight="1">
      <c r="B10" s="644"/>
      <c r="C10" s="233" t="s">
        <v>236</v>
      </c>
      <c r="D10" s="116" t="str">
        <f>IF(J10&gt;0,"（別添明細のとおり）","")</f>
        <v/>
      </c>
      <c r="E10" s="126">
        <f>I10</f>
        <v>0</v>
      </c>
      <c r="F10" s="127">
        <v>4320000</v>
      </c>
      <c r="G10" s="127">
        <f>E10*F10</f>
        <v>0</v>
      </c>
      <c r="H10" s="232" t="str">
        <f t="shared" si="2"/>
        <v/>
      </c>
      <c r="I10" s="301">
        <f>'簡易陰圧装置明細 '!D10</f>
        <v>0</v>
      </c>
      <c r="J10" s="299">
        <f>IFERROR(K10/I10,0)</f>
        <v>0</v>
      </c>
      <c r="K10" s="127">
        <f>'簡易陰圧装置明細 '!K10</f>
        <v>0</v>
      </c>
      <c r="L10" s="108" t="s">
        <v>78</v>
      </c>
      <c r="M10" s="306"/>
      <c r="N10" s="109" t="s">
        <v>80</v>
      </c>
      <c r="O10" s="306"/>
      <c r="P10" s="109" t="s">
        <v>82</v>
      </c>
      <c r="Q10" s="306"/>
      <c r="R10" s="110" t="s">
        <v>84</v>
      </c>
      <c r="AA10" s="25" t="b">
        <f t="shared" ref="AA10:AA15" si="8">IF(AT10="申請しない場合は黄色セル入力不要です。","○",IF(AT10="【要修正】型番、数量、単価（税込）の一部欄のみ入力されています。"&amp;CHAR(10)&amp;"申請する場合は黄色セルを全て入力してください。","×",IF(AT10="必要情報が全て入力されました。","○")))</f>
        <v>0</v>
      </c>
      <c r="AF10" s="76" t="str">
        <f t="shared" si="0"/>
        <v/>
      </c>
      <c r="AG10" s="77" t="str">
        <f t="shared" si="3"/>
        <v/>
      </c>
      <c r="AJ10" s="212" t="str">
        <f>IF(AQ10="×","パーテーション（２行目）の入力項目/","")</f>
        <v/>
      </c>
      <c r="AK10" s="78"/>
      <c r="AP10" s="25" t="s">
        <v>77</v>
      </c>
      <c r="AQ10" s="50" t="str">
        <f>IF(COUNTA(M10,O10,Q10)=0,"○",
IF(AND(COUNTA(M10,O10,Q10)&lt;3,COUNTA(M10,O10,Q10)&gt;=1),"×",
IF(COUNTA(M10,O10,Q10)=3,"◎")))</f>
        <v>○</v>
      </c>
      <c r="AR10" s="50" t="str">
        <f>'簡易陰圧装置明細 '!AD7</f>
        <v>○</v>
      </c>
      <c r="AS10" s="344" t="str">
        <f xml:space="preserve">
IF(AND(AQ10="×",AR10="×"),"×",
IF(AND(AQ10="×",AR10="○"),"×",
IF(AND(AQ10="×",AR10="◎"),"×",
IF(AND(AQ10="○",AR10="×"),"×",
IF(AND(AQ10="○",AR10="○"),"○",
IF(AND(AQ10="○",AR10="◎"),"×",
IF(AND(AQ10="◎",AR10="×"),"×",
IF(AND(AQ10="◎",AR10="○"),"×",
IF(AND(AQ10="◎",AR10="◎"),"◎")))))))))</f>
        <v>○</v>
      </c>
      <c r="AT10" s="80" t="str">
        <f xml:space="preserve">
IF(AND(AQ10="×",AR10="×"),"【要修正】本シート及び「明細」シートがいずれも入力不十分です。",
IF(AND(AQ10="×",AR10="○"),"【要修正】本シートが入力不十分、「明細」シートが未入力です。",
IF(AND(AQ10="×",AR10="◎"),"【要修正】本シートが入力不十分です。",
IF(AND(AQ10="○",AR10="×"),"【要修正】本シートが未入力、「明細」シートが入力不十分です。",
IF(AND(AQ10="○",AR10="○"),"申請しない場合は入力不要です。",
IF(AND(AQ10="○",AR10="◎"),"【要修正】本シートが未入力です。",
IF(AND(AQ10="◎",AR10="×"),"【要修正】「明細」シートがいずれも入力不十分です。",
IF(AND(AQ10="◎",AR10="○"),"【要修正】「明細」シートが未入力です。",
IF(AND(AQ10="◎",AR10="◎"),"適切に入力がされました。")))))))))</f>
        <v>申請しない場合は入力不要です。</v>
      </c>
      <c r="AU10" s="38" t="str">
        <f>"【"&amp;C10&amp;"】"</f>
        <v>【簡易陰圧装置】</v>
      </c>
      <c r="AV10" s="40" t="str">
        <f xml:space="preserve">
IF(AND(AQ10="×",AR10="×"),AU10&amp;"本シート及び「明細」シートがいずれも入力不十分です。",
IF(AND(AQ10="×",AR10="○"),AU10&amp;"本シートが入力不十分、「明細」シートが未入力です。",
IF(AND(AQ10="×",AR10="◎"),AU10&amp;"本シートが入力不十分です。",
IF(AND(AQ10="○",AR10="×"),AU10&amp;"本シートが未入力、「明細」シートが入力不十分です。",
IF(AND(AQ10="○",AR10="○"),"",
IF(AND(AQ10="○",AR10="◎"),AU10&amp;"本シートが未入力です。",
IF(AND(AQ10="◎",AR10="×"),AU10&amp;"「明細」シートがいずれも入力不十分です。",
IF(AND(AQ10="◎",AR10="○"),AU10&amp;"【要修正】「明細」シートが未入力です。",
IF(AND(AQ10="◎",AR10="◎"),AU10&amp;"適切に入力がされました。")))))))))</f>
        <v/>
      </c>
      <c r="AW10" s="350" t="str">
        <f t="shared" si="4"/>
        <v/>
      </c>
      <c r="AX10" s="351" t="str">
        <f t="shared" si="5"/>
        <v/>
      </c>
      <c r="AY10" s="352">
        <f t="shared" si="6"/>
        <v>0</v>
      </c>
      <c r="AZ10" s="352">
        <f t="shared" si="7"/>
        <v>0</v>
      </c>
    </row>
    <row r="11" spans="2:52" ht="35.1" customHeight="1">
      <c r="B11" s="644"/>
      <c r="C11" s="651" t="s">
        <v>3</v>
      </c>
      <c r="D11" s="94"/>
      <c r="E11" s="123">
        <f t="shared" ref="E11:E21" si="9">I11</f>
        <v>0</v>
      </c>
      <c r="F11" s="124">
        <v>51400</v>
      </c>
      <c r="G11" s="124">
        <f t="shared" si="1"/>
        <v>0</v>
      </c>
      <c r="H11" s="177" t="str">
        <f>IF(D11="","",D11)</f>
        <v/>
      </c>
      <c r="I11" s="134"/>
      <c r="J11" s="135"/>
      <c r="K11" s="124">
        <f t="shared" ref="K11:K17" si="10">I11*J11</f>
        <v>0</v>
      </c>
      <c r="L11" s="81" t="s">
        <v>78</v>
      </c>
      <c r="M11" s="308"/>
      <c r="N11" s="82" t="s">
        <v>80</v>
      </c>
      <c r="O11" s="308"/>
      <c r="P11" s="82" t="s">
        <v>82</v>
      </c>
      <c r="Q11" s="308"/>
      <c r="R11" s="102" t="s">
        <v>84</v>
      </c>
      <c r="AA11" s="25" t="str">
        <f>IF(AT11="申請しない場合は黄色セル入力不要です。","○",IF(AT11="【要修正】型番、数量、単価（税込）の一部欄のみ入力されています。"&amp;CHAR(10)&amp;"申請する場合は黄色セルを全て入力してください。","×",IF(AT11="必要情報が全て入力されました。","○")))</f>
        <v>○</v>
      </c>
      <c r="AF11" s="76" t="str">
        <f t="shared" si="0"/>
        <v/>
      </c>
      <c r="AG11" s="77" t="str">
        <f>IFERROR(DATE(AF11,O11,Q11),"")</f>
        <v/>
      </c>
      <c r="AJ11" s="212" t="str">
        <f>IF(AQ11="×","簡易ベッド（１行目）の入力項目/","")</f>
        <v/>
      </c>
      <c r="AK11" s="78"/>
      <c r="AP11" s="25" t="s">
        <v>77</v>
      </c>
      <c r="AQ11" s="50" t="str">
        <f>IF(COUNTA(D11,I11,J11,M11,O11,Q11)=0,"○",
IF(AND(COUNTA(D11,I11,J11,M11,O11,Q11)&lt;6,COUNTA(D11,I11,J11,M11,O11,Q11)&gt;=1),"×",
IF(COUNTA(D11,I11,J11,M11,O11,Q11)=6,"◎")))</f>
        <v>○</v>
      </c>
      <c r="AR11" s="79"/>
      <c r="AS11" s="50" t="str">
        <f t="shared" ref="AS11:AS17" si="11">AQ11</f>
        <v>○</v>
      </c>
      <c r="AT11" s="80" t="str">
        <f t="shared" ref="AT11:AT17" si="12">IF(AQ11="○","申請しない場合は黄色セル入力不要です。",
IF(AQ11="×","【要修正】型番、数量、単価（税込）または納品の日付の一部欄のみ入力されています。",
IF(AQ11="◎","必要情報が全て入力されました。")))</f>
        <v>申請しない場合は黄色セル入力不要です。</v>
      </c>
      <c r="AU11" s="38" t="str">
        <f>"【"&amp;$C$11&amp;"】"&amp;"1行目："</f>
        <v>【簡易ベッド】1行目：</v>
      </c>
      <c r="AV11" s="40" t="str">
        <f>IF(AQ11="○","",
IF(AQ11="×",AU11&amp;"【要修正】型番、数量、単価（税込）または納品の日付の一部欄のみ入力されています。",
IF(AQ11="◎","")))</f>
        <v/>
      </c>
      <c r="AW11" s="350" t="str">
        <f t="shared" si="4"/>
        <v/>
      </c>
      <c r="AX11" s="351" t="str">
        <f t="shared" si="5"/>
        <v/>
      </c>
      <c r="AY11" s="352">
        <f t="shared" si="6"/>
        <v>0</v>
      </c>
      <c r="AZ11" s="352">
        <f t="shared" si="7"/>
        <v>0</v>
      </c>
    </row>
    <row r="12" spans="2:52" ht="35.1" customHeight="1">
      <c r="B12" s="644"/>
      <c r="C12" s="663"/>
      <c r="D12" s="84"/>
      <c r="E12" s="128">
        <f t="shared" si="9"/>
        <v>0</v>
      </c>
      <c r="F12" s="129">
        <f>IF(E12=0,0,51400)</f>
        <v>0</v>
      </c>
      <c r="G12" s="129">
        <f t="shared" si="1"/>
        <v>0</v>
      </c>
      <c r="H12" s="178" t="str">
        <f>IF(D12="","",D12)</f>
        <v/>
      </c>
      <c r="I12" s="174"/>
      <c r="J12" s="130"/>
      <c r="K12" s="129">
        <f t="shared" si="10"/>
        <v>0</v>
      </c>
      <c r="L12" s="85" t="s">
        <v>78</v>
      </c>
      <c r="M12" s="309"/>
      <c r="N12" s="86" t="s">
        <v>80</v>
      </c>
      <c r="O12" s="309"/>
      <c r="P12" s="86" t="s">
        <v>82</v>
      </c>
      <c r="Q12" s="309"/>
      <c r="R12" s="103" t="s">
        <v>84</v>
      </c>
      <c r="AA12" s="25" t="str">
        <f t="shared" si="8"/>
        <v>○</v>
      </c>
      <c r="AF12" s="76" t="str">
        <f t="shared" si="0"/>
        <v/>
      </c>
      <c r="AG12" s="77" t="str">
        <f>IFERROR(DATE(AF12,O12,Q12),"")</f>
        <v/>
      </c>
      <c r="AJ12" s="212" t="str">
        <f>IF(AQ12="×","簡易ベッド（２行目）の入力項目/","")</f>
        <v/>
      </c>
      <c r="AK12" s="78"/>
      <c r="AP12" s="25" t="s">
        <v>77</v>
      </c>
      <c r="AQ12" s="50" t="str">
        <f t="shared" ref="AQ12:AQ17" si="13">IF(COUNTA(D12,I12,J12,M12,O12,Q12)=0,"○",
IF(AND(COUNTA(D12,I12,J12,M12,O12,Q12)&lt;6,COUNTA(D12,I12,J12,M12,O12,Q12)&gt;=1),"×",
IF(COUNTA(D12,I12,J12,M12,O12,Q12)=6,"◎")))</f>
        <v>○</v>
      </c>
      <c r="AR12" s="79"/>
      <c r="AS12" s="50" t="str">
        <f t="shared" si="11"/>
        <v>○</v>
      </c>
      <c r="AT12" s="80" t="str">
        <f t="shared" si="12"/>
        <v>申請しない場合は黄色セル入力不要です。</v>
      </c>
      <c r="AU12" s="38" t="str">
        <f>"【"&amp;$C$11&amp;"】"&amp;"2行目："</f>
        <v>【簡易ベッド】2行目：</v>
      </c>
      <c r="AV12" s="40" t="str">
        <f t="shared" ref="AV12:AV21" si="14">IF(AQ12="○","",
IF(AQ12="×",AU12&amp;"【要修正】型番、数量、単価（税込）または納品の日付の一部欄のみ入力されています。",
IF(AQ12="◎","")))</f>
        <v/>
      </c>
      <c r="AW12" s="350" t="str">
        <f t="shared" si="4"/>
        <v/>
      </c>
      <c r="AX12" s="351" t="str">
        <f t="shared" si="5"/>
        <v/>
      </c>
      <c r="AY12" s="352">
        <f t="shared" si="6"/>
        <v>0</v>
      </c>
      <c r="AZ12" s="352">
        <f t="shared" si="7"/>
        <v>0</v>
      </c>
    </row>
    <row r="13" spans="2:52" ht="35.1" customHeight="1">
      <c r="B13" s="644"/>
      <c r="C13" s="663"/>
      <c r="D13" s="84"/>
      <c r="E13" s="128">
        <f t="shared" si="9"/>
        <v>0</v>
      </c>
      <c r="F13" s="129">
        <f>IF(E13=0,0,51400)</f>
        <v>0</v>
      </c>
      <c r="G13" s="129">
        <f t="shared" si="1"/>
        <v>0</v>
      </c>
      <c r="H13" s="178" t="str">
        <f>IF(D13="","",D13)</f>
        <v/>
      </c>
      <c r="I13" s="174"/>
      <c r="J13" s="130"/>
      <c r="K13" s="129">
        <f t="shared" si="10"/>
        <v>0</v>
      </c>
      <c r="L13" s="85" t="s">
        <v>78</v>
      </c>
      <c r="M13" s="309"/>
      <c r="N13" s="86" t="s">
        <v>80</v>
      </c>
      <c r="O13" s="309"/>
      <c r="P13" s="86" t="s">
        <v>82</v>
      </c>
      <c r="Q13" s="309"/>
      <c r="R13" s="103" t="s">
        <v>84</v>
      </c>
      <c r="AA13" s="25" t="str">
        <f t="shared" si="8"/>
        <v>○</v>
      </c>
      <c r="AF13" s="76" t="str">
        <f t="shared" si="0"/>
        <v/>
      </c>
      <c r="AG13" s="77" t="str">
        <f>IFERROR(DATE(AF13,O13,Q13),"")</f>
        <v/>
      </c>
      <c r="AJ13" s="212" t="str">
        <f>IF(AQ13="×","簡易ベッド（３行目）の入力項目/","")</f>
        <v/>
      </c>
      <c r="AK13" s="78"/>
      <c r="AP13" s="25" t="s">
        <v>77</v>
      </c>
      <c r="AQ13" s="50" t="str">
        <f t="shared" si="13"/>
        <v>○</v>
      </c>
      <c r="AR13" s="79"/>
      <c r="AS13" s="50" t="str">
        <f t="shared" si="11"/>
        <v>○</v>
      </c>
      <c r="AT13" s="80" t="str">
        <f t="shared" si="12"/>
        <v>申請しない場合は黄色セル入力不要です。</v>
      </c>
      <c r="AU13" s="38" t="str">
        <f>"【"&amp;$C$11&amp;"】"&amp;"3行目："</f>
        <v>【簡易ベッド】3行目：</v>
      </c>
      <c r="AV13" s="40" t="str">
        <f t="shared" si="14"/>
        <v/>
      </c>
      <c r="AW13" s="350" t="str">
        <f t="shared" si="4"/>
        <v/>
      </c>
      <c r="AX13" s="351" t="str">
        <f t="shared" si="5"/>
        <v/>
      </c>
      <c r="AY13" s="352">
        <f t="shared" si="6"/>
        <v>0</v>
      </c>
      <c r="AZ13" s="352">
        <f t="shared" si="7"/>
        <v>0</v>
      </c>
    </row>
    <row r="14" spans="2:52" ht="35.1" customHeight="1">
      <c r="B14" s="644"/>
      <c r="C14" s="663"/>
      <c r="D14" s="90"/>
      <c r="E14" s="131">
        <f t="shared" si="9"/>
        <v>0</v>
      </c>
      <c r="F14" s="132">
        <f>IF(E14=0,0,51400)</f>
        <v>0</v>
      </c>
      <c r="G14" s="132">
        <f t="shared" si="1"/>
        <v>0</v>
      </c>
      <c r="H14" s="179" t="str">
        <f>IF(D14="","",D14)</f>
        <v/>
      </c>
      <c r="I14" s="136"/>
      <c r="J14" s="133"/>
      <c r="K14" s="132">
        <f t="shared" si="10"/>
        <v>0</v>
      </c>
      <c r="L14" s="88" t="s">
        <v>78</v>
      </c>
      <c r="M14" s="310"/>
      <c r="N14" s="89" t="s">
        <v>80</v>
      </c>
      <c r="O14" s="310"/>
      <c r="P14" s="89" t="s">
        <v>82</v>
      </c>
      <c r="Q14" s="310"/>
      <c r="R14" s="104" t="s">
        <v>84</v>
      </c>
      <c r="AA14" s="25" t="str">
        <f t="shared" si="8"/>
        <v>○</v>
      </c>
      <c r="AF14" s="76" t="str">
        <f t="shared" si="0"/>
        <v/>
      </c>
      <c r="AG14" s="77" t="str">
        <f>IFERROR(DATE(AF14,O14,Q14),"")</f>
        <v/>
      </c>
      <c r="AJ14" s="212" t="str">
        <f>IF(AQ14="×","簡易ベッド（４行目）の入力項目/","")</f>
        <v/>
      </c>
      <c r="AK14" s="78"/>
      <c r="AP14" s="25" t="s">
        <v>77</v>
      </c>
      <c r="AQ14" s="50" t="str">
        <f t="shared" si="13"/>
        <v>○</v>
      </c>
      <c r="AR14" s="79"/>
      <c r="AS14" s="50" t="str">
        <f t="shared" si="11"/>
        <v>○</v>
      </c>
      <c r="AT14" s="80" t="str">
        <f t="shared" si="12"/>
        <v>申請しない場合は黄色セル入力不要です。</v>
      </c>
      <c r="AU14" s="38" t="str">
        <f>"【"&amp;$C$11&amp;"】"&amp;"4行目："</f>
        <v>【簡易ベッド】4行目：</v>
      </c>
      <c r="AV14" s="40" t="str">
        <f t="shared" si="14"/>
        <v/>
      </c>
      <c r="AW14" s="350" t="str">
        <f t="shared" si="4"/>
        <v/>
      </c>
      <c r="AX14" s="351" t="str">
        <f t="shared" si="5"/>
        <v/>
      </c>
      <c r="AY14" s="352">
        <f t="shared" si="6"/>
        <v>0</v>
      </c>
      <c r="AZ14" s="352">
        <f t="shared" si="7"/>
        <v>0</v>
      </c>
    </row>
    <row r="15" spans="2:52" ht="35.1" customHeight="1">
      <c r="B15" s="644"/>
      <c r="C15" s="651" t="s">
        <v>237</v>
      </c>
      <c r="D15" s="94"/>
      <c r="E15" s="152">
        <f>I15</f>
        <v>0</v>
      </c>
      <c r="F15" s="124">
        <f>IF(E15=0,0,J15)</f>
        <v>0</v>
      </c>
      <c r="G15" s="125">
        <f>E15*F15</f>
        <v>0</v>
      </c>
      <c r="H15" s="235" t="str">
        <f t="shared" si="2"/>
        <v/>
      </c>
      <c r="I15" s="134"/>
      <c r="J15" s="135"/>
      <c r="K15" s="124">
        <f>I15*J15</f>
        <v>0</v>
      </c>
      <c r="L15" s="81" t="s">
        <v>78</v>
      </c>
      <c r="M15" s="308"/>
      <c r="N15" s="82" t="s">
        <v>80</v>
      </c>
      <c r="O15" s="308"/>
      <c r="P15" s="82" t="s">
        <v>82</v>
      </c>
      <c r="Q15" s="308"/>
      <c r="R15" s="102" t="s">
        <v>84</v>
      </c>
      <c r="AA15" s="25" t="str">
        <f t="shared" si="8"/>
        <v>○</v>
      </c>
      <c r="AF15" s="76" t="str">
        <f t="shared" si="0"/>
        <v/>
      </c>
      <c r="AG15" s="77" t="str">
        <f t="shared" si="3"/>
        <v/>
      </c>
      <c r="AJ15" s="212" t="str">
        <f>IF(AQ15="×","パーテーション（３行目）の入力項目/","")</f>
        <v/>
      </c>
      <c r="AK15" s="78"/>
      <c r="AP15" s="25" t="s">
        <v>77</v>
      </c>
      <c r="AQ15" s="50" t="str">
        <f t="shared" si="13"/>
        <v>○</v>
      </c>
      <c r="AR15" s="79"/>
      <c r="AS15" s="50" t="str">
        <f t="shared" si="11"/>
        <v>○</v>
      </c>
      <c r="AT15" s="80" t="str">
        <f t="shared" si="12"/>
        <v>申請しない場合は黄色セル入力不要です。</v>
      </c>
      <c r="AU15" s="38" t="str">
        <f>"【"&amp;$C$15&amp;"】"&amp;"1行目："</f>
        <v>【体外式膜型人工肺】1行目：</v>
      </c>
      <c r="AV15" s="40" t="str">
        <f t="shared" si="14"/>
        <v/>
      </c>
      <c r="AW15" s="350" t="str">
        <f t="shared" si="4"/>
        <v/>
      </c>
      <c r="AX15" s="351" t="str">
        <f t="shared" si="5"/>
        <v/>
      </c>
      <c r="AY15" s="352">
        <f t="shared" si="6"/>
        <v>0</v>
      </c>
      <c r="AZ15" s="352">
        <f t="shared" si="7"/>
        <v>0</v>
      </c>
    </row>
    <row r="16" spans="2:52" ht="35.1" customHeight="1">
      <c r="B16" s="644"/>
      <c r="C16" s="652"/>
      <c r="D16" s="90"/>
      <c r="E16" s="153">
        <f t="shared" si="9"/>
        <v>0</v>
      </c>
      <c r="F16" s="129">
        <f>IF(E16=0,0,J16)</f>
        <v>0</v>
      </c>
      <c r="G16" s="129">
        <f>E16*F16</f>
        <v>0</v>
      </c>
      <c r="H16" s="178" t="str">
        <f t="shared" si="2"/>
        <v/>
      </c>
      <c r="I16" s="136"/>
      <c r="J16" s="133"/>
      <c r="K16" s="403">
        <f t="shared" si="10"/>
        <v>0</v>
      </c>
      <c r="L16" s="88" t="s">
        <v>78</v>
      </c>
      <c r="M16" s="310"/>
      <c r="N16" s="89" t="s">
        <v>80</v>
      </c>
      <c r="O16" s="310"/>
      <c r="P16" s="89" t="s">
        <v>82</v>
      </c>
      <c r="Q16" s="310"/>
      <c r="R16" s="104" t="s">
        <v>84</v>
      </c>
      <c r="AA16" s="25"/>
      <c r="AF16" s="76"/>
      <c r="AG16" s="77"/>
      <c r="AJ16" s="212"/>
      <c r="AK16" s="78"/>
      <c r="AP16" s="25" t="s">
        <v>69</v>
      </c>
      <c r="AQ16" s="50" t="str">
        <f t="shared" si="13"/>
        <v>○</v>
      </c>
      <c r="AR16" s="79"/>
      <c r="AS16" s="50" t="str">
        <f t="shared" si="11"/>
        <v>○</v>
      </c>
      <c r="AT16" s="80" t="str">
        <f t="shared" si="12"/>
        <v>申請しない場合は黄色セル入力不要です。</v>
      </c>
      <c r="AU16" s="38" t="str">
        <f>"【"&amp;$C$15&amp;"】"&amp;"2行目："</f>
        <v>【体外式膜型人工肺】2行目：</v>
      </c>
      <c r="AV16" s="40" t="str">
        <f t="shared" si="14"/>
        <v/>
      </c>
      <c r="AW16" s="350" t="str">
        <f t="shared" si="4"/>
        <v/>
      </c>
      <c r="AX16" s="351" t="str">
        <f t="shared" si="5"/>
        <v/>
      </c>
      <c r="AY16" s="352">
        <f t="shared" si="6"/>
        <v>0</v>
      </c>
      <c r="AZ16" s="352">
        <f t="shared" si="7"/>
        <v>0</v>
      </c>
    </row>
    <row r="17" spans="2:52" ht="35.1" customHeight="1" thickBot="1">
      <c r="B17" s="644"/>
      <c r="C17" s="653"/>
      <c r="D17" s="87"/>
      <c r="E17" s="218">
        <f t="shared" si="9"/>
        <v>0</v>
      </c>
      <c r="F17" s="137">
        <f>IF(E17=0,0,J17)</f>
        <v>0</v>
      </c>
      <c r="G17" s="137">
        <f>E17*F17</f>
        <v>0</v>
      </c>
      <c r="H17" s="180" t="str">
        <f t="shared" si="2"/>
        <v/>
      </c>
      <c r="I17" s="138"/>
      <c r="J17" s="139"/>
      <c r="K17" s="137">
        <f t="shared" si="10"/>
        <v>0</v>
      </c>
      <c r="L17" s="91" t="s">
        <v>78</v>
      </c>
      <c r="M17" s="311"/>
      <c r="N17" s="92" t="s">
        <v>80</v>
      </c>
      <c r="O17" s="311"/>
      <c r="P17" s="92" t="s">
        <v>82</v>
      </c>
      <c r="Q17" s="311"/>
      <c r="R17" s="105" t="s">
        <v>84</v>
      </c>
      <c r="AA17" s="25" t="str">
        <f>IF(AT17="申請しない場合は黄色セル入力不要です。","○",IF(AT17="【要修正】型番、数量、単価（税込）の一部欄のみ入力されています。"&amp;CHAR(10)&amp;"申請する場合は黄色セルを全て入力してください。","×",IF(AT17="必要情報が全て入力されました。","○")))</f>
        <v>○</v>
      </c>
      <c r="AF17" s="76" t="str">
        <f>IF(M17="","",SUM(2022,M17-4))</f>
        <v/>
      </c>
      <c r="AG17" s="77" t="str">
        <f t="shared" si="3"/>
        <v/>
      </c>
      <c r="AJ17" s="212" t="str">
        <f>IF(AQ17="×","パーテーション（４行目）の入力項目/","")</f>
        <v/>
      </c>
      <c r="AK17" s="78"/>
      <c r="AP17" s="25" t="s">
        <v>69</v>
      </c>
      <c r="AQ17" s="50" t="str">
        <f t="shared" si="13"/>
        <v>○</v>
      </c>
      <c r="AR17" s="79"/>
      <c r="AS17" s="50" t="str">
        <f t="shared" si="11"/>
        <v>○</v>
      </c>
      <c r="AT17" s="80" t="str">
        <f t="shared" si="12"/>
        <v>申請しない場合は黄色セル入力不要です。</v>
      </c>
      <c r="AU17" s="38" t="str">
        <f>"【"&amp;$C$15&amp;"】"&amp;"3行目："</f>
        <v>【体外式膜型人工肺】3行目：</v>
      </c>
      <c r="AV17" s="40" t="str">
        <f t="shared" si="14"/>
        <v/>
      </c>
      <c r="AW17" s="350" t="str">
        <f t="shared" si="4"/>
        <v/>
      </c>
      <c r="AX17" s="351" t="str">
        <f t="shared" si="5"/>
        <v/>
      </c>
      <c r="AY17" s="352">
        <f t="shared" si="6"/>
        <v>0</v>
      </c>
      <c r="AZ17" s="352">
        <f t="shared" si="7"/>
        <v>0</v>
      </c>
    </row>
    <row r="18" spans="2:52" ht="35.1" customHeight="1">
      <c r="B18" s="645"/>
      <c r="C18" s="227" t="s">
        <v>238</v>
      </c>
      <c r="D18" s="116" t="str">
        <f>IF(K18&gt;0,"（別添明細のとおり）","")</f>
        <v/>
      </c>
      <c r="E18" s="219">
        <f>IF(K18=0,0,1)</f>
        <v>0</v>
      </c>
      <c r="F18" s="132">
        <f>J18</f>
        <v>0</v>
      </c>
      <c r="G18" s="132">
        <f>K18</f>
        <v>0</v>
      </c>
      <c r="H18" s="179" t="str">
        <f>IF(D18="","",D18)</f>
        <v/>
      </c>
      <c r="I18" s="192">
        <f>E18</f>
        <v>0</v>
      </c>
      <c r="J18" s="302">
        <f>K18</f>
        <v>0</v>
      </c>
      <c r="K18" s="132">
        <f>簡易病室明細!E2</f>
        <v>0</v>
      </c>
      <c r="L18" s="88" t="s">
        <v>78</v>
      </c>
      <c r="M18" s="310"/>
      <c r="N18" s="89" t="s">
        <v>80</v>
      </c>
      <c r="O18" s="310"/>
      <c r="P18" s="89" t="s">
        <v>82</v>
      </c>
      <c r="Q18" s="310"/>
      <c r="R18" s="104" t="s">
        <v>84</v>
      </c>
      <c r="AA18" s="25" t="b">
        <f>IF(AT18="規格、数量、単価の入力に不足有","×",IF(AT18="簡易診療室の補助申請をしない場合は可","○",IF(AT18="必要情報が全て入力されました。","○")))</f>
        <v>0</v>
      </c>
      <c r="AF18" s="76" t="str">
        <f>IF(M18="","",SUM(2022,M18-4))</f>
        <v/>
      </c>
      <c r="AG18" s="77" t="str">
        <f t="shared" si="3"/>
        <v/>
      </c>
      <c r="AJ18" s="212" t="str">
        <f xml:space="preserve">
IF(AND(AQ18="◎",AR18="×"),"様式１－２に事業完了予定の日付が入力されているが、「簡易診療室明細」が入力不十分です。/",
IF(AND(AQ18="◎",AR18="○"),"様式１－２に事業完了予定の日付が入力されているが、「簡易診療室明細」が未入力。/",
IF(AND(AQ18="◎",AR18="◎"),"",
IF(AND(AQ18="○",AR18="×"),"様式１－２に事業完了予定の日付が未入力、「簡易診療室明細」が入力不十分。/",
IF(AND(AQ18="○",AR18="○"),"",
IF(AND(AQ18="○",AR18="◎"),"【要修正】「簡易診療室明細」が入力されているが、本シートに事業完了予定の日付が未入力。/",
IF(AND(AQ18="×",AR18="×"),"様式１－２及び「簡易診療室明細」の入力がいずれも不十分。/",
IF(AND(AQ18="×",AR18="○"),"様式１－２に事業完了予定の日付が入力不十分、「簡易診療室明細」が未入力。/",
IF(AND(AQ18="×",AR18="◎"),"【要修正】「簡易診療室明細」が入力されているが、本シートに事業完了予定の日付が入力不十分。/")))))))))</f>
        <v/>
      </c>
      <c r="AK18" s="78"/>
      <c r="AP18" s="25" t="s">
        <v>77</v>
      </c>
      <c r="AQ18" s="50" t="str">
        <f>IF(COUNTA(M18,O18,Q18)=0,"○",
IF(AND(COUNTA(M18,O18,Q18)&lt;3,COUNTA(M18,O18,Q18)&gt;=1),"×",
IF(COUNTA(M18,O18,Q18)=3,"◎")))</f>
        <v>○</v>
      </c>
      <c r="AR18" s="50" t="str">
        <f>簡易病室明細!AI72</f>
        <v>○</v>
      </c>
      <c r="AS18" s="344" t="str">
        <f xml:space="preserve">
IF(AND(AQ18="×",AR18="×"),"×",
IF(AND(AQ18="×",AR18="○"),"×",
IF(AND(AQ18="×",AR18="◎"),"×",
IF(AND(AQ18="○",AR18="×"),"×",
IF(AND(AQ18="○",AR18="○"),"○",
IF(AND(AQ18="○",AR18="◎"),"×",
IF(AND(AQ18="◎",AR18="×"),"×",
IF(AND(AQ18="◎",AR18="○"),"×",
IF(AND(AQ18="◎",AR18="◎"),"◎")))))))))</f>
        <v>○</v>
      </c>
      <c r="AT18" s="80" t="str">
        <f xml:space="preserve">
IF(AND(AQ18="×",AR18="×"),"【要修正】本シート及び「明細」シートがいずれも入力不十分です。",
IF(AND(AQ18="×",AR18="○"),"【要修正】本シートが入力不十分、「明細」シートが未入力です。",
IF(AND(AQ18="×",AR18="◎"),"【要修正】本シートが入力不十分です。",
IF(AND(AQ18="○",AR18="×"),"【要修正】本シートが未入力、「明細」シートが入力不十分です。",
IF(AND(AQ18="○",AR18="○"),"申請しない場合は入力不要です。",
IF(AND(AQ18="○",AR18="◎"),"【要修正】本シートが未入力です。",
IF(AND(AQ18="◎",AR18="×"),"【要修正】「明細」シートがいずれも入力不十分です。",
IF(AND(AQ18="◎",AR18="○"),"【要修正】「明細」シートが未入力です。",
IF(AND(AQ18="◎",AR18="◎"),"適切に入力がされました。")))))))))</f>
        <v>申請しない場合は入力不要です。</v>
      </c>
      <c r="AU18" s="38" t="str">
        <f>"【"&amp;C18&amp;"】"</f>
        <v>【簡易病室】</v>
      </c>
      <c r="AV18" s="40" t="str">
        <f xml:space="preserve">
IF(AND(AQ18="×",AR18="×"),AU18&amp;"本シート及び「明細」シートがいずれも入力不十分です。",
IF(AND(AQ18="×",AR18="○"),AU18&amp;"本シートが入力不十分、「明細」シートが未入力です。",
IF(AND(AQ18="×",AR18="◎"),AU18&amp;"本シートが入力不十分です。",
IF(AND(AQ18="○",AR18="×"),AU18&amp;"本シートが未入力、「明細」シートが入力不十分です。",
IF(AND(AQ18="○",AR18="○"),"",
IF(AND(AQ18="○",AR18="◎"),AU18&amp;"本シートが未入力です。",
IF(AND(AQ18="◎",AR18="×"),AU18&amp;"「明細」シートがいずれも入力不十分です。",
IF(AND(AQ18="◎",AR18="○"),AU18&amp;"【要修正】「明細」シートが未入力です。",
IF(AND(AQ18="◎",AR18="◎"),AU18&amp;"適切に入力がされました。")))))))))</f>
        <v/>
      </c>
      <c r="AW18" s="350" t="str">
        <f t="shared" si="4"/>
        <v/>
      </c>
      <c r="AX18" s="351" t="str">
        <f t="shared" si="5"/>
        <v/>
      </c>
      <c r="AY18" s="352">
        <f t="shared" si="6"/>
        <v>0</v>
      </c>
      <c r="AZ18" s="352">
        <f t="shared" si="7"/>
        <v>0</v>
      </c>
    </row>
    <row r="19" spans="2:52" ht="35.1" customHeight="1">
      <c r="B19" s="658" t="s">
        <v>241</v>
      </c>
      <c r="C19" s="654" t="s">
        <v>239</v>
      </c>
      <c r="D19" s="94"/>
      <c r="E19" s="123">
        <f t="shared" si="9"/>
        <v>0</v>
      </c>
      <c r="F19" s="124">
        <v>8000000</v>
      </c>
      <c r="G19" s="124">
        <f>E19*F19</f>
        <v>0</v>
      </c>
      <c r="H19" s="177" t="str">
        <f>IF(D19="","",D19)</f>
        <v/>
      </c>
      <c r="I19" s="134"/>
      <c r="J19" s="135"/>
      <c r="K19" s="124">
        <f>I19*J19</f>
        <v>0</v>
      </c>
      <c r="L19" s="81" t="s">
        <v>78</v>
      </c>
      <c r="M19" s="308"/>
      <c r="N19" s="82" t="s">
        <v>80</v>
      </c>
      <c r="O19" s="308"/>
      <c r="P19" s="82" t="s">
        <v>82</v>
      </c>
      <c r="Q19" s="308"/>
      <c r="R19" s="102" t="s">
        <v>84</v>
      </c>
      <c r="AA19" s="25"/>
      <c r="AF19" s="76" t="str">
        <f>IF(M19="","",SUM(2022,M19-4))</f>
        <v/>
      </c>
      <c r="AG19" s="77" t="str">
        <f>IFERROR(DATE(AF19,O19,Q19),"")</f>
        <v/>
      </c>
      <c r="AJ19" s="212" t="str">
        <f>IF(AQ19="×","紫外線照射装置（１行目）の入力項目/","")</f>
        <v/>
      </c>
      <c r="AK19" s="78"/>
      <c r="AP19" s="25" t="s">
        <v>69</v>
      </c>
      <c r="AQ19" s="50" t="str">
        <f>IF(COUNTA(D19,I19,J19,M19,O19,Q19)=0,"○",
IF(AND(COUNTA(D19,I19,J19,M19,O19,Q19)&lt;6,COUNTA(D19,I19,J19,M19,O19,Q19)&gt;=1),"×",
IF(COUNTA(D19,I19,J19,M19,O19,Q19)=6,"◎")))</f>
        <v>○</v>
      </c>
      <c r="AR19" s="79"/>
      <c r="AS19" s="50" t="str">
        <f>AQ19</f>
        <v>○</v>
      </c>
      <c r="AT19" s="80" t="str">
        <f>IF(AQ19="○","申請しない場合は黄色セル入力不要です。",
IF(AQ19="×","【要修正】型番、数量、単価（税込）または納品の日付の一部欄のみ入力されています。",
IF(AQ19="◎","必要情報が全て入力されました。")))</f>
        <v>申請しない場合は黄色セル入力不要です。</v>
      </c>
      <c r="AU19" s="38" t="str">
        <f>"【"&amp;$C$19&amp;"】"&amp;"１行目："</f>
        <v>【紫外線照射装置】１行目：</v>
      </c>
      <c r="AV19" s="40" t="str">
        <f t="shared" si="14"/>
        <v/>
      </c>
      <c r="AW19" s="350" t="str">
        <f t="shared" si="4"/>
        <v/>
      </c>
      <c r="AX19" s="351" t="str">
        <f t="shared" si="5"/>
        <v/>
      </c>
      <c r="AY19" s="352">
        <f t="shared" si="6"/>
        <v>0</v>
      </c>
      <c r="AZ19" s="352">
        <f t="shared" si="7"/>
        <v>0</v>
      </c>
    </row>
    <row r="20" spans="2:52" ht="35.1" customHeight="1">
      <c r="B20" s="659"/>
      <c r="C20" s="655"/>
      <c r="D20" s="84"/>
      <c r="E20" s="128">
        <f>I20</f>
        <v>0</v>
      </c>
      <c r="F20" s="129">
        <f>IF(E20=0,0,8000000)</f>
        <v>0</v>
      </c>
      <c r="G20" s="129">
        <f>E20*F20</f>
        <v>0</v>
      </c>
      <c r="H20" s="178" t="str">
        <f>IF(D20="","",D20)</f>
        <v/>
      </c>
      <c r="I20" s="174"/>
      <c r="J20" s="130"/>
      <c r="K20" s="129">
        <f>I20*J20</f>
        <v>0</v>
      </c>
      <c r="L20" s="85" t="s">
        <v>78</v>
      </c>
      <c r="M20" s="309"/>
      <c r="N20" s="86" t="s">
        <v>80</v>
      </c>
      <c r="O20" s="309"/>
      <c r="P20" s="86" t="s">
        <v>82</v>
      </c>
      <c r="Q20" s="309"/>
      <c r="R20" s="103" t="s">
        <v>84</v>
      </c>
      <c r="AA20" s="25"/>
      <c r="AF20" s="76" t="str">
        <f>IF(M20="","",SUM(2022,M20-4))</f>
        <v/>
      </c>
      <c r="AG20" s="77" t="str">
        <f>IFERROR(DATE(AF20,O20,Q20),"")</f>
        <v/>
      </c>
      <c r="AJ20" s="212" t="str">
        <f>IF(AQ20="×","紫外線照射装置（１行目）の入力項目/","")</f>
        <v/>
      </c>
      <c r="AK20" s="78"/>
      <c r="AP20" s="25" t="s">
        <v>69</v>
      </c>
      <c r="AQ20" s="50" t="str">
        <f>IF(COUNTA(D20,I20,J20,M20,O20,Q20)=0,"○",
IF(AND(COUNTA(D20,I20,J20,M20,O20,Q20)&lt;6,COUNTA(D20,I20,J20,M20,O20,Q20)&gt;=1),"×",
IF(COUNTA(D20,I20,J20,M20,O20,Q20)=6,"◎")))</f>
        <v>○</v>
      </c>
      <c r="AR20" s="79"/>
      <c r="AS20" s="50" t="str">
        <f>AQ20</f>
        <v>○</v>
      </c>
      <c r="AT20" s="80" t="str">
        <f>IF(AQ20="○","申請しない場合は黄色セル入力不要です。",
IF(AQ20="×","【要修正】型番、数量、単価（税込）または納品の日付の一部欄のみ入力されています。",
IF(AQ20="◎","必要情報が全て入力されました。")))</f>
        <v>申請しない場合は黄色セル入力不要です。</v>
      </c>
      <c r="AU20" s="38" t="str">
        <f>"【"&amp;$C$19&amp;"】"&amp;"2行目："</f>
        <v>【紫外線照射装置】2行目：</v>
      </c>
      <c r="AV20" s="40" t="str">
        <f t="shared" si="14"/>
        <v/>
      </c>
      <c r="AW20" s="350" t="str">
        <f t="shared" si="4"/>
        <v/>
      </c>
      <c r="AX20" s="351" t="str">
        <f t="shared" si="5"/>
        <v/>
      </c>
      <c r="AY20" s="352">
        <f t="shared" si="6"/>
        <v>0</v>
      </c>
      <c r="AZ20" s="352">
        <f t="shared" si="7"/>
        <v>0</v>
      </c>
    </row>
    <row r="21" spans="2:52" ht="35.1" customHeight="1" thickBot="1">
      <c r="B21" s="660"/>
      <c r="C21" s="656"/>
      <c r="D21" s="95"/>
      <c r="E21" s="175">
        <f t="shared" si="9"/>
        <v>0</v>
      </c>
      <c r="F21" s="140">
        <f>IF(E21=0,0,8000000)</f>
        <v>0</v>
      </c>
      <c r="G21" s="140">
        <f>E21*F21</f>
        <v>0</v>
      </c>
      <c r="H21" s="181" t="str">
        <f>IF(D21="","",D21)</f>
        <v/>
      </c>
      <c r="I21" s="141"/>
      <c r="J21" s="142"/>
      <c r="K21" s="140">
        <f>I21*J21</f>
        <v>0</v>
      </c>
      <c r="L21" s="96" t="s">
        <v>78</v>
      </c>
      <c r="M21" s="312"/>
      <c r="N21" s="97" t="s">
        <v>80</v>
      </c>
      <c r="O21" s="312"/>
      <c r="P21" s="97" t="s">
        <v>82</v>
      </c>
      <c r="Q21" s="312"/>
      <c r="R21" s="106" t="s">
        <v>84</v>
      </c>
      <c r="AA21" s="25"/>
      <c r="AF21" s="76" t="str">
        <f>IF(M21="","",SUM(2022,M21-4))</f>
        <v/>
      </c>
      <c r="AG21" s="77" t="str">
        <f>IFERROR(DATE(AF21,O21,Q21),"")</f>
        <v/>
      </c>
      <c r="AJ21" s="212" t="str">
        <f>IF(AQ21="×","紫外線照射装置（１行目）の入力項目/","")</f>
        <v/>
      </c>
      <c r="AK21" s="78"/>
      <c r="AP21" s="25" t="s">
        <v>69</v>
      </c>
      <c r="AQ21" s="50" t="str">
        <f>IF(COUNTA(D21,I21,J21,M21,O21,Q21)=0,"○",
IF(AND(COUNTA(D21,I21,J21,M21,O21,Q21)&lt;6,COUNTA(D21,I21,J21,M21,O21,Q21)&gt;=1),"×",
IF(COUNTA(D21,I21,J21,M21,O21,Q21)=6,"◎")))</f>
        <v>○</v>
      </c>
      <c r="AR21" s="79"/>
      <c r="AS21" s="50" t="str">
        <f>AQ21</f>
        <v>○</v>
      </c>
      <c r="AT21" s="241" t="str">
        <f>IF(AQ21="○","申請しない場合は黄色セル入力不要です。",
IF(AQ21="×","【要修正】型番、数量、単価（税込）または納品の日付の一部欄のみ入力されています。",
IF(AQ21="◎","必要情報が全て入力されました。")))</f>
        <v>申請しない場合は黄色セル入力不要です。</v>
      </c>
      <c r="AU21" s="38" t="str">
        <f>"【"&amp;$C$19&amp;"】"&amp;"3行目："</f>
        <v>【紫外線照射装置】3行目：</v>
      </c>
      <c r="AV21" s="40" t="str">
        <f t="shared" si="14"/>
        <v/>
      </c>
      <c r="AW21" s="350" t="str">
        <f t="shared" si="4"/>
        <v/>
      </c>
      <c r="AX21" s="351" t="str">
        <f t="shared" si="5"/>
        <v/>
      </c>
      <c r="AY21" s="352">
        <f t="shared" si="6"/>
        <v>0</v>
      </c>
      <c r="AZ21" s="352">
        <f t="shared" si="7"/>
        <v>0</v>
      </c>
    </row>
    <row r="22" spans="2:52" ht="35.1" customHeight="1" thickTop="1" thickBot="1">
      <c r="B22" s="112" t="s">
        <v>62</v>
      </c>
      <c r="C22" s="111"/>
      <c r="D22" s="107"/>
      <c r="E22" s="143"/>
      <c r="F22" s="144"/>
      <c r="G22" s="145">
        <f>SUM(G7:G21)</f>
        <v>0</v>
      </c>
      <c r="H22" s="182"/>
      <c r="I22" s="143"/>
      <c r="J22" s="147"/>
      <c r="K22" s="148">
        <f>SUM(K7:K18)</f>
        <v>0</v>
      </c>
      <c r="L22" s="646"/>
      <c r="M22" s="647"/>
      <c r="N22" s="647"/>
      <c r="O22" s="647"/>
      <c r="P22" s="647"/>
      <c r="Q22" s="647"/>
      <c r="R22" s="648"/>
      <c r="AG22" s="93"/>
      <c r="AJ22" s="661"/>
      <c r="AK22" s="661"/>
      <c r="AL22" s="662"/>
      <c r="AP22" s="25"/>
      <c r="AW22" s="350" t="str">
        <f t="shared" si="4"/>
        <v/>
      </c>
      <c r="AX22" s="351" t="str">
        <f t="shared" si="5"/>
        <v/>
      </c>
      <c r="AY22" s="352">
        <f t="shared" si="6"/>
        <v>0</v>
      </c>
      <c r="AZ22" s="352">
        <f t="shared" si="7"/>
        <v>0</v>
      </c>
    </row>
    <row r="23" spans="2:52" ht="35.1" customHeight="1">
      <c r="B23" s="643" t="s">
        <v>240</v>
      </c>
      <c r="C23" s="98" t="s">
        <v>180</v>
      </c>
      <c r="D23" s="116" t="str">
        <f>IF(K23&gt;0,"（別添明細のとおり）","")</f>
        <v/>
      </c>
      <c r="E23" s="121">
        <f t="shared" ref="E23:E29" si="15">I23</f>
        <v>0</v>
      </c>
      <c r="F23" s="122">
        <v>11000000</v>
      </c>
      <c r="G23" s="122">
        <f t="shared" ref="G23:G29" si="16">E23*F23</f>
        <v>0</v>
      </c>
      <c r="H23" s="176" t="str">
        <f t="shared" ref="H23:H29" si="17">IF(D23="","",D23)</f>
        <v/>
      </c>
      <c r="I23" s="121">
        <f>超音波画像診断装置!D10</f>
        <v>0</v>
      </c>
      <c r="J23" s="299">
        <f t="shared" ref="J23:J29" si="18">IFERROR(K23/I23,0)</f>
        <v>0</v>
      </c>
      <c r="K23" s="122">
        <f>超音波画像診断装置!K10</f>
        <v>0</v>
      </c>
      <c r="L23" s="99" t="s">
        <v>79</v>
      </c>
      <c r="M23" s="304"/>
      <c r="N23" s="100" t="s">
        <v>80</v>
      </c>
      <c r="O23" s="304"/>
      <c r="P23" s="100" t="s">
        <v>82</v>
      </c>
      <c r="Q23" s="304"/>
      <c r="R23" s="101" t="s">
        <v>84</v>
      </c>
      <c r="AA23" s="25" t="b">
        <f>IF(AT23="申請しない場合は黄色セル入力不要です。","○",IF(AT23="【要修正】型番、数量、単価（税込）の一部欄のみ入力されています。"&amp;CHAR(10)&amp;"申請する場合は黄色セルを全て入力してください。","×",IF(AT23="必要情報が全て入力されました。","○")))</f>
        <v>0</v>
      </c>
      <c r="AF23" s="76" t="str">
        <f t="shared" ref="AF23:AF29" si="19">IF(M23="","",SUM(2022,M23-4))</f>
        <v/>
      </c>
      <c r="AG23" s="77" t="str">
        <f t="shared" ref="AG23:AG29" si="20">IFERROR(DATE(AF23,O23,Q23),"")</f>
        <v/>
      </c>
      <c r="AJ23" s="212" t="str">
        <f>IF(AQ23="×","空気清浄機の入力項目/","")</f>
        <v/>
      </c>
      <c r="AK23" s="78"/>
      <c r="AP23" s="25" t="s">
        <v>69</v>
      </c>
      <c r="AQ23" s="50" t="str">
        <f>IF(COUNTA(M23,O23,Q23)=0,"○",IF(AND(COUNTA(M23,O23,Q23)&lt;3,COUNTA(M23,O23,Q23)&gt;=1),"×",IF(COUNTA(M23,O23,Q23)=3,"◎")))</f>
        <v>○</v>
      </c>
      <c r="AR23" s="50" t="str">
        <f>超音波画像診断装置!AD7</f>
        <v>○</v>
      </c>
      <c r="AS23" s="344" t="str">
        <f xml:space="preserve">
IF(AND(AQ23="×",AR23="×"),"×",
IF(AND(AQ23="×",AR23="○"),"×",
IF(AND(AQ23="×",AR23="◎"),"×",
IF(AND(AQ23="○",AR23="×"),"×",
IF(AND(AQ23="○",AR23="○"),"○",
IF(AND(AQ23="○",AR23="◎"),"×",
IF(AND(AQ23="◎",AR23="×"),"×",
IF(AND(AQ23="◎",AR23="○"),"×",
IF(AND(AQ23="◎",AR23="◎"),"◎")))))))))</f>
        <v>○</v>
      </c>
      <c r="AT23" s="80" t="str">
        <f xml:space="preserve">
IF(AND(AQ23="×",AR23="×"),"【要修正】本シート及び「明細」シートがいずれも入力不十分です。",
IF(AND(AQ23="×",AR23="○"),"【要修正】本シートが入力不十分、「明細」シートが未入力です。",
IF(AND(AQ23="×",AR23="◎"),"【要修正】本シートが入力不十分です。",
IF(AND(AQ23="○",AR23="×"),"【要修正】本シートが未入力、「明細」シートが入力不十分です。",
IF(AND(AQ23="○",AR23="○"),"申請しない場合は入力不要です。",
IF(AND(AQ23="○",AR23="◎"),"【要修正】本シートが未入力です。",
IF(AND(AQ23="◎",AR23="×"),"【要修正】「明細」シートがいずれも入力不十分です。",
IF(AND(AQ23="◎",AR23="○"),"【要修正】「明細」シートが未入力です。",
IF(AND(AQ23="◎",AR23="◎"),"適切に入力がされました。")))))))))</f>
        <v>申請しない場合は入力不要です。</v>
      </c>
      <c r="AU23" s="38" t="str">
        <f>"【"&amp;C23&amp;"】"</f>
        <v>【超音波画像診断装置】</v>
      </c>
      <c r="AV23" s="40" t="str">
        <f t="shared" ref="AV23:AV29" si="21" xml:space="preserve">
IF(AND(AQ23="×",AR23="×"),AU23&amp;"本シート及び「明細」シートがいずれも入力不十分です。",
IF(AND(AQ23="×",AR23="○"),AU23&amp;"本シートが入力不十分、「明細」シートが未入力です。",
IF(AND(AQ23="×",AR23="◎"),AU23&amp;"本シートが入力不十分です。",
IF(AND(AQ23="○",AR23="×"),AU23&amp;"本シートが未入力、「明細」シートが入力不十分です。",
IF(AND(AQ23="○",AR23="○"),"",
IF(AND(AQ23="○",AR23="◎"),AU23&amp;"本シートが未入力です。",
IF(AND(AQ23="◎",AR23="×"),AU23&amp;"「明細」シートがいずれも入力不十分です。",
IF(AND(AQ23="◎",AR23="○"),AU23&amp;"【要修正】「明細」シートが未入力です。",
IF(AND(AQ23="◎",AR23="◎"),AU23&amp;"適切に入力がされました。")))))))))</f>
        <v/>
      </c>
      <c r="AW23" s="350" t="str">
        <f t="shared" si="4"/>
        <v/>
      </c>
      <c r="AX23" s="351" t="str">
        <f t="shared" si="5"/>
        <v/>
      </c>
      <c r="AY23" s="352">
        <f t="shared" si="6"/>
        <v>0</v>
      </c>
      <c r="AZ23" s="352">
        <f t="shared" si="7"/>
        <v>0</v>
      </c>
    </row>
    <row r="24" spans="2:52" ht="35.1" customHeight="1">
      <c r="B24" s="644"/>
      <c r="C24" s="227" t="s">
        <v>181</v>
      </c>
      <c r="D24" s="116" t="str">
        <f t="shared" ref="D24:D29" si="22">IF(K24&gt;0,"（別添明細のとおり）","")</f>
        <v/>
      </c>
      <c r="E24" s="123">
        <f t="shared" si="15"/>
        <v>0</v>
      </c>
      <c r="F24" s="124">
        <v>6600000</v>
      </c>
      <c r="G24" s="124">
        <f t="shared" si="16"/>
        <v>0</v>
      </c>
      <c r="H24" s="177" t="str">
        <f t="shared" si="17"/>
        <v/>
      </c>
      <c r="I24" s="123">
        <f>血液浄化装置明細!D10</f>
        <v>0</v>
      </c>
      <c r="J24" s="299">
        <f t="shared" si="18"/>
        <v>0</v>
      </c>
      <c r="K24" s="342">
        <f>血液浄化装置明細!K10</f>
        <v>0</v>
      </c>
      <c r="L24" s="117" t="s">
        <v>78</v>
      </c>
      <c r="M24" s="305"/>
      <c r="N24" s="118" t="s">
        <v>80</v>
      </c>
      <c r="O24" s="305"/>
      <c r="P24" s="118" t="s">
        <v>82</v>
      </c>
      <c r="Q24" s="305"/>
      <c r="R24" s="119" t="s">
        <v>84</v>
      </c>
      <c r="AA24" s="25" t="b">
        <f>IF(AT24="申請しない場合は黄色セル入力不要です。","○",IF(AT24="【要修正】型番、数量、単価（税込）の一部欄のみ入力されています。"&amp;CHAR(10)&amp;"申請する場合は黄色セルを全て入力してください。","×",IF(AT24="必要情報が全て入力されました。","○")))</f>
        <v>0</v>
      </c>
      <c r="AF24" s="76" t="str">
        <f t="shared" si="19"/>
        <v/>
      </c>
      <c r="AG24" s="77" t="str">
        <f t="shared" si="20"/>
        <v/>
      </c>
      <c r="AJ24" s="212" t="str">
        <f>IF(AQ24="×","パーテーション（１行目）の入力項目/","")</f>
        <v/>
      </c>
      <c r="AK24" s="78"/>
      <c r="AP24" s="25" t="s">
        <v>69</v>
      </c>
      <c r="AQ24" s="50" t="str">
        <f t="shared" ref="AQ24:AQ29" si="23">IF(COUNTA(M24,O24,Q24)=0,"○",IF(AND(COUNTA(M24,O24,Q24)&lt;3,COUNTA(M24,O24,Q24)&gt;=1),"×",IF(COUNTA(M24,O24,Q24)=3,"◎")))</f>
        <v>○</v>
      </c>
      <c r="AR24" s="50" t="str">
        <f>血液浄化装置明細!AD7</f>
        <v>○</v>
      </c>
      <c r="AS24" s="50" t="str">
        <f t="shared" ref="AS24:AS29" si="24" xml:space="preserve">
IF(AND(AQ24="◎",AR24="×"),"×",
IF(AND(AQ24="◎",AR24="○"),"×",
IF(AND(AQ24="◎",AR24="◎"),"◎",
IF(AND(AQ24="○",AR24="×"),"×",
IF(AND(AQ24="○",AR24="○"),"○",
IF(AND(AQ24="○",AR24="◎"),"×",
IF(AND(AQ24="×",AR24="×"),"×",
IF(AND(AQ24="×",AR24="○"),"×",
IF(AND(AQ24="×",AR24="◎"),"×")))))))))</f>
        <v>○</v>
      </c>
      <c r="AT24" s="80" t="str">
        <f t="shared" ref="AT24:AT29" si="25" xml:space="preserve">
IF(AND(AQ24="×",AR24="×"),"【要修正】本シート及び「明細」シートがいずれも入力不十分です。",
IF(AND(AQ24="×",AR24="○"),"【要修正】本シートが入力不十分、「明細」シートが未入力です。",
IF(AND(AQ24="×",AR24="◎"),"【要修正】本シートが入力不十分です。",
IF(AND(AQ24="○",AR24="×"),"【要修正】本シートが未入力、「明細」シートが入力不十分です。",
IF(AND(AQ24="○",AR24="○"),"申請しない場合は入力不要です。",
IF(AND(AQ24="○",AR24="◎"),"【要修正】本シートが未入力です。",
IF(AND(AQ24="◎",AR24="×"),"【要修正】「明細」シートがいずれも入力不十分です。",
IF(AND(AQ24="◎",AR24="○"),"【要修正】「明細」シートが未入力です。",
IF(AND(AQ24="◎",AR24="◎"),"適切に入力がされました。")))))))))</f>
        <v>申請しない場合は入力不要です。</v>
      </c>
      <c r="AU24" s="38" t="str">
        <f t="shared" ref="AU24:AU29" si="26">"【"&amp;C24&amp;"】"</f>
        <v>【血液浄化装置】</v>
      </c>
      <c r="AV24" s="40" t="str">
        <f t="shared" si="21"/>
        <v/>
      </c>
      <c r="AW24" s="350" t="str">
        <f t="shared" si="4"/>
        <v/>
      </c>
      <c r="AX24" s="351" t="str">
        <f t="shared" si="5"/>
        <v/>
      </c>
      <c r="AY24" s="352">
        <f t="shared" si="6"/>
        <v>0</v>
      </c>
      <c r="AZ24" s="352">
        <f t="shared" si="7"/>
        <v>0</v>
      </c>
    </row>
    <row r="25" spans="2:52" ht="35.1" customHeight="1">
      <c r="B25" s="644"/>
      <c r="C25" s="227" t="s">
        <v>182</v>
      </c>
      <c r="D25" s="116" t="str">
        <f t="shared" si="22"/>
        <v/>
      </c>
      <c r="E25" s="123">
        <f t="shared" si="15"/>
        <v>0</v>
      </c>
      <c r="F25" s="125">
        <v>5500000</v>
      </c>
      <c r="G25" s="125">
        <f t="shared" si="16"/>
        <v>0</v>
      </c>
      <c r="H25" s="116" t="str">
        <f t="shared" si="17"/>
        <v/>
      </c>
      <c r="I25" s="191">
        <f>気管支鏡!$D$10</f>
        <v>0</v>
      </c>
      <c r="J25" s="299">
        <f t="shared" si="18"/>
        <v>0</v>
      </c>
      <c r="K25" s="125">
        <f>気管支鏡!K10</f>
        <v>0</v>
      </c>
      <c r="L25" s="108" t="s">
        <v>78</v>
      </c>
      <c r="M25" s="306"/>
      <c r="N25" s="109" t="s">
        <v>80</v>
      </c>
      <c r="O25" s="306"/>
      <c r="P25" s="109" t="s">
        <v>82</v>
      </c>
      <c r="Q25" s="306"/>
      <c r="R25" s="110" t="s">
        <v>84</v>
      </c>
      <c r="U25" s="40" t="str">
        <f>IF(COUNTIF(AT23:AT28,"【要修正】型番、数量、単価（税込）の一部欄のみ入力されています。申請する場合は黄色セルを全て入力してください。")&gt;=1,"入力されていない箇所があります。",IF(COUNTIF(AT23:AT28,"申請しない場合は黄色セル入力不要です。")=9,"",IF(COUNTIF(AT23:AT28,"【要修正】型番、数量、単価（税込）の一部欄のみ入力されています。申請する場合は黄色セルを全て入力してください。")&gt;=1,"入力されていない箇所があります。","申請額が正しく表示されました。")))</f>
        <v>申請額が正しく表示されました。</v>
      </c>
      <c r="AA25" s="83" t="b">
        <f>IF(AT25="【要修正】《個人防護具のシートをご確認ください》"&amp;CHAR(10)&amp;"員数、防護具情報の入力に不足有","×",IF(AT25="【要修正】《個人防護具のシートをご確認ください》本シートで納品の日付が入力されていますが、個人防護具の申請情報が未入力となっています。","×",IF(AT25="【要修正】《個人防護具のシートをご確認ください》"&amp;CHAR(10)&amp;"員数情報が入力されていません。","×",IF(AT25="【要修正】《個人防護具のシートをご確認ください》"&amp;CHAR(10)&amp;"個人防護具の情報が適切に入力されていない箇所があります。","×",IF(AT25="【要修正】《個人防護具のシートをご確認ください》"&amp;CHAR(10)&amp;"個人防護具の情報が入力されていません。","×",IF(AT25="必要情報が全て入力されました。","○",IF(AT25="【要修正】《個人防護具のシートをご確認ください》"&amp;CHAR(10)&amp;"員数、防護具情報の入力に不足が有ります。"&amp;CHAR(10)&amp;"本シート中、納品予定日の日付が未記入となっています。","×",IF(AT25="申請しない場合は個人防護具シートの入力は不要です。","○",IF(AT25="【要修正】《個人防護具のシートをご確認ください》"&amp;CHAR(10)&amp;"員数情報が入力されていません。"&amp;CHAR(10)&amp;"本シート中、納品予定日の日付が未記入となっています。","×",IF(AT25="【要修正】《個人防護具のシートをご確認ください》"&amp;CHAR(10)&amp;"個人防護具の情報が適切に入力されていない箇所があります。"&amp;CHAR(10)&amp;"本シート中、納品予定日の日付が未記入となっています。","×",IF(AT25="【要修正】《個人防護具のシートをご確認ください》"&amp;CHAR(10)&amp;"個人防護具の情報が入力されていません。"&amp;CHAR(10)&amp;"本シート中、納品予定日の日付が未記入となっています。","×",IF(AT25="本シート中、納品予定日の日付が未記入となっています。",IF(AT25="【要修正】《個人防護具のシートをご確認ください》"&amp;CHAR(10)&amp;"員数、防護具情報の入力に不足が有ります。"&amp;CHAR(10)&amp;"本シート中、納品予定の日付が一部しか入力されていません。","×",IF(AT25="【要修正】《個人防護具のシートをご確認ください》個人防護具の申請情報が未入力となっています。"&amp;CHAR(10)&amp;"本シート中、納品予定の日付が一部しか入力されていません。","×",IF(AT25="【要修正】《個人防護具のシートをご確認ください》"&amp;CHAR(10)&amp;"員数情報が入力されていません。"&amp;CHAR(10)&amp;"本シート中、納品予定の日付が一部しか入力されていません。","×",IF(AT25="【要修正】《個人防護具のシートをご確認ください》"&amp;CHAR(10)&amp;"個人防護具の情報が適切に入力されていない箇所があります。"&amp;CHAR(10)&amp;"本シート中、納品予定の日付が一部しか入力されていません。","×",IF(AT25="【要修正】《個人防護具のシートをご確認ください》"&amp;CHAR(10)&amp;"個人防護具の情報が入力されていません。"&amp;CHAR(10)&amp;"本シート中、納品予定の日付が一部しか入力されていません。","×",IF(AT25="【要修正】本シート中、納品予定の日付が一部しか入力されていません。","×"))))))))))))))))))</f>
        <v>0</v>
      </c>
      <c r="AF25" s="76" t="str">
        <f t="shared" si="19"/>
        <v/>
      </c>
      <c r="AG25" s="77" t="str">
        <f t="shared" si="20"/>
        <v/>
      </c>
      <c r="AJ25" s="212" t="str">
        <f>IF(AND(AQ25="◎",AR25="×"),"事業完了予定の日付が入力されているが、個人防護具明細が入力不十分/",
IF(AND(AQ25="◎",AR25="○"),"事業完了予定の日付が入力されているが、個人防護具明細が未入力/",
IF(AND(AQ25="◎",AR25="◎"),"",
IF(AND(AQ25="○",AR25="×"),"個人防護具明細が入力不十分/事業完了予定の日付未入力/",
IF(AND(AQ25="○",AR25="○"),"",
IF(AND(AQ25="○",AR25="◎"),"個人防護具明細が入力されているが事業完了予定の日付未記入/",
IF(AND(AQ25="×",AR25="×"),"個人防護具明細の入力不十分/事業完了予定日付の入力不十分/",
IF(AND(AQ25="×",AR25="○"),"個人防護具明細が未入力/事業完了予定の日付の入力不十分/",
IF(AND(AQ25="×",AR25="◎"),"個人防護具明細が入力されているが事業完了予定の日付の入力不十分")))))))))</f>
        <v/>
      </c>
      <c r="AK25" s="78"/>
      <c r="AP25" s="25" t="s">
        <v>69</v>
      </c>
      <c r="AQ25" s="50" t="str">
        <f t="shared" si="23"/>
        <v>○</v>
      </c>
      <c r="AR25" s="50" t="str">
        <f>気管支鏡!$AD$7</f>
        <v>○</v>
      </c>
      <c r="AS25" s="50" t="str">
        <f t="shared" si="24"/>
        <v>○</v>
      </c>
      <c r="AT25" s="80" t="str">
        <f t="shared" si="25"/>
        <v>申請しない場合は入力不要です。</v>
      </c>
      <c r="AU25" s="38" t="str">
        <f t="shared" si="26"/>
        <v>【気管支鏡】</v>
      </c>
      <c r="AV25" s="40" t="str">
        <f t="shared" si="21"/>
        <v/>
      </c>
      <c r="AW25" s="350" t="str">
        <f t="shared" si="4"/>
        <v/>
      </c>
      <c r="AX25" s="351" t="str">
        <f t="shared" si="5"/>
        <v/>
      </c>
      <c r="AY25" s="352">
        <f t="shared" si="6"/>
        <v>0</v>
      </c>
      <c r="AZ25" s="352">
        <f t="shared" si="7"/>
        <v>0</v>
      </c>
    </row>
    <row r="26" spans="2:52" ht="35.1" customHeight="1">
      <c r="B26" s="644"/>
      <c r="C26" s="233" t="s">
        <v>242</v>
      </c>
      <c r="D26" s="120" t="str">
        <f t="shared" si="22"/>
        <v/>
      </c>
      <c r="E26" s="126">
        <f t="shared" si="15"/>
        <v>0</v>
      </c>
      <c r="F26" s="127">
        <v>66000000</v>
      </c>
      <c r="G26" s="127">
        <f t="shared" si="16"/>
        <v>0</v>
      </c>
      <c r="H26" s="232" t="str">
        <f t="shared" si="17"/>
        <v/>
      </c>
      <c r="I26" s="301">
        <f>CT撮影装置明細!D10</f>
        <v>0</v>
      </c>
      <c r="J26" s="299">
        <f t="shared" si="18"/>
        <v>0</v>
      </c>
      <c r="K26" s="127">
        <f>CT撮影装置明細!K10</f>
        <v>0</v>
      </c>
      <c r="L26" s="108" t="s">
        <v>78</v>
      </c>
      <c r="M26" s="306"/>
      <c r="N26" s="109" t="s">
        <v>80</v>
      </c>
      <c r="O26" s="306"/>
      <c r="P26" s="109" t="s">
        <v>82</v>
      </c>
      <c r="Q26" s="306"/>
      <c r="R26" s="110" t="s">
        <v>84</v>
      </c>
      <c r="AA26" s="25" t="b">
        <f>IF(AT26="申請しない場合は黄色セル入力不要です。","○",IF(AT26="【要修正】型番、数量、単価（税込）の一部欄のみ入力されています。"&amp;CHAR(10)&amp;"申請する場合は黄色セルを全て入力してください。","×",IF(AT26="必要情報が全て入力されました。","○")))</f>
        <v>0</v>
      </c>
      <c r="AF26" s="76" t="str">
        <f t="shared" si="19"/>
        <v/>
      </c>
      <c r="AG26" s="77" t="str">
        <f t="shared" si="20"/>
        <v/>
      </c>
      <c r="AJ26" s="212" t="str">
        <f>IF(AQ26="×","パーテーション（２行目）の入力項目/","")</f>
        <v/>
      </c>
      <c r="AK26" s="78"/>
      <c r="AP26" s="25" t="s">
        <v>69</v>
      </c>
      <c r="AQ26" s="50" t="str">
        <f t="shared" si="23"/>
        <v>○</v>
      </c>
      <c r="AR26" s="50" t="str">
        <f>CT撮影装置明細!AD7</f>
        <v>○</v>
      </c>
      <c r="AS26" s="50" t="str">
        <f t="shared" si="24"/>
        <v>○</v>
      </c>
      <c r="AT26" s="80" t="str">
        <f t="shared" si="25"/>
        <v>申請しない場合は入力不要です。</v>
      </c>
      <c r="AU26" s="38" t="str">
        <f t="shared" si="26"/>
        <v>【CT撮影装置等】</v>
      </c>
      <c r="AV26" s="40" t="str">
        <f t="shared" si="21"/>
        <v/>
      </c>
      <c r="AW26" s="350" t="str">
        <f t="shared" si="4"/>
        <v/>
      </c>
      <c r="AX26" s="351" t="str">
        <f t="shared" si="5"/>
        <v/>
      </c>
      <c r="AY26" s="352">
        <f t="shared" si="6"/>
        <v>0</v>
      </c>
      <c r="AZ26" s="352">
        <f t="shared" si="7"/>
        <v>0</v>
      </c>
    </row>
    <row r="27" spans="2:52" ht="35.1" customHeight="1">
      <c r="B27" s="644"/>
      <c r="C27" s="227" t="s">
        <v>585</v>
      </c>
      <c r="D27" s="116" t="str">
        <f t="shared" si="22"/>
        <v/>
      </c>
      <c r="E27" s="149">
        <f t="shared" si="15"/>
        <v>0</v>
      </c>
      <c r="F27" s="125">
        <v>1100000</v>
      </c>
      <c r="G27" s="125">
        <f t="shared" si="16"/>
        <v>0</v>
      </c>
      <c r="H27" s="235" t="str">
        <f t="shared" si="17"/>
        <v/>
      </c>
      <c r="I27" s="149">
        <f>生体情報モニタ!D10</f>
        <v>0</v>
      </c>
      <c r="J27" s="299">
        <f t="shared" si="18"/>
        <v>0</v>
      </c>
      <c r="K27" s="125">
        <f>生体情報モニタ!K10</f>
        <v>0</v>
      </c>
      <c r="L27" s="117" t="s">
        <v>78</v>
      </c>
      <c r="M27" s="305"/>
      <c r="N27" s="118" t="s">
        <v>80</v>
      </c>
      <c r="O27" s="305"/>
      <c r="P27" s="118" t="s">
        <v>82</v>
      </c>
      <c r="Q27" s="305"/>
      <c r="R27" s="119" t="s">
        <v>84</v>
      </c>
      <c r="AA27" s="25" t="b">
        <f>IF(AT27="申請しない場合は黄色セル入力不要です。","○",IF(AT27="【要修正】型番、数量、単価（税込）の一部欄のみ入力されています。"&amp;CHAR(10)&amp;"申請する場合は黄色セルを全て入力してください。","×",IF(AT27="必要情報が全て入力されました。","○")))</f>
        <v>0</v>
      </c>
      <c r="AF27" s="76" t="str">
        <f t="shared" si="19"/>
        <v/>
      </c>
      <c r="AG27" s="77" t="str">
        <f t="shared" si="20"/>
        <v/>
      </c>
      <c r="AJ27" s="212" t="str">
        <f>IF(AQ27="×","簡易ベッド（１行目）の入力項目/","")</f>
        <v/>
      </c>
      <c r="AK27" s="78"/>
      <c r="AP27" s="25" t="s">
        <v>69</v>
      </c>
      <c r="AQ27" s="50" t="str">
        <f t="shared" si="23"/>
        <v>○</v>
      </c>
      <c r="AR27" s="50" t="str">
        <f>生体情報モニタ!AD7</f>
        <v>○</v>
      </c>
      <c r="AS27" s="50" t="str">
        <f t="shared" si="24"/>
        <v>○</v>
      </c>
      <c r="AT27" s="80" t="str">
        <f t="shared" si="25"/>
        <v>申請しない場合は入力不要です。</v>
      </c>
      <c r="AU27" s="38" t="str">
        <f t="shared" si="26"/>
        <v>【生体情報モニタ】</v>
      </c>
      <c r="AV27" s="40" t="str">
        <f t="shared" si="21"/>
        <v/>
      </c>
      <c r="AW27" s="350" t="str">
        <f t="shared" si="4"/>
        <v/>
      </c>
      <c r="AX27" s="351" t="str">
        <f t="shared" si="5"/>
        <v/>
      </c>
      <c r="AY27" s="352">
        <f t="shared" si="6"/>
        <v>0</v>
      </c>
      <c r="AZ27" s="352">
        <f t="shared" si="7"/>
        <v>0</v>
      </c>
    </row>
    <row r="28" spans="2:52" ht="35.1" customHeight="1">
      <c r="B28" s="644"/>
      <c r="C28" s="227" t="s">
        <v>243</v>
      </c>
      <c r="D28" s="116" t="str">
        <f t="shared" si="22"/>
        <v/>
      </c>
      <c r="E28" s="152">
        <f t="shared" si="15"/>
        <v>0</v>
      </c>
      <c r="F28" s="125">
        <v>2200000</v>
      </c>
      <c r="G28" s="125">
        <f t="shared" si="16"/>
        <v>0</v>
      </c>
      <c r="H28" s="235" t="str">
        <f t="shared" si="17"/>
        <v/>
      </c>
      <c r="I28" s="149">
        <f>分娩監視装置!D10</f>
        <v>0</v>
      </c>
      <c r="J28" s="299">
        <f t="shared" si="18"/>
        <v>0</v>
      </c>
      <c r="K28" s="125">
        <f>分娩監視装置!K10</f>
        <v>0</v>
      </c>
      <c r="L28" s="117" t="s">
        <v>78</v>
      </c>
      <c r="M28" s="305"/>
      <c r="N28" s="118" t="s">
        <v>80</v>
      </c>
      <c r="O28" s="305"/>
      <c r="P28" s="118" t="s">
        <v>82</v>
      </c>
      <c r="Q28" s="305"/>
      <c r="R28" s="119" t="s">
        <v>84</v>
      </c>
      <c r="AA28" s="25" t="b">
        <f>IF(AT28="申請しない場合は黄色セル入力不要です。","○",IF(AT28="【要修正】型番、数量、単価（税込）の一部欄のみ入力されています。"&amp;CHAR(10)&amp;"申請する場合は黄色セルを全て入力してください。","×",IF(AT28="必要情報が全て入力されました。","○")))</f>
        <v>0</v>
      </c>
      <c r="AF28" s="76" t="str">
        <f t="shared" si="19"/>
        <v/>
      </c>
      <c r="AG28" s="77" t="str">
        <f t="shared" si="20"/>
        <v/>
      </c>
      <c r="AJ28" s="212" t="str">
        <f>IF(AQ28="×","パーテーション（３行目）の入力項目/","")</f>
        <v/>
      </c>
      <c r="AK28" s="78"/>
      <c r="AP28" s="25" t="s">
        <v>69</v>
      </c>
      <c r="AQ28" s="50" t="str">
        <f t="shared" si="23"/>
        <v>○</v>
      </c>
      <c r="AR28" s="50" t="str">
        <f>分娩監視装置!AD7</f>
        <v>○</v>
      </c>
      <c r="AS28" s="50" t="str">
        <f t="shared" si="24"/>
        <v>○</v>
      </c>
      <c r="AT28" s="80" t="str">
        <f t="shared" si="25"/>
        <v>申請しない場合は入力不要です。</v>
      </c>
      <c r="AU28" s="38" t="str">
        <f t="shared" si="26"/>
        <v>【分娩監視装置】</v>
      </c>
      <c r="AV28" s="40" t="str">
        <f t="shared" si="21"/>
        <v/>
      </c>
      <c r="AW28" s="350" t="str">
        <f t="shared" si="4"/>
        <v/>
      </c>
      <c r="AX28" s="351" t="str">
        <f t="shared" si="5"/>
        <v/>
      </c>
      <c r="AY28" s="352">
        <f t="shared" si="6"/>
        <v>0</v>
      </c>
      <c r="AZ28" s="352">
        <f t="shared" si="7"/>
        <v>0</v>
      </c>
    </row>
    <row r="29" spans="2:52" ht="35.1" customHeight="1" thickBot="1">
      <c r="B29" s="645"/>
      <c r="C29" s="183" t="s">
        <v>185</v>
      </c>
      <c r="D29" s="184" t="str">
        <f t="shared" si="22"/>
        <v/>
      </c>
      <c r="E29" s="185">
        <f t="shared" si="15"/>
        <v>0</v>
      </c>
      <c r="F29" s="186">
        <v>1100000</v>
      </c>
      <c r="G29" s="186">
        <f t="shared" si="16"/>
        <v>0</v>
      </c>
      <c r="H29" s="187" t="str">
        <f t="shared" si="17"/>
        <v/>
      </c>
      <c r="I29" s="303">
        <f>'新生児モニタ '!D10</f>
        <v>0</v>
      </c>
      <c r="J29" s="299">
        <f t="shared" si="18"/>
        <v>0</v>
      </c>
      <c r="K29" s="186">
        <f>'新生児モニタ '!K10</f>
        <v>0</v>
      </c>
      <c r="L29" s="188" t="s">
        <v>78</v>
      </c>
      <c r="M29" s="307"/>
      <c r="N29" s="189" t="s">
        <v>80</v>
      </c>
      <c r="O29" s="307"/>
      <c r="P29" s="189" t="s">
        <v>82</v>
      </c>
      <c r="Q29" s="307"/>
      <c r="R29" s="190" t="s">
        <v>84</v>
      </c>
      <c r="AA29" s="25" t="b">
        <f>IF(AT29="規格、数量、単価の入力に不足有","×",IF(AT29="簡易診療室の補助申請をしない場合は可","○",IF(AT29="必要情報が全て入力されました。","○")))</f>
        <v>0</v>
      </c>
      <c r="AF29" s="76" t="str">
        <f t="shared" si="19"/>
        <v/>
      </c>
      <c r="AG29" s="77" t="str">
        <f t="shared" si="20"/>
        <v/>
      </c>
      <c r="AJ29" s="212" t="str">
        <f xml:space="preserve">
IF(AND(AQ29="◎",AR29="×"),"様式１－２に事業完了予定の日付が入力されているが、「簡易診療室明細」が入力不十分です。/",
IF(AND(AQ29="◎",AR29="○"),"様式１－２に事業完了予定の日付が入力されているが、「簡易診療室明細」が未入力。/",
IF(AND(AQ29="◎",AR29="◎"),"",
IF(AND(AQ29="○",AR29="×"),"様式１－２に事業完了予定の日付が未入力、「簡易診療室明細」が入力不十分。/",
IF(AND(AQ29="○",AR29="○"),"",
IF(AND(AQ29="○",AR29="◎"),"【要修正】「簡易診療室明細」が入力されているが、本シートに事業完了予定の日付が未入力。/",
IF(AND(AQ29="×",AR29="×"),"様式１－２及び「簡易診療室明細」の入力がいずれも不十分。/",
IF(AND(AQ29="×",AR29="○"),"様式１－２に事業完了予定の日付が入力不十分、「簡易診療室明細」が未入力。/",
IF(AND(AQ29="×",AR29="◎"),"【要修正】「簡易診療室明細」が入力されているが、本シートに事業完了予定の日付が入力不十分。/")))))))))</f>
        <v/>
      </c>
      <c r="AK29" s="78"/>
      <c r="AP29" s="25" t="s">
        <v>69</v>
      </c>
      <c r="AQ29" s="50" t="str">
        <f t="shared" si="23"/>
        <v>○</v>
      </c>
      <c r="AR29" s="50" t="str">
        <f>'新生児モニタ '!AD7</f>
        <v>○</v>
      </c>
      <c r="AS29" s="50" t="str">
        <f t="shared" si="24"/>
        <v>○</v>
      </c>
      <c r="AT29" s="241" t="str">
        <f t="shared" si="25"/>
        <v>申請しない場合は入力不要です。</v>
      </c>
      <c r="AU29" s="38" t="str">
        <f t="shared" si="26"/>
        <v>【新生児モニタ】</v>
      </c>
      <c r="AV29" s="40" t="str">
        <f t="shared" si="21"/>
        <v/>
      </c>
      <c r="AW29" s="350" t="str">
        <f t="shared" si="4"/>
        <v/>
      </c>
      <c r="AX29" s="351" t="str">
        <f t="shared" si="5"/>
        <v/>
      </c>
      <c r="AY29" s="352">
        <f t="shared" si="6"/>
        <v>0</v>
      </c>
      <c r="AZ29" s="352">
        <f t="shared" si="7"/>
        <v>0</v>
      </c>
    </row>
    <row r="30" spans="2:52" ht="35.1" customHeight="1" thickTop="1" thickBot="1">
      <c r="B30" s="112" t="s">
        <v>62</v>
      </c>
      <c r="C30" s="111"/>
      <c r="D30" s="107"/>
      <c r="E30" s="143"/>
      <c r="F30" s="144"/>
      <c r="G30" s="145">
        <f>SUM(G23:G29)</f>
        <v>0</v>
      </c>
      <c r="H30" s="146"/>
      <c r="I30" s="143"/>
      <c r="J30" s="147"/>
      <c r="K30" s="148">
        <f>SUM(K15:K26)</f>
        <v>0</v>
      </c>
      <c r="L30" s="646"/>
      <c r="M30" s="647"/>
      <c r="N30" s="647"/>
      <c r="O30" s="647"/>
      <c r="P30" s="647"/>
      <c r="Q30" s="647"/>
      <c r="R30" s="648"/>
      <c r="AS30" s="40">
        <f>COUNTIF(AS7:AS18,"○")</f>
        <v>12</v>
      </c>
    </row>
    <row r="31" spans="2:52" ht="35.1" customHeight="1" thickBot="1">
      <c r="B31" s="113"/>
      <c r="C31" s="114"/>
      <c r="D31" s="114"/>
      <c r="E31" s="150"/>
      <c r="F31" s="150"/>
      <c r="G31" s="151">
        <f>SUM(G30,G22)</f>
        <v>0</v>
      </c>
      <c r="H31" s="150"/>
      <c r="I31" s="150"/>
      <c r="J31" s="150"/>
      <c r="K31" s="151">
        <f>SUM(K30,K22)</f>
        <v>0</v>
      </c>
      <c r="L31" s="114"/>
      <c r="M31" s="114"/>
      <c r="N31" s="114"/>
      <c r="O31" s="114"/>
      <c r="P31" s="114"/>
      <c r="Q31" s="114"/>
      <c r="R31" s="115"/>
    </row>
    <row r="32" spans="2:52" ht="38.1" customHeight="1"/>
    <row r="33" ht="38.1" customHeight="1"/>
    <row r="34" ht="38.1" customHeight="1"/>
  </sheetData>
  <sheetProtection algorithmName="SHA-512" hashValue="v5NqsgAlfIGSmSXUmXLRMHvx7X41e3l0+vYVHo3ekJEi1FqM0MfCJ3QNXEtnrwZ4z/casw63TOJgtH7ar+zJ+g==" saltValue="g24g8oxU3xlrIaIjozBx8Q==" spinCount="100000" sheet="1" formatCells="0" formatColumns="0" formatRows="0"/>
  <mergeCells count="29">
    <mergeCell ref="AQ4:AQ5"/>
    <mergeCell ref="AR4:AR5"/>
    <mergeCell ref="AT4:AT5"/>
    <mergeCell ref="AQ2:AR3"/>
    <mergeCell ref="AS2:AS3"/>
    <mergeCell ref="AT2:AT3"/>
    <mergeCell ref="AS4:AS5"/>
    <mergeCell ref="AJ22:AL22"/>
    <mergeCell ref="C11:C14"/>
    <mergeCell ref="H4:K4"/>
    <mergeCell ref="E4:G4"/>
    <mergeCell ref="C4:C5"/>
    <mergeCell ref="D4:D5"/>
    <mergeCell ref="L4:R4"/>
    <mergeCell ref="L5:N5"/>
    <mergeCell ref="O5:P5"/>
    <mergeCell ref="Q5:R5"/>
    <mergeCell ref="AF4:AF5"/>
    <mergeCell ref="AG4:AG5"/>
    <mergeCell ref="P1:R1"/>
    <mergeCell ref="B23:B29"/>
    <mergeCell ref="L30:R30"/>
    <mergeCell ref="B2:R2"/>
    <mergeCell ref="C15:C17"/>
    <mergeCell ref="L22:R22"/>
    <mergeCell ref="C19:C21"/>
    <mergeCell ref="B4:B5"/>
    <mergeCell ref="B19:B21"/>
    <mergeCell ref="B7:B18"/>
  </mergeCells>
  <phoneticPr fontId="1"/>
  <conditionalFormatting sqref="E8 E10 E15:E17">
    <cfRule type="expression" dxfId="137" priority="69">
      <formula>E8=""</formula>
    </cfRule>
  </conditionalFormatting>
  <conditionalFormatting sqref="E14">
    <cfRule type="expression" dxfId="136" priority="47">
      <formula>E14=""</formula>
    </cfRule>
  </conditionalFormatting>
  <conditionalFormatting sqref="E11">
    <cfRule type="expression" dxfId="135" priority="50">
      <formula>E11=""</formula>
    </cfRule>
  </conditionalFormatting>
  <conditionalFormatting sqref="E12">
    <cfRule type="expression" dxfId="134" priority="49">
      <formula>E12=""</formula>
    </cfRule>
  </conditionalFormatting>
  <conditionalFormatting sqref="E13">
    <cfRule type="expression" dxfId="133" priority="48">
      <formula>E13=""</formula>
    </cfRule>
  </conditionalFormatting>
  <conditionalFormatting sqref="AT7:AT18 AT23:AT29">
    <cfRule type="containsText" dxfId="132" priority="27" operator="containsText" text="【要修正】">
      <formula>NOT(ISERROR(SEARCH("【要修正】",AT7)))</formula>
    </cfRule>
    <cfRule type="cellIs" dxfId="131" priority="32" operator="equal">
      <formula>"型番、数量、単価（税込）の一部欄のみ入力されています。申請する場合は黄色セルを全て入力してください。"</formula>
    </cfRule>
  </conditionalFormatting>
  <conditionalFormatting sqref="AT7:AT18 AT23:AT29">
    <cfRule type="containsText" dxfId="130" priority="28" operator="containsText" text="一部欄">
      <formula>NOT(ISERROR(SEARCH("一部欄",AT7)))</formula>
    </cfRule>
    <cfRule type="cellIs" dxfId="129" priority="29" operator="equal">
      <formula>"型番、数量、単価（税込）の一部欄のみ入力されています。申請する場合は黄色セルを全て入力してください。"</formula>
    </cfRule>
    <cfRule type="cellIs" dxfId="128" priority="30" operator="equal">
      <formula>"型番、数量、単価（税込）の一部欄のみ入力されています。申請する場合は黄色セルを全て入力してください。"</formula>
    </cfRule>
  </conditionalFormatting>
  <conditionalFormatting sqref="AS2 AQ7:AS18 AQ23:AS29">
    <cfRule type="containsText" dxfId="127" priority="26" operator="containsText" text="×">
      <formula>NOT(ISERROR(SEARCH("×",AQ2)))</formula>
    </cfRule>
  </conditionalFormatting>
  <conditionalFormatting sqref="AT2:AT3">
    <cfRule type="containsText" dxfId="126" priority="25" operator="containsText" text="要修正">
      <formula>NOT(ISERROR(SEARCH("要修正",AT2)))</formula>
    </cfRule>
  </conditionalFormatting>
  <conditionalFormatting sqref="E28 E24:E26">
    <cfRule type="expression" dxfId="125" priority="22">
      <formula>E24=""</formula>
    </cfRule>
  </conditionalFormatting>
  <conditionalFormatting sqref="E27">
    <cfRule type="expression" dxfId="124" priority="21">
      <formula>E27=""</formula>
    </cfRule>
  </conditionalFormatting>
  <conditionalFormatting sqref="E29">
    <cfRule type="expression" dxfId="123" priority="10">
      <formula>E29=""</formula>
    </cfRule>
  </conditionalFormatting>
  <conditionalFormatting sqref="E21">
    <cfRule type="expression" dxfId="122" priority="7">
      <formula>E21=""</formula>
    </cfRule>
  </conditionalFormatting>
  <conditionalFormatting sqref="E19:E20">
    <cfRule type="expression" dxfId="121" priority="9">
      <formula>E19=""</formula>
    </cfRule>
  </conditionalFormatting>
  <conditionalFormatting sqref="AT19:AT21">
    <cfRule type="containsText" dxfId="120" priority="2" operator="containsText" text="【要修正】">
      <formula>NOT(ISERROR(SEARCH("【要修正】",AT19)))</formula>
    </cfRule>
    <cfRule type="cellIs" dxfId="119" priority="6" operator="equal">
      <formula>"型番、数量、単価（税込）の一部欄のみ入力されています。申請する場合は黄色セルを全て入力してください。"</formula>
    </cfRule>
  </conditionalFormatting>
  <conditionalFormatting sqref="AT19:AT21">
    <cfRule type="containsText" dxfId="118" priority="3" operator="containsText" text="一部欄">
      <formula>NOT(ISERROR(SEARCH("一部欄",AT19)))</formula>
    </cfRule>
    <cfRule type="cellIs" dxfId="117" priority="4" operator="equal">
      <formula>"型番、数量、単価（税込）の一部欄のみ入力されています。申請する場合は黄色セルを全て入力してください。"</formula>
    </cfRule>
    <cfRule type="cellIs" dxfId="116" priority="5" operator="equal">
      <formula>"型番、数量、単価（税込）の一部欄のみ入力されています。申請する場合は黄色セルを全て入力してください。"</formula>
    </cfRule>
  </conditionalFormatting>
  <conditionalFormatting sqref="AQ19:AS21">
    <cfRule type="containsText" dxfId="115" priority="1" operator="containsText" text="×">
      <formula>NOT(ISERROR(SEARCH("×",AQ19)))</formula>
    </cfRule>
  </conditionalFormatting>
  <dataValidations xWindow="1025" yWindow="578" count="9">
    <dataValidation allowBlank="1" showInputMessage="1" showErrorMessage="1" promptTitle="税込金額を入力" prompt="数量１あたりの税込金額を入力してください。" sqref="J7:J21 J23:J29"/>
    <dataValidation allowBlank="1" showInputMessage="1" showErrorMessage="1" promptTitle="数量を入力" prompt="購入（またはリース）の数量を入力してください。" sqref="I26:I29 I23:I24 I7:I21"/>
    <dataValidation allowBlank="1" showInputMessage="1" showErrorMessage="1" promptTitle="【１施設１台まで補助】型番を入力" prompt="購入する空気清浄機の型番を入力してください。" sqref="D7"/>
    <dataValidation allowBlank="1" showInputMessage="1" showErrorMessage="1" promptTitle="型番を入力" prompt="購入する備品の型番を入力してください。" sqref="D11"/>
    <dataValidation allowBlank="1" showInputMessage="1" showErrorMessage="1" promptTitle="型番を入力" prompt="購入する備品の型番を入力してください。（型番が２種以上の場合に入力。１種のみの場合は最上段の黄色セルに型番、数量等を入力するようにしてください。）" sqref="D12:D17 D19:D21"/>
    <dataValidation allowBlank="1" showInputMessage="1" showErrorMessage="1" promptTitle="自動で表示されます。" prompt="当該欄は、右の「対象経費支出予定額」の黄色の欄「数量」及び「単価」を入力すると自動計算で表示されます。" sqref="E7:G8 E26:G29 E23:G24 E25 E10:G21"/>
    <dataValidation allowBlank="1" showInputMessage="1" showErrorMessage="1" promptTitle="自動で表示されます。" prompt="当該欄は、左の黄色の欄「型番」に入力された名称が自動で表示されます。" sqref="H7:H8 H10:H21 H23:H24 H26:H29"/>
    <dataValidation allowBlank="1" showInputMessage="1" showErrorMessage="1" promptTitle="自動で表示されます。" prompt="当該欄は、左の黄色の欄「数量」及び「単価」を入力すると自動計算で表示されます。" sqref="K26:K29 K23:K24 K7:K21"/>
    <dataValidation allowBlank="1" showInputMessage="1" showErrorMessage="1" promptTitle="事業完了予定の年月日を入力" prompt="事業完了の予定日（それぞれの品目毎での最終納品の日付）を入力してください。_x000a_日付が未定の場合は令和４年９月30日と入力してください。" sqref="Q23:Q29 M23:M29 O23:O29 Q7:Q21 O7:O21 M7:M21"/>
  </dataValidations>
  <printOptions horizontalCentered="1"/>
  <pageMargins left="0.59055118110236227" right="0.39370078740157483" top="0.59055118110236227" bottom="0.39370078740157483" header="0.31496062992125984" footer="0.31496062992125984"/>
  <pageSetup paperSize="9" scale="47"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F44"/>
  <sheetViews>
    <sheetView showGridLines="0" view="pageBreakPreview" topLeftCell="A4" zoomScale="50" zoomScaleNormal="60" zoomScaleSheetLayoutView="50" workbookViewId="0">
      <selection activeCell="S20" sqref="S20"/>
    </sheetView>
  </sheetViews>
  <sheetFormatPr defaultRowHeight="18.75"/>
  <cols>
    <col min="1" max="1" width="12.5" style="3" customWidth="1"/>
    <col min="2" max="4" width="10.625" style="3" customWidth="1"/>
    <col min="5" max="7" width="12.625" style="3" customWidth="1"/>
    <col min="8" max="8" width="9" style="3"/>
    <col min="9" max="9" width="11.625" style="3" bestFit="1" customWidth="1"/>
    <col min="10" max="256" width="9" style="3"/>
    <col min="257" max="257" width="12.5" style="3" customWidth="1"/>
    <col min="258" max="260" width="10.625" style="3" customWidth="1"/>
    <col min="261" max="263" width="12.625" style="3" customWidth="1"/>
    <col min="264" max="264" width="9" style="3"/>
    <col min="265" max="265" width="11.625" style="3" bestFit="1" customWidth="1"/>
    <col min="266" max="512" width="9" style="3"/>
    <col min="513" max="513" width="12.5" style="3" customWidth="1"/>
    <col min="514" max="516" width="10.625" style="3" customWidth="1"/>
    <col min="517" max="519" width="12.625" style="3" customWidth="1"/>
    <col min="520" max="520" width="9" style="3"/>
    <col min="521" max="521" width="11.625" style="3" bestFit="1" customWidth="1"/>
    <col min="522" max="768" width="9" style="3"/>
    <col min="769" max="769" width="12.5" style="3" customWidth="1"/>
    <col min="770" max="772" width="10.625" style="3" customWidth="1"/>
    <col min="773" max="775" width="12.625" style="3" customWidth="1"/>
    <col min="776" max="776" width="9" style="3"/>
    <col min="777" max="777" width="11.625" style="3" bestFit="1" customWidth="1"/>
    <col min="778" max="1024" width="9" style="3"/>
    <col min="1025" max="1025" width="12.5" style="3" customWidth="1"/>
    <col min="1026" max="1028" width="10.625" style="3" customWidth="1"/>
    <col min="1029" max="1031" width="12.625" style="3" customWidth="1"/>
    <col min="1032" max="1032" width="9" style="3"/>
    <col min="1033" max="1033" width="11.625" style="3" bestFit="1" customWidth="1"/>
    <col min="1034" max="1280" width="9" style="3"/>
    <col min="1281" max="1281" width="12.5" style="3" customWidth="1"/>
    <col min="1282" max="1284" width="10.625" style="3" customWidth="1"/>
    <col min="1285" max="1287" width="12.625" style="3" customWidth="1"/>
    <col min="1288" max="1288" width="9" style="3"/>
    <col min="1289" max="1289" width="11.625" style="3" bestFit="1" customWidth="1"/>
    <col min="1290" max="1536" width="9" style="3"/>
    <col min="1537" max="1537" width="12.5" style="3" customWidth="1"/>
    <col min="1538" max="1540" width="10.625" style="3" customWidth="1"/>
    <col min="1541" max="1543" width="12.625" style="3" customWidth="1"/>
    <col min="1544" max="1544" width="9" style="3"/>
    <col min="1545" max="1545" width="11.625" style="3" bestFit="1" customWidth="1"/>
    <col min="1546" max="1792" width="9" style="3"/>
    <col min="1793" max="1793" width="12.5" style="3" customWidth="1"/>
    <col min="1794" max="1796" width="10.625" style="3" customWidth="1"/>
    <col min="1797" max="1799" width="12.625" style="3" customWidth="1"/>
    <col min="1800" max="1800" width="9" style="3"/>
    <col min="1801" max="1801" width="11.625" style="3" bestFit="1" customWidth="1"/>
    <col min="1802" max="2048" width="9" style="3"/>
    <col min="2049" max="2049" width="12.5" style="3" customWidth="1"/>
    <col min="2050" max="2052" width="10.625" style="3" customWidth="1"/>
    <col min="2053" max="2055" width="12.625" style="3" customWidth="1"/>
    <col min="2056" max="2056" width="9" style="3"/>
    <col min="2057" max="2057" width="11.625" style="3" bestFit="1" customWidth="1"/>
    <col min="2058" max="2304" width="9" style="3"/>
    <col min="2305" max="2305" width="12.5" style="3" customWidth="1"/>
    <col min="2306" max="2308" width="10.625" style="3" customWidth="1"/>
    <col min="2309" max="2311" width="12.625" style="3" customWidth="1"/>
    <col min="2312" max="2312" width="9" style="3"/>
    <col min="2313" max="2313" width="11.625" style="3" bestFit="1" customWidth="1"/>
    <col min="2314" max="2560" width="9" style="3"/>
    <col min="2561" max="2561" width="12.5" style="3" customWidth="1"/>
    <col min="2562" max="2564" width="10.625" style="3" customWidth="1"/>
    <col min="2565" max="2567" width="12.625" style="3" customWidth="1"/>
    <col min="2568" max="2568" width="9" style="3"/>
    <col min="2569" max="2569" width="11.625" style="3" bestFit="1" customWidth="1"/>
    <col min="2570" max="2816" width="9" style="3"/>
    <col min="2817" max="2817" width="12.5" style="3" customWidth="1"/>
    <col min="2818" max="2820" width="10.625" style="3" customWidth="1"/>
    <col min="2821" max="2823" width="12.625" style="3" customWidth="1"/>
    <col min="2824" max="2824" width="9" style="3"/>
    <col min="2825" max="2825" width="11.625" style="3" bestFit="1" customWidth="1"/>
    <col min="2826" max="3072" width="9" style="3"/>
    <col min="3073" max="3073" width="12.5" style="3" customWidth="1"/>
    <col min="3074" max="3076" width="10.625" style="3" customWidth="1"/>
    <col min="3077" max="3079" width="12.625" style="3" customWidth="1"/>
    <col min="3080" max="3080" width="9" style="3"/>
    <col min="3081" max="3081" width="11.625" style="3" bestFit="1" customWidth="1"/>
    <col min="3082" max="3328" width="9" style="3"/>
    <col min="3329" max="3329" width="12.5" style="3" customWidth="1"/>
    <col min="3330" max="3332" width="10.625" style="3" customWidth="1"/>
    <col min="3333" max="3335" width="12.625" style="3" customWidth="1"/>
    <col min="3336" max="3336" width="9" style="3"/>
    <col min="3337" max="3337" width="11.625" style="3" bestFit="1" customWidth="1"/>
    <col min="3338" max="3584" width="9" style="3"/>
    <col min="3585" max="3585" width="12.5" style="3" customWidth="1"/>
    <col min="3586" max="3588" width="10.625" style="3" customWidth="1"/>
    <col min="3589" max="3591" width="12.625" style="3" customWidth="1"/>
    <col min="3592" max="3592" width="9" style="3"/>
    <col min="3593" max="3593" width="11.625" style="3" bestFit="1" customWidth="1"/>
    <col min="3594" max="3840" width="9" style="3"/>
    <col min="3841" max="3841" width="12.5" style="3" customWidth="1"/>
    <col min="3842" max="3844" width="10.625" style="3" customWidth="1"/>
    <col min="3845" max="3847" width="12.625" style="3" customWidth="1"/>
    <col min="3848" max="3848" width="9" style="3"/>
    <col min="3849" max="3849" width="11.625" style="3" bestFit="1" customWidth="1"/>
    <col min="3850" max="4096" width="9" style="3"/>
    <col min="4097" max="4097" width="12.5" style="3" customWidth="1"/>
    <col min="4098" max="4100" width="10.625" style="3" customWidth="1"/>
    <col min="4101" max="4103" width="12.625" style="3" customWidth="1"/>
    <col min="4104" max="4104" width="9" style="3"/>
    <col min="4105" max="4105" width="11.625" style="3" bestFit="1" customWidth="1"/>
    <col min="4106" max="4352" width="9" style="3"/>
    <col min="4353" max="4353" width="12.5" style="3" customWidth="1"/>
    <col min="4354" max="4356" width="10.625" style="3" customWidth="1"/>
    <col min="4357" max="4359" width="12.625" style="3" customWidth="1"/>
    <col min="4360" max="4360" width="9" style="3"/>
    <col min="4361" max="4361" width="11.625" style="3" bestFit="1" customWidth="1"/>
    <col min="4362" max="4608" width="9" style="3"/>
    <col min="4609" max="4609" width="12.5" style="3" customWidth="1"/>
    <col min="4610" max="4612" width="10.625" style="3" customWidth="1"/>
    <col min="4613" max="4615" width="12.625" style="3" customWidth="1"/>
    <col min="4616" max="4616" width="9" style="3"/>
    <col min="4617" max="4617" width="11.625" style="3" bestFit="1" customWidth="1"/>
    <col min="4618" max="4864" width="9" style="3"/>
    <col min="4865" max="4865" width="12.5" style="3" customWidth="1"/>
    <col min="4866" max="4868" width="10.625" style="3" customWidth="1"/>
    <col min="4869" max="4871" width="12.625" style="3" customWidth="1"/>
    <col min="4872" max="4872" width="9" style="3"/>
    <col min="4873" max="4873" width="11.625" style="3" bestFit="1" customWidth="1"/>
    <col min="4874" max="5120" width="9" style="3"/>
    <col min="5121" max="5121" width="12.5" style="3" customWidth="1"/>
    <col min="5122" max="5124" width="10.625" style="3" customWidth="1"/>
    <col min="5125" max="5127" width="12.625" style="3" customWidth="1"/>
    <col min="5128" max="5128" width="9" style="3"/>
    <col min="5129" max="5129" width="11.625" style="3" bestFit="1" customWidth="1"/>
    <col min="5130" max="5376" width="9" style="3"/>
    <col min="5377" max="5377" width="12.5" style="3" customWidth="1"/>
    <col min="5378" max="5380" width="10.625" style="3" customWidth="1"/>
    <col min="5381" max="5383" width="12.625" style="3" customWidth="1"/>
    <col min="5384" max="5384" width="9" style="3"/>
    <col min="5385" max="5385" width="11.625" style="3" bestFit="1" customWidth="1"/>
    <col min="5386" max="5632" width="9" style="3"/>
    <col min="5633" max="5633" width="12.5" style="3" customWidth="1"/>
    <col min="5634" max="5636" width="10.625" style="3" customWidth="1"/>
    <col min="5637" max="5639" width="12.625" style="3" customWidth="1"/>
    <col min="5640" max="5640" width="9" style="3"/>
    <col min="5641" max="5641" width="11.625" style="3" bestFit="1" customWidth="1"/>
    <col min="5642" max="5888" width="9" style="3"/>
    <col min="5889" max="5889" width="12.5" style="3" customWidth="1"/>
    <col min="5890" max="5892" width="10.625" style="3" customWidth="1"/>
    <col min="5893" max="5895" width="12.625" style="3" customWidth="1"/>
    <col min="5896" max="5896" width="9" style="3"/>
    <col min="5897" max="5897" width="11.625" style="3" bestFit="1" customWidth="1"/>
    <col min="5898" max="6144" width="9" style="3"/>
    <col min="6145" max="6145" width="12.5" style="3" customWidth="1"/>
    <col min="6146" max="6148" width="10.625" style="3" customWidth="1"/>
    <col min="6149" max="6151" width="12.625" style="3" customWidth="1"/>
    <col min="6152" max="6152" width="9" style="3"/>
    <col min="6153" max="6153" width="11.625" style="3" bestFit="1" customWidth="1"/>
    <col min="6154" max="6400" width="9" style="3"/>
    <col min="6401" max="6401" width="12.5" style="3" customWidth="1"/>
    <col min="6402" max="6404" width="10.625" style="3" customWidth="1"/>
    <col min="6405" max="6407" width="12.625" style="3" customWidth="1"/>
    <col min="6408" max="6408" width="9" style="3"/>
    <col min="6409" max="6409" width="11.625" style="3" bestFit="1" customWidth="1"/>
    <col min="6410" max="6656" width="9" style="3"/>
    <col min="6657" max="6657" width="12.5" style="3" customWidth="1"/>
    <col min="6658" max="6660" width="10.625" style="3" customWidth="1"/>
    <col min="6661" max="6663" width="12.625" style="3" customWidth="1"/>
    <col min="6664" max="6664" width="9" style="3"/>
    <col min="6665" max="6665" width="11.625" style="3" bestFit="1" customWidth="1"/>
    <col min="6666" max="6912" width="9" style="3"/>
    <col min="6913" max="6913" width="12.5" style="3" customWidth="1"/>
    <col min="6914" max="6916" width="10.625" style="3" customWidth="1"/>
    <col min="6917" max="6919" width="12.625" style="3" customWidth="1"/>
    <col min="6920" max="6920" width="9" style="3"/>
    <col min="6921" max="6921" width="11.625" style="3" bestFit="1" customWidth="1"/>
    <col min="6922" max="7168" width="9" style="3"/>
    <col min="7169" max="7169" width="12.5" style="3" customWidth="1"/>
    <col min="7170" max="7172" width="10.625" style="3" customWidth="1"/>
    <col min="7173" max="7175" width="12.625" style="3" customWidth="1"/>
    <col min="7176" max="7176" width="9" style="3"/>
    <col min="7177" max="7177" width="11.625" style="3" bestFit="1" customWidth="1"/>
    <col min="7178" max="7424" width="9" style="3"/>
    <col min="7425" max="7425" width="12.5" style="3" customWidth="1"/>
    <col min="7426" max="7428" width="10.625" style="3" customWidth="1"/>
    <col min="7429" max="7431" width="12.625" style="3" customWidth="1"/>
    <col min="7432" max="7432" width="9" style="3"/>
    <col min="7433" max="7433" width="11.625" style="3" bestFit="1" customWidth="1"/>
    <col min="7434" max="7680" width="9" style="3"/>
    <col min="7681" max="7681" width="12.5" style="3" customWidth="1"/>
    <col min="7682" max="7684" width="10.625" style="3" customWidth="1"/>
    <col min="7685" max="7687" width="12.625" style="3" customWidth="1"/>
    <col min="7688" max="7688" width="9" style="3"/>
    <col min="7689" max="7689" width="11.625" style="3" bestFit="1" customWidth="1"/>
    <col min="7690" max="7936" width="9" style="3"/>
    <col min="7937" max="7937" width="12.5" style="3" customWidth="1"/>
    <col min="7938" max="7940" width="10.625" style="3" customWidth="1"/>
    <col min="7941" max="7943" width="12.625" style="3" customWidth="1"/>
    <col min="7944" max="7944" width="9" style="3"/>
    <col min="7945" max="7945" width="11.625" style="3" bestFit="1" customWidth="1"/>
    <col min="7946" max="8192" width="9" style="3"/>
    <col min="8193" max="8193" width="12.5" style="3" customWidth="1"/>
    <col min="8194" max="8196" width="10.625" style="3" customWidth="1"/>
    <col min="8197" max="8199" width="12.625" style="3" customWidth="1"/>
    <col min="8200" max="8200" width="9" style="3"/>
    <col min="8201" max="8201" width="11.625" style="3" bestFit="1" customWidth="1"/>
    <col min="8202" max="8448" width="9" style="3"/>
    <col min="8449" max="8449" width="12.5" style="3" customWidth="1"/>
    <col min="8450" max="8452" width="10.625" style="3" customWidth="1"/>
    <col min="8453" max="8455" width="12.625" style="3" customWidth="1"/>
    <col min="8456" max="8456" width="9" style="3"/>
    <col min="8457" max="8457" width="11.625" style="3" bestFit="1" customWidth="1"/>
    <col min="8458" max="8704" width="9" style="3"/>
    <col min="8705" max="8705" width="12.5" style="3" customWidth="1"/>
    <col min="8706" max="8708" width="10.625" style="3" customWidth="1"/>
    <col min="8709" max="8711" width="12.625" style="3" customWidth="1"/>
    <col min="8712" max="8712" width="9" style="3"/>
    <col min="8713" max="8713" width="11.625" style="3" bestFit="1" customWidth="1"/>
    <col min="8714" max="8960" width="9" style="3"/>
    <col min="8961" max="8961" width="12.5" style="3" customWidth="1"/>
    <col min="8962" max="8964" width="10.625" style="3" customWidth="1"/>
    <col min="8965" max="8967" width="12.625" style="3" customWidth="1"/>
    <col min="8968" max="8968" width="9" style="3"/>
    <col min="8969" max="8969" width="11.625" style="3" bestFit="1" customWidth="1"/>
    <col min="8970" max="9216" width="9" style="3"/>
    <col min="9217" max="9217" width="12.5" style="3" customWidth="1"/>
    <col min="9218" max="9220" width="10.625" style="3" customWidth="1"/>
    <col min="9221" max="9223" width="12.625" style="3" customWidth="1"/>
    <col min="9224" max="9224" width="9" style="3"/>
    <col min="9225" max="9225" width="11.625" style="3" bestFit="1" customWidth="1"/>
    <col min="9226" max="9472" width="9" style="3"/>
    <col min="9473" max="9473" width="12.5" style="3" customWidth="1"/>
    <col min="9474" max="9476" width="10.625" style="3" customWidth="1"/>
    <col min="9477" max="9479" width="12.625" style="3" customWidth="1"/>
    <col min="9480" max="9480" width="9" style="3"/>
    <col min="9481" max="9481" width="11.625" style="3" bestFit="1" customWidth="1"/>
    <col min="9482" max="9728" width="9" style="3"/>
    <col min="9729" max="9729" width="12.5" style="3" customWidth="1"/>
    <col min="9730" max="9732" width="10.625" style="3" customWidth="1"/>
    <col min="9733" max="9735" width="12.625" style="3" customWidth="1"/>
    <col min="9736" max="9736" width="9" style="3"/>
    <col min="9737" max="9737" width="11.625" style="3" bestFit="1" customWidth="1"/>
    <col min="9738" max="9984" width="9" style="3"/>
    <col min="9985" max="9985" width="12.5" style="3" customWidth="1"/>
    <col min="9986" max="9988" width="10.625" style="3" customWidth="1"/>
    <col min="9989" max="9991" width="12.625" style="3" customWidth="1"/>
    <col min="9992" max="9992" width="9" style="3"/>
    <col min="9993" max="9993" width="11.625" style="3" bestFit="1" customWidth="1"/>
    <col min="9994" max="10240" width="9" style="3"/>
    <col min="10241" max="10241" width="12.5" style="3" customWidth="1"/>
    <col min="10242" max="10244" width="10.625" style="3" customWidth="1"/>
    <col min="10245" max="10247" width="12.625" style="3" customWidth="1"/>
    <col min="10248" max="10248" width="9" style="3"/>
    <col min="10249" max="10249" width="11.625" style="3" bestFit="1" customWidth="1"/>
    <col min="10250" max="10496" width="9" style="3"/>
    <col min="10497" max="10497" width="12.5" style="3" customWidth="1"/>
    <col min="10498" max="10500" width="10.625" style="3" customWidth="1"/>
    <col min="10501" max="10503" width="12.625" style="3" customWidth="1"/>
    <col min="10504" max="10504" width="9" style="3"/>
    <col min="10505" max="10505" width="11.625" style="3" bestFit="1" customWidth="1"/>
    <col min="10506" max="10752" width="9" style="3"/>
    <col min="10753" max="10753" width="12.5" style="3" customWidth="1"/>
    <col min="10754" max="10756" width="10.625" style="3" customWidth="1"/>
    <col min="10757" max="10759" width="12.625" style="3" customWidth="1"/>
    <col min="10760" max="10760" width="9" style="3"/>
    <col min="10761" max="10761" width="11.625" style="3" bestFit="1" customWidth="1"/>
    <col min="10762" max="11008" width="9" style="3"/>
    <col min="11009" max="11009" width="12.5" style="3" customWidth="1"/>
    <col min="11010" max="11012" width="10.625" style="3" customWidth="1"/>
    <col min="11013" max="11015" width="12.625" style="3" customWidth="1"/>
    <col min="11016" max="11016" width="9" style="3"/>
    <col min="11017" max="11017" width="11.625" style="3" bestFit="1" customWidth="1"/>
    <col min="11018" max="11264" width="9" style="3"/>
    <col min="11265" max="11265" width="12.5" style="3" customWidth="1"/>
    <col min="11266" max="11268" width="10.625" style="3" customWidth="1"/>
    <col min="11269" max="11271" width="12.625" style="3" customWidth="1"/>
    <col min="11272" max="11272" width="9" style="3"/>
    <col min="11273" max="11273" width="11.625" style="3" bestFit="1" customWidth="1"/>
    <col min="11274" max="11520" width="9" style="3"/>
    <col min="11521" max="11521" width="12.5" style="3" customWidth="1"/>
    <col min="11522" max="11524" width="10.625" style="3" customWidth="1"/>
    <col min="11525" max="11527" width="12.625" style="3" customWidth="1"/>
    <col min="11528" max="11528" width="9" style="3"/>
    <col min="11529" max="11529" width="11.625" style="3" bestFit="1" customWidth="1"/>
    <col min="11530" max="11776" width="9" style="3"/>
    <col min="11777" max="11777" width="12.5" style="3" customWidth="1"/>
    <col min="11778" max="11780" width="10.625" style="3" customWidth="1"/>
    <col min="11781" max="11783" width="12.625" style="3" customWidth="1"/>
    <col min="11784" max="11784" width="9" style="3"/>
    <col min="11785" max="11785" width="11.625" style="3" bestFit="1" customWidth="1"/>
    <col min="11786" max="12032" width="9" style="3"/>
    <col min="12033" max="12033" width="12.5" style="3" customWidth="1"/>
    <col min="12034" max="12036" width="10.625" style="3" customWidth="1"/>
    <col min="12037" max="12039" width="12.625" style="3" customWidth="1"/>
    <col min="12040" max="12040" width="9" style="3"/>
    <col min="12041" max="12041" width="11.625" style="3" bestFit="1" customWidth="1"/>
    <col min="12042" max="12288" width="9" style="3"/>
    <col min="12289" max="12289" width="12.5" style="3" customWidth="1"/>
    <col min="12290" max="12292" width="10.625" style="3" customWidth="1"/>
    <col min="12293" max="12295" width="12.625" style="3" customWidth="1"/>
    <col min="12296" max="12296" width="9" style="3"/>
    <col min="12297" max="12297" width="11.625" style="3" bestFit="1" customWidth="1"/>
    <col min="12298" max="12544" width="9" style="3"/>
    <col min="12545" max="12545" width="12.5" style="3" customWidth="1"/>
    <col min="12546" max="12548" width="10.625" style="3" customWidth="1"/>
    <col min="12549" max="12551" width="12.625" style="3" customWidth="1"/>
    <col min="12552" max="12552" width="9" style="3"/>
    <col min="12553" max="12553" width="11.625" style="3" bestFit="1" customWidth="1"/>
    <col min="12554" max="12800" width="9" style="3"/>
    <col min="12801" max="12801" width="12.5" style="3" customWidth="1"/>
    <col min="12802" max="12804" width="10.625" style="3" customWidth="1"/>
    <col min="12805" max="12807" width="12.625" style="3" customWidth="1"/>
    <col min="12808" max="12808" width="9" style="3"/>
    <col min="12809" max="12809" width="11.625" style="3" bestFit="1" customWidth="1"/>
    <col min="12810" max="13056" width="9" style="3"/>
    <col min="13057" max="13057" width="12.5" style="3" customWidth="1"/>
    <col min="13058" max="13060" width="10.625" style="3" customWidth="1"/>
    <col min="13061" max="13063" width="12.625" style="3" customWidth="1"/>
    <col min="13064" max="13064" width="9" style="3"/>
    <col min="13065" max="13065" width="11.625" style="3" bestFit="1" customWidth="1"/>
    <col min="13066" max="13312" width="9" style="3"/>
    <col min="13313" max="13313" width="12.5" style="3" customWidth="1"/>
    <col min="13314" max="13316" width="10.625" style="3" customWidth="1"/>
    <col min="13317" max="13319" width="12.625" style="3" customWidth="1"/>
    <col min="13320" max="13320" width="9" style="3"/>
    <col min="13321" max="13321" width="11.625" style="3" bestFit="1" customWidth="1"/>
    <col min="13322" max="13568" width="9" style="3"/>
    <col min="13569" max="13569" width="12.5" style="3" customWidth="1"/>
    <col min="13570" max="13572" width="10.625" style="3" customWidth="1"/>
    <col min="13573" max="13575" width="12.625" style="3" customWidth="1"/>
    <col min="13576" max="13576" width="9" style="3"/>
    <col min="13577" max="13577" width="11.625" style="3" bestFit="1" customWidth="1"/>
    <col min="13578" max="13824" width="9" style="3"/>
    <col min="13825" max="13825" width="12.5" style="3" customWidth="1"/>
    <col min="13826" max="13828" width="10.625" style="3" customWidth="1"/>
    <col min="13829" max="13831" width="12.625" style="3" customWidth="1"/>
    <col min="13832" max="13832" width="9" style="3"/>
    <col min="13833" max="13833" width="11.625" style="3" bestFit="1" customWidth="1"/>
    <col min="13834" max="14080" width="9" style="3"/>
    <col min="14081" max="14081" width="12.5" style="3" customWidth="1"/>
    <col min="14082" max="14084" width="10.625" style="3" customWidth="1"/>
    <col min="14085" max="14087" width="12.625" style="3" customWidth="1"/>
    <col min="14088" max="14088" width="9" style="3"/>
    <col min="14089" max="14089" width="11.625" style="3" bestFit="1" customWidth="1"/>
    <col min="14090" max="14336" width="9" style="3"/>
    <col min="14337" max="14337" width="12.5" style="3" customWidth="1"/>
    <col min="14338" max="14340" width="10.625" style="3" customWidth="1"/>
    <col min="14341" max="14343" width="12.625" style="3" customWidth="1"/>
    <col min="14344" max="14344" width="9" style="3"/>
    <col min="14345" max="14345" width="11.625" style="3" bestFit="1" customWidth="1"/>
    <col min="14346" max="14592" width="9" style="3"/>
    <col min="14593" max="14593" width="12.5" style="3" customWidth="1"/>
    <col min="14594" max="14596" width="10.625" style="3" customWidth="1"/>
    <col min="14597" max="14599" width="12.625" style="3" customWidth="1"/>
    <col min="14600" max="14600" width="9" style="3"/>
    <col min="14601" max="14601" width="11.625" style="3" bestFit="1" customWidth="1"/>
    <col min="14602" max="14848" width="9" style="3"/>
    <col min="14849" max="14849" width="12.5" style="3" customWidth="1"/>
    <col min="14850" max="14852" width="10.625" style="3" customWidth="1"/>
    <col min="14853" max="14855" width="12.625" style="3" customWidth="1"/>
    <col min="14856" max="14856" width="9" style="3"/>
    <col min="14857" max="14857" width="11.625" style="3" bestFit="1" customWidth="1"/>
    <col min="14858" max="15104" width="9" style="3"/>
    <col min="15105" max="15105" width="12.5" style="3" customWidth="1"/>
    <col min="15106" max="15108" width="10.625" style="3" customWidth="1"/>
    <col min="15109" max="15111" width="12.625" style="3" customWidth="1"/>
    <col min="15112" max="15112" width="9" style="3"/>
    <col min="15113" max="15113" width="11.625" style="3" bestFit="1" customWidth="1"/>
    <col min="15114" max="15360" width="9" style="3"/>
    <col min="15361" max="15361" width="12.5" style="3" customWidth="1"/>
    <col min="15362" max="15364" width="10.625" style="3" customWidth="1"/>
    <col min="15365" max="15367" width="12.625" style="3" customWidth="1"/>
    <col min="15368" max="15368" width="9" style="3"/>
    <col min="15369" max="15369" width="11.625" style="3" bestFit="1" customWidth="1"/>
    <col min="15370" max="15616" width="9" style="3"/>
    <col min="15617" max="15617" width="12.5" style="3" customWidth="1"/>
    <col min="15618" max="15620" width="10.625" style="3" customWidth="1"/>
    <col min="15621" max="15623" width="12.625" style="3" customWidth="1"/>
    <col min="15624" max="15624" width="9" style="3"/>
    <col min="15625" max="15625" width="11.625" style="3" bestFit="1" customWidth="1"/>
    <col min="15626" max="15872" width="9" style="3"/>
    <col min="15873" max="15873" width="12.5" style="3" customWidth="1"/>
    <col min="15874" max="15876" width="10.625" style="3" customWidth="1"/>
    <col min="15877" max="15879" width="12.625" style="3" customWidth="1"/>
    <col min="15880" max="15880" width="9" style="3"/>
    <col min="15881" max="15881" width="11.625" style="3" bestFit="1" customWidth="1"/>
    <col min="15882" max="16128" width="9" style="3"/>
    <col min="16129" max="16129" width="12.5" style="3" customWidth="1"/>
    <col min="16130" max="16132" width="10.625" style="3" customWidth="1"/>
    <col min="16133" max="16135" width="12.625" style="3" customWidth="1"/>
    <col min="16136" max="16136" width="9" style="3"/>
    <col min="16137" max="16137" width="11.625" style="3" bestFit="1" customWidth="1"/>
    <col min="16138" max="16384" width="9" style="3"/>
  </cols>
  <sheetData>
    <row r="1" spans="1:32" ht="21.6" customHeight="1">
      <c r="A1" s="3" t="str">
        <f xml:space="preserve">
IF(表紙!V8="交付申請","様式１－３",
IF(表紙!V8="変更申請","様式１－３",
IF(表紙!V8="実績報告","様式３－３")))</f>
        <v>様式１－３</v>
      </c>
      <c r="G1" s="388" t="str">
        <f>IF(はじめに入力してください!L20="","",はじめに入力してください!AE20)</f>
        <v/>
      </c>
    </row>
    <row r="2" spans="1:32" ht="35.1" customHeight="1">
      <c r="A2" s="689" t="str">
        <f xml:space="preserve">
IF(表紙!V8="交付申請","令和４年度歳入歳出予算書抄本",
IF(表紙!V8="変更申請","令和４年度歳入歳出予算書抄本",
IF(表紙!V8="実績報告","令和４年度歳入歳出決算書（見込書）抄本")))</f>
        <v>令和４年度歳入歳出予算書抄本</v>
      </c>
      <c r="B2" s="689"/>
      <c r="C2" s="689"/>
      <c r="D2" s="689"/>
      <c r="E2" s="689"/>
      <c r="F2" s="689"/>
      <c r="G2" s="689"/>
    </row>
    <row r="3" spans="1:32" ht="15" customHeight="1">
      <c r="A3" s="3" t="s">
        <v>25</v>
      </c>
    </row>
    <row r="4" spans="1:32" ht="15" customHeight="1">
      <c r="A4" s="686" t="s">
        <v>26</v>
      </c>
      <c r="B4" s="686" t="s">
        <v>27</v>
      </c>
      <c r="C4" s="686" t="s">
        <v>28</v>
      </c>
      <c r="D4" s="686" t="s">
        <v>29</v>
      </c>
      <c r="E4" s="686" t="s">
        <v>30</v>
      </c>
      <c r="F4" s="686"/>
      <c r="G4" s="686" t="s">
        <v>31</v>
      </c>
      <c r="X4" s="691" t="s">
        <v>615</v>
      </c>
      <c r="Y4" s="690" t="s">
        <v>26</v>
      </c>
      <c r="Z4" s="690" t="s">
        <v>27</v>
      </c>
      <c r="AA4" s="690" t="s">
        <v>28</v>
      </c>
      <c r="AB4" s="690" t="s">
        <v>29</v>
      </c>
      <c r="AC4" s="690" t="s">
        <v>30</v>
      </c>
      <c r="AD4" s="690"/>
    </row>
    <row r="5" spans="1:32" ht="15" customHeight="1">
      <c r="A5" s="686"/>
      <c r="B5" s="686"/>
      <c r="C5" s="686"/>
      <c r="D5" s="686"/>
      <c r="E5" s="229" t="s">
        <v>32</v>
      </c>
      <c r="F5" s="229" t="s">
        <v>33</v>
      </c>
      <c r="G5" s="686"/>
      <c r="X5" s="415"/>
      <c r="Y5" s="692"/>
      <c r="Z5" s="692"/>
      <c r="AA5" s="692"/>
      <c r="AB5" s="692"/>
      <c r="AC5" s="242" t="s">
        <v>32</v>
      </c>
      <c r="AD5" s="242" t="s">
        <v>33</v>
      </c>
    </row>
    <row r="6" spans="1:32" ht="15" customHeight="1">
      <c r="A6" s="685"/>
      <c r="B6" s="685"/>
      <c r="C6" s="685"/>
      <c r="D6" s="4" t="s">
        <v>34</v>
      </c>
      <c r="E6" s="685"/>
      <c r="F6" s="4" t="s">
        <v>34</v>
      </c>
      <c r="G6" s="685"/>
      <c r="X6" s="690" t="s">
        <v>616</v>
      </c>
      <c r="Y6" s="690" t="str">
        <f>IF(COUNTA(A6)=1,"○","×")</f>
        <v>×</v>
      </c>
      <c r="Z6" s="690" t="str">
        <f>IF(COUNTA(B6)=1,"○","×")</f>
        <v>×</v>
      </c>
      <c r="AA6" s="690" t="str">
        <f>IF(COUNTA(C6)=1,"○","×")</f>
        <v>×</v>
      </c>
      <c r="AB6" s="690" t="str">
        <f>IF(COUNTA(D7)=1,"○","×")</f>
        <v>×</v>
      </c>
      <c r="AC6" s="690" t="str">
        <f>IF(COUNTA(E6)=1,"○","×")</f>
        <v>×</v>
      </c>
      <c r="AD6" s="690" t="str">
        <f>IF(COUNTA(G6)=1,"○","×")</f>
        <v>×</v>
      </c>
      <c r="AF6" s="691" t="str">
        <f>IF(COUNTIF(Y6:AD9,"○")=12,"○","×")</f>
        <v>×</v>
      </c>
    </row>
    <row r="7" spans="1:32" ht="15" customHeight="1">
      <c r="A7" s="683"/>
      <c r="B7" s="683"/>
      <c r="C7" s="683"/>
      <c r="D7" s="682"/>
      <c r="E7" s="683"/>
      <c r="F7" s="682"/>
      <c r="G7" s="683"/>
      <c r="X7" s="411"/>
      <c r="Y7" s="411"/>
      <c r="Z7" s="411"/>
      <c r="AA7" s="411"/>
      <c r="AB7" s="411"/>
      <c r="AC7" s="411"/>
      <c r="AD7" s="411"/>
      <c r="AF7" s="693"/>
    </row>
    <row r="8" spans="1:32" ht="15" customHeight="1">
      <c r="A8" s="683"/>
      <c r="B8" s="683"/>
      <c r="C8" s="683"/>
      <c r="D8" s="683"/>
      <c r="E8" s="683"/>
      <c r="F8" s="683"/>
      <c r="G8" s="683"/>
      <c r="X8" s="690" t="s">
        <v>617</v>
      </c>
      <c r="Y8" s="690" t="str">
        <f>IF(COUNTA(A21)=1,"○","×")</f>
        <v>×</v>
      </c>
      <c r="Z8" s="690" t="str">
        <f>IF(COUNTA(B21)=1,"○","×")</f>
        <v>×</v>
      </c>
      <c r="AA8" s="690" t="str">
        <f>IF(COUNTA(C21)=1,"○","×")</f>
        <v>×</v>
      </c>
      <c r="AB8" s="690" t="str">
        <f>IF(COUNTA(D22)=1,"○","×")</f>
        <v>×</v>
      </c>
      <c r="AC8" s="690" t="str">
        <f>IF(COUNTA(F22)=1,"○","×")</f>
        <v>×</v>
      </c>
      <c r="AD8" s="690" t="str">
        <f>IF(COUNTA(G21)=1,"○","×")</f>
        <v>×</v>
      </c>
      <c r="AF8" s="693"/>
    </row>
    <row r="9" spans="1:32" ht="15" customHeight="1">
      <c r="A9" s="683"/>
      <c r="B9" s="683"/>
      <c r="C9" s="683"/>
      <c r="D9" s="683"/>
      <c r="E9" s="683"/>
      <c r="F9" s="683"/>
      <c r="G9" s="683"/>
      <c r="X9" s="411"/>
      <c r="Y9" s="411"/>
      <c r="Z9" s="411"/>
      <c r="AA9" s="411"/>
      <c r="AB9" s="411"/>
      <c r="AC9" s="411"/>
      <c r="AD9" s="411"/>
      <c r="AF9" s="415"/>
    </row>
    <row r="10" spans="1:32" ht="15" customHeight="1">
      <c r="A10" s="683"/>
      <c r="B10" s="683"/>
      <c r="C10" s="683"/>
      <c r="D10" s="683"/>
      <c r="E10" s="683"/>
      <c r="F10" s="683"/>
      <c r="G10" s="683"/>
      <c r="X10" s="243"/>
      <c r="Y10" s="243"/>
      <c r="Z10" s="243"/>
      <c r="AA10" s="243"/>
      <c r="AB10" s="243"/>
      <c r="AC10" s="243"/>
      <c r="AD10" s="243"/>
    </row>
    <row r="11" spans="1:32" ht="15" customHeight="1">
      <c r="A11" s="683"/>
      <c r="B11" s="683"/>
      <c r="C11" s="683"/>
      <c r="D11" s="683"/>
      <c r="E11" s="683"/>
      <c r="F11" s="683"/>
      <c r="G11" s="683"/>
      <c r="X11" s="691" t="s">
        <v>122</v>
      </c>
      <c r="Y11" s="691" t="str">
        <f xml:space="preserve">
IF(AND(はじめに入力してください!O3="○"&amp;CHAR(10)&amp;"（公立）",AF6="○"),"○",
IF(AND(はじめに入力してください!O3="○"&amp;CHAR(10)&amp;"（公立）",AF6="×"),"×",
IF(AND(はじめに入力してください!O3&lt;&gt;"○"&amp;CHAR(10)&amp;"（公立）",AF6="○"),"○",
IF(AND(はじめに入力してください!O3&lt;&gt;"○"&amp;CHAR(10)&amp;"（公立）",AF6="×"),"○",))))</f>
        <v>○</v>
      </c>
      <c r="Z11" s="694" t="str">
        <f xml:space="preserve">
IF(AND(はじめに入力してください!O3="○"&amp;CHAR(10)&amp;"（公立）",AF6="○"),"適切に入力がされました。",
IF(AND(はじめに入力してください!O3="○"&amp;CHAR(10)&amp;"（公立）",AF6="×"),"【要修正】公立機関なので作成が必要です。",
IF(AND(はじめに入力してください!O3&lt;&gt;"○"&amp;CHAR(10)&amp;"（公立）",AF6="○"),"公立機関ではない場合、作成不要です。（入力されていても特段問題はありません。）",
IF(AND(はじめに入力してください!O3&lt;&gt;"○"&amp;CHAR(10)&amp;"（公立）",AF6="×"),"公立機関ではない場合、作成不要です。（入力されていても特段問題はありません。）",))))</f>
        <v>公立機関ではない場合、作成不要です。（入力されていても特段問題はありません。）</v>
      </c>
      <c r="AA11" s="695"/>
      <c r="AB11" s="695"/>
      <c r="AC11" s="695"/>
      <c r="AD11" s="695"/>
    </row>
    <row r="12" spans="1:32" ht="15" customHeight="1">
      <c r="A12" s="683"/>
      <c r="B12" s="683"/>
      <c r="C12" s="683"/>
      <c r="D12" s="683"/>
      <c r="E12" s="683"/>
      <c r="F12" s="683"/>
      <c r="G12" s="683"/>
      <c r="X12" s="693"/>
      <c r="Y12" s="693"/>
      <c r="Z12" s="493"/>
      <c r="AA12" s="493"/>
      <c r="AB12" s="493"/>
      <c r="AC12" s="493"/>
      <c r="AD12" s="493"/>
    </row>
    <row r="13" spans="1:32" ht="15" customHeight="1">
      <c r="A13" s="683"/>
      <c r="B13" s="683"/>
      <c r="C13" s="683"/>
      <c r="D13" s="683"/>
      <c r="E13" s="683"/>
      <c r="F13" s="683"/>
      <c r="G13" s="683"/>
      <c r="X13" s="415"/>
      <c r="Y13" s="415"/>
      <c r="Z13" s="494"/>
      <c r="AA13" s="494"/>
      <c r="AB13" s="494"/>
      <c r="AC13" s="494"/>
      <c r="AD13" s="494"/>
    </row>
    <row r="14" spans="1:32" ht="15" customHeight="1">
      <c r="A14" s="683"/>
      <c r="B14" s="683"/>
      <c r="C14" s="683"/>
      <c r="D14" s="683"/>
      <c r="E14" s="683"/>
      <c r="F14" s="683"/>
      <c r="G14" s="683"/>
    </row>
    <row r="15" spans="1:32" ht="15" customHeight="1">
      <c r="A15" s="683"/>
      <c r="B15" s="683"/>
      <c r="C15" s="683"/>
      <c r="D15" s="683"/>
      <c r="E15" s="683"/>
      <c r="F15" s="683"/>
      <c r="G15" s="683"/>
    </row>
    <row r="16" spans="1:32" ht="15" customHeight="1">
      <c r="A16" s="683"/>
      <c r="B16" s="683"/>
      <c r="C16" s="683"/>
      <c r="D16" s="683"/>
      <c r="E16" s="683"/>
      <c r="F16" s="683"/>
      <c r="G16" s="683"/>
    </row>
    <row r="17" spans="1:9" ht="15" customHeight="1">
      <c r="A17" s="684"/>
      <c r="B17" s="684"/>
      <c r="C17" s="684"/>
      <c r="D17" s="684"/>
      <c r="E17" s="684"/>
      <c r="F17" s="684"/>
      <c r="G17" s="684"/>
    </row>
    <row r="18" spans="1:9" ht="15" customHeight="1">
      <c r="A18" s="3" t="s">
        <v>35</v>
      </c>
    </row>
    <row r="19" spans="1:9" ht="15" customHeight="1">
      <c r="A19" s="686" t="s">
        <v>26</v>
      </c>
      <c r="B19" s="686" t="s">
        <v>27</v>
      </c>
      <c r="C19" s="686" t="s">
        <v>28</v>
      </c>
      <c r="D19" s="688" t="s">
        <v>29</v>
      </c>
      <c r="E19" s="686" t="s">
        <v>30</v>
      </c>
      <c r="F19" s="687"/>
      <c r="G19" s="686" t="s">
        <v>31</v>
      </c>
      <c r="I19" s="5"/>
    </row>
    <row r="20" spans="1:9" ht="15" customHeight="1">
      <c r="A20" s="686"/>
      <c r="B20" s="686"/>
      <c r="C20" s="686"/>
      <c r="D20" s="688"/>
      <c r="E20" s="229" t="s">
        <v>32</v>
      </c>
      <c r="F20" s="6" t="s">
        <v>33</v>
      </c>
      <c r="G20" s="686"/>
      <c r="I20" s="5"/>
    </row>
    <row r="21" spans="1:9" ht="15" customHeight="1">
      <c r="A21" s="685"/>
      <c r="B21" s="685"/>
      <c r="C21" s="685"/>
      <c r="D21" s="4" t="s">
        <v>34</v>
      </c>
      <c r="E21" s="685"/>
      <c r="F21" s="4" t="s">
        <v>34</v>
      </c>
      <c r="G21" s="685"/>
      <c r="I21" s="5"/>
    </row>
    <row r="22" spans="1:9" ht="15" customHeight="1">
      <c r="A22" s="683"/>
      <c r="B22" s="683"/>
      <c r="C22" s="683"/>
      <c r="D22" s="682"/>
      <c r="E22" s="683"/>
      <c r="F22" s="682"/>
      <c r="G22" s="683"/>
      <c r="I22" s="5"/>
    </row>
    <row r="23" spans="1:9" ht="15" customHeight="1">
      <c r="A23" s="683"/>
      <c r="B23" s="683"/>
      <c r="C23" s="683"/>
      <c r="D23" s="683"/>
      <c r="E23" s="683"/>
      <c r="F23" s="683"/>
      <c r="G23" s="683"/>
      <c r="I23" s="7"/>
    </row>
    <row r="24" spans="1:9" ht="15" customHeight="1">
      <c r="A24" s="683"/>
      <c r="B24" s="683"/>
      <c r="C24" s="683"/>
      <c r="D24" s="683"/>
      <c r="E24" s="683"/>
      <c r="F24" s="683"/>
      <c r="G24" s="683"/>
      <c r="I24" s="5"/>
    </row>
    <row r="25" spans="1:9" ht="15" customHeight="1">
      <c r="A25" s="683"/>
      <c r="B25" s="683"/>
      <c r="C25" s="683"/>
      <c r="D25" s="683"/>
      <c r="E25" s="683"/>
      <c r="F25" s="683"/>
      <c r="G25" s="683"/>
      <c r="I25" s="5"/>
    </row>
    <row r="26" spans="1:9" ht="15" customHeight="1">
      <c r="A26" s="683"/>
      <c r="B26" s="683"/>
      <c r="C26" s="683"/>
      <c r="D26" s="683"/>
      <c r="E26" s="683"/>
      <c r="F26" s="683"/>
      <c r="G26" s="683"/>
      <c r="I26" s="5"/>
    </row>
    <row r="27" spans="1:9" ht="15" customHeight="1">
      <c r="A27" s="683"/>
      <c r="B27" s="683"/>
      <c r="C27" s="683"/>
      <c r="D27" s="683"/>
      <c r="E27" s="683"/>
      <c r="F27" s="683"/>
      <c r="G27" s="683"/>
      <c r="I27" s="5"/>
    </row>
    <row r="28" spans="1:9" ht="15" customHeight="1">
      <c r="A28" s="683"/>
      <c r="B28" s="683"/>
      <c r="C28" s="683"/>
      <c r="D28" s="683"/>
      <c r="E28" s="683"/>
      <c r="F28" s="683"/>
      <c r="G28" s="683"/>
      <c r="I28" s="8"/>
    </row>
    <row r="29" spans="1:9" ht="15" customHeight="1">
      <c r="A29" s="683"/>
      <c r="B29" s="683"/>
      <c r="C29" s="683"/>
      <c r="D29" s="683"/>
      <c r="E29" s="683"/>
      <c r="F29" s="683"/>
      <c r="G29" s="683"/>
      <c r="I29" s="5"/>
    </row>
    <row r="30" spans="1:9" ht="15" customHeight="1">
      <c r="A30" s="683"/>
      <c r="B30" s="683"/>
      <c r="C30" s="683"/>
      <c r="D30" s="683"/>
      <c r="E30" s="683"/>
      <c r="F30" s="683"/>
      <c r="G30" s="683"/>
      <c r="I30" s="5"/>
    </row>
    <row r="31" spans="1:9" ht="15" customHeight="1">
      <c r="A31" s="683"/>
      <c r="B31" s="683"/>
      <c r="C31" s="683"/>
      <c r="D31" s="683"/>
      <c r="E31" s="683"/>
      <c r="F31" s="683"/>
      <c r="G31" s="683"/>
      <c r="I31" s="5"/>
    </row>
    <row r="32" spans="1:9" ht="15" customHeight="1">
      <c r="A32" s="684"/>
      <c r="B32" s="684"/>
      <c r="C32" s="684"/>
      <c r="D32" s="684"/>
      <c r="E32" s="684"/>
      <c r="F32" s="684"/>
      <c r="G32" s="684"/>
      <c r="I32" s="5"/>
    </row>
    <row r="33" spans="1:9" ht="15" customHeight="1">
      <c r="I33" s="7"/>
    </row>
    <row r="34" spans="1:9" ht="15" customHeight="1">
      <c r="A34" s="3" t="s">
        <v>36</v>
      </c>
      <c r="I34" s="5"/>
    </row>
    <row r="35" spans="1:9" ht="15" customHeight="1">
      <c r="I35" s="5"/>
    </row>
    <row r="36" spans="1:9" ht="15" customHeight="1">
      <c r="B36" s="382" t="str">
        <f>はじめに入力してください!C14</f>
        <v>提出日</v>
      </c>
      <c r="C36" s="382"/>
      <c r="D36" s="680" t="str">
        <f>IF(表紙!N5="令和　年　月　　日","",表紙!N5)</f>
        <v/>
      </c>
      <c r="E36" s="681"/>
      <c r="I36" s="5"/>
    </row>
    <row r="37" spans="1:9" ht="15" customHeight="1">
      <c r="I37" s="5"/>
    </row>
    <row r="38" spans="1:9" ht="15" customHeight="1">
      <c r="B38" s="383" t="s">
        <v>748</v>
      </c>
      <c r="C38" s="384"/>
      <c r="D38" s="3" t="str">
        <f>表紙!L9</f>
        <v/>
      </c>
      <c r="I38" s="5"/>
    </row>
    <row r="39" spans="1:9" ht="15" customHeight="1">
      <c r="D39" s="9"/>
      <c r="I39" s="10"/>
    </row>
    <row r="40" spans="1:9" ht="15" customHeight="1">
      <c r="B40" s="383" t="s">
        <v>747</v>
      </c>
      <c r="C40" s="384"/>
      <c r="D40" s="9" t="str">
        <f>はじめに入力してください!H7&amp;"　"&amp;はじめに入力してください!H8</f>
        <v>　</v>
      </c>
    </row>
    <row r="41" spans="1:9" ht="15" customHeight="1">
      <c r="I41" s="5"/>
    </row>
    <row r="42" spans="1:9" ht="15" customHeight="1">
      <c r="I42" s="5"/>
    </row>
    <row r="43" spans="1:9" ht="15" customHeight="1">
      <c r="A43" s="3" t="s">
        <v>40</v>
      </c>
      <c r="I43" s="5"/>
    </row>
    <row r="44" spans="1:9" ht="15" customHeight="1"/>
  </sheetData>
  <sheetProtection algorithmName="SHA-512" hashValue="YY2Okjh1v1IJCZsMgbvbHwutLVHY6hrcn20ifhC8QnNwjUMvMuBfLBcVhxPrqsK2jTe/JISaf6bl+WVA+DRMUw==" saltValue="48paPq4O5kNdky+xhNnDPQ==" spinCount="100000" sheet="1" objects="1" scenarios="1"/>
  <mergeCells count="52">
    <mergeCell ref="AF6:AF9"/>
    <mergeCell ref="AC8:AC9"/>
    <mergeCell ref="AD8:AD9"/>
    <mergeCell ref="X11:X13"/>
    <mergeCell ref="Y11:Y13"/>
    <mergeCell ref="Z11:AD13"/>
    <mergeCell ref="X8:X9"/>
    <mergeCell ref="Y8:Y9"/>
    <mergeCell ref="Z8:Z9"/>
    <mergeCell ref="AA8:AA9"/>
    <mergeCell ref="AB8:AB9"/>
    <mergeCell ref="AC4:AD4"/>
    <mergeCell ref="X6:X7"/>
    <mergeCell ref="Y6:Y7"/>
    <mergeCell ref="Z6:Z7"/>
    <mergeCell ref="AA6:AA7"/>
    <mergeCell ref="AB6:AB7"/>
    <mergeCell ref="AC6:AC7"/>
    <mergeCell ref="AD6:AD7"/>
    <mergeCell ref="X4:X5"/>
    <mergeCell ref="Y4:Y5"/>
    <mergeCell ref="Z4:Z5"/>
    <mergeCell ref="AA4:AA5"/>
    <mergeCell ref="AB4:AB5"/>
    <mergeCell ref="A2:G2"/>
    <mergeCell ref="A4:A5"/>
    <mergeCell ref="B4:B5"/>
    <mergeCell ref="C4:C5"/>
    <mergeCell ref="D4:D5"/>
    <mergeCell ref="E4:F4"/>
    <mergeCell ref="G4:G5"/>
    <mergeCell ref="A21:A32"/>
    <mergeCell ref="B21:B32"/>
    <mergeCell ref="C21:C32"/>
    <mergeCell ref="D22:D32"/>
    <mergeCell ref="C6:C17"/>
    <mergeCell ref="D7:D17"/>
    <mergeCell ref="A19:A20"/>
    <mergeCell ref="B19:B20"/>
    <mergeCell ref="C19:C20"/>
    <mergeCell ref="D19:D20"/>
    <mergeCell ref="B6:B17"/>
    <mergeCell ref="A6:A17"/>
    <mergeCell ref="D36:E36"/>
    <mergeCell ref="F7:F17"/>
    <mergeCell ref="G6:G17"/>
    <mergeCell ref="G21:G32"/>
    <mergeCell ref="F22:F32"/>
    <mergeCell ref="E21:E32"/>
    <mergeCell ref="G19:G20"/>
    <mergeCell ref="E19:F19"/>
    <mergeCell ref="E6:E17"/>
  </mergeCells>
  <phoneticPr fontId="1"/>
  <conditionalFormatting sqref="Y6:AD9">
    <cfRule type="containsText" dxfId="114" priority="3" operator="containsText" text="×">
      <formula>NOT(ISERROR(SEARCH("×",Y6)))</formula>
    </cfRule>
  </conditionalFormatting>
  <conditionalFormatting sqref="Y11:Y13">
    <cfRule type="containsText" dxfId="113" priority="2" operator="containsText" text="×">
      <formula>NOT(ISERROR(SEARCH("×",Y11)))</formula>
    </cfRule>
  </conditionalFormatting>
  <conditionalFormatting sqref="Z11:AD13">
    <cfRule type="containsText" dxfId="112" priority="1" operator="containsText" text="要修正">
      <formula>NOT(ISERROR(SEARCH("要修正",Z11)))</formula>
    </cfRule>
  </conditionalFormatting>
  <printOptions horizontalCentered="1"/>
  <pageMargins left="0.78740157480314965" right="0.78740157480314965" top="0.98425196850393704" bottom="0.98425196850393704" header="0.51181102362204722" footer="0.51181102362204722"/>
  <pageSetup paperSize="9" scale="95"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BW64"/>
  <sheetViews>
    <sheetView showGridLines="0" view="pageBreakPreview" zoomScale="60" zoomScaleNormal="100" workbookViewId="0">
      <pane xSplit="1" ySplit="14" topLeftCell="B15" activePane="bottomRight" state="frozen"/>
      <selection activeCell="N3" sqref="N3:Q3"/>
      <selection pane="topRight" activeCell="N3" sqref="N3:Q3"/>
      <selection pane="bottomLeft" activeCell="N3" sqref="N3:Q3"/>
      <selection pane="bottomRight" activeCell="K18" sqref="K18"/>
    </sheetView>
  </sheetViews>
  <sheetFormatPr defaultColWidth="9" defaultRowHeight="20.100000000000001" customHeight="1"/>
  <cols>
    <col min="1" max="1" width="5.625" style="26" customWidth="1"/>
    <col min="2" max="4" width="11.625" style="26" customWidth="1"/>
    <col min="5" max="5" width="26.5" style="27" customWidth="1"/>
    <col min="6" max="6" width="7.125" style="1" customWidth="1"/>
    <col min="7" max="7" width="11.625" style="1" customWidth="1"/>
    <col min="8" max="9" width="12.625" style="1" customWidth="1"/>
    <col min="10" max="10" width="12.625" style="11" customWidth="1"/>
    <col min="11" max="12" width="12.625" style="1" customWidth="1"/>
    <col min="13" max="13" width="2.625" style="1" customWidth="1"/>
    <col min="14" max="15" width="30.625" style="12" customWidth="1"/>
    <col min="16" max="16" width="40.625" style="12" customWidth="1"/>
    <col min="17" max="18" width="30.625" style="12" hidden="1" customWidth="1"/>
    <col min="19" max="22" width="12.625" style="12" hidden="1" customWidth="1"/>
    <col min="23" max="23" width="9" style="224"/>
    <col min="24" max="24" width="10.375" style="12" bestFit="1" customWidth="1"/>
    <col min="25" max="28" width="9" style="12"/>
    <col min="29" max="29" width="3.625" style="28" customWidth="1"/>
    <col min="30" max="30" width="9.75" style="12" bestFit="1" customWidth="1"/>
    <col min="31" max="31" width="85.625" style="33" customWidth="1"/>
    <col min="32" max="35" width="10.625" style="12" customWidth="1"/>
    <col min="36" max="36" width="60.625" style="12" customWidth="1"/>
    <col min="37" max="52" width="9" style="12"/>
    <col min="53" max="53" width="20.625" style="12" customWidth="1"/>
    <col min="54" max="55" width="9" style="12"/>
    <col min="56" max="56" width="35.625" style="12" customWidth="1"/>
    <col min="57" max="16384" width="9" style="12"/>
  </cols>
  <sheetData>
    <row r="1" spans="1:37" ht="9.9499999999999993" customHeight="1"/>
    <row r="2" spans="1:37" ht="30" customHeight="1">
      <c r="B2" s="37" t="s">
        <v>187</v>
      </c>
      <c r="C2" s="2"/>
      <c r="D2" s="2"/>
      <c r="F2" s="696" t="s">
        <v>208</v>
      </c>
      <c r="G2" s="698"/>
      <c r="H2" s="696" t="str">
        <f>表紙!L9&amp;IF(はじめに入力してください!L20="","","※"&amp;はじめに入力してください!AE20)</f>
        <v/>
      </c>
      <c r="I2" s="697"/>
      <c r="J2" s="697"/>
      <c r="K2" s="697"/>
      <c r="L2" s="698"/>
    </row>
    <row r="3" spans="1:37" ht="20.100000000000001" customHeight="1">
      <c r="B3" s="713" t="s">
        <v>229</v>
      </c>
      <c r="C3" s="714"/>
      <c r="D3" s="714"/>
      <c r="E3" s="714"/>
      <c r="F3" s="714"/>
      <c r="G3" s="714"/>
      <c r="H3" s="714"/>
      <c r="I3" s="714"/>
      <c r="J3" s="714"/>
      <c r="K3" s="714"/>
      <c r="L3" s="714"/>
      <c r="S3" s="13"/>
      <c r="T3" s="13"/>
      <c r="U3" s="13"/>
      <c r="V3" s="13"/>
    </row>
    <row r="4" spans="1:37" ht="20.100000000000001" customHeight="1">
      <c r="B4" s="714"/>
      <c r="C4" s="714"/>
      <c r="D4" s="714"/>
      <c r="E4" s="714"/>
      <c r="F4" s="714"/>
      <c r="G4" s="714"/>
      <c r="H4" s="714"/>
      <c r="I4" s="714"/>
      <c r="J4" s="714"/>
      <c r="K4" s="714"/>
      <c r="L4" s="714"/>
      <c r="S4" s="13"/>
      <c r="T4" s="13"/>
      <c r="U4" s="13"/>
      <c r="V4" s="13"/>
    </row>
    <row r="5" spans="1:37" ht="20.100000000000001" customHeight="1">
      <c r="B5" s="714"/>
      <c r="C5" s="714"/>
      <c r="D5" s="714"/>
      <c r="E5" s="714"/>
      <c r="F5" s="714"/>
      <c r="G5" s="714"/>
      <c r="H5" s="714"/>
      <c r="I5" s="714"/>
      <c r="J5" s="714"/>
      <c r="K5" s="714"/>
      <c r="L5" s="714"/>
      <c r="S5" s="13"/>
      <c r="T5" s="13"/>
      <c r="U5" s="13"/>
      <c r="V5" s="13"/>
      <c r="AD5" s="699" t="s">
        <v>122</v>
      </c>
      <c r="AE5" s="701" t="s">
        <v>121</v>
      </c>
    </row>
    <row r="6" spans="1:37" ht="20.100000000000001" customHeight="1">
      <c r="B6" s="714"/>
      <c r="C6" s="714"/>
      <c r="D6" s="714"/>
      <c r="E6" s="714"/>
      <c r="F6" s="714"/>
      <c r="G6" s="714"/>
      <c r="H6" s="714"/>
      <c r="I6" s="714"/>
      <c r="J6" s="714"/>
      <c r="K6" s="714"/>
      <c r="L6" s="714"/>
      <c r="S6" s="13"/>
      <c r="T6" s="13"/>
      <c r="U6" s="13"/>
      <c r="V6" s="13"/>
      <c r="AD6" s="700"/>
      <c r="AE6" s="700"/>
    </row>
    <row r="7" spans="1:37" ht="9.9499999999999993" customHeight="1">
      <c r="B7" s="16"/>
      <c r="C7" s="16"/>
      <c r="D7" s="16"/>
      <c r="E7" s="29"/>
      <c r="F7" s="30"/>
      <c r="G7" s="12"/>
      <c r="H7" s="12"/>
      <c r="I7" s="12"/>
      <c r="J7" s="224"/>
      <c r="K7" s="12"/>
      <c r="L7" s="12"/>
      <c r="S7" s="13"/>
      <c r="T7" s="13"/>
      <c r="U7" s="13"/>
      <c r="V7" s="13"/>
      <c r="AD7" s="702" t="str">
        <f xml:space="preserve">
IF(COUNTIF(AD15:AD64,"○")=50,"○",
IF(COUNTIF(AD15:AD64,"×")&gt;=1,"×",
IF(AND(COUNTIF(AD15:AD64,"×")=0,COUNTIF(AD15:AD64,"◎")&gt;=1),"◎")))</f>
        <v>○</v>
      </c>
      <c r="AE7" s="705" t="str">
        <f>IF(AD7="◎","適切に入力がされました。",
IF(AD7="○","補助申請をしない場合は入力不要です。",
IF(AD7="×","【要修正】以下の点につき御確認ください。"&amp;CHAR(10)&amp;AJ15&amp;AJ16&amp;AJ17&amp;AJ18&amp;AJ19&amp;AJ20&amp;AJ21&amp;AJ22&amp;AJ23&amp;AJ24&amp;AJ25&amp;AJ26&amp;AJ27&amp;AJ28&amp;AJ29&amp;AJ30&amp;AJ31&amp;AJ32&amp;AJ33&amp;AJ34&amp;AJ35&amp;AJ36&amp;AJ37&amp;AJ38&amp;AJ39&amp;AJ40&amp;AJ41&amp;AJ42&amp;AJ43&amp;AJ44&amp;AJ45&amp;AJ46&amp;AJ47&amp;AJ48&amp;AJ49&amp;AJ50&amp;AJ51&amp;AJ52&amp;AJ53&amp;AJ54&amp;AJ55&amp;AJ56&amp;AJ57&amp;AJ58&amp;AJ59&amp;AJ60&amp;AJ61&amp;AJ62&amp;AJ63&amp;AJ64
)))</f>
        <v>補助申請をしない場合は入力不要です。</v>
      </c>
    </row>
    <row r="8" spans="1:37" ht="20.100000000000001" customHeight="1">
      <c r="B8" s="561" t="s">
        <v>209</v>
      </c>
      <c r="C8" s="715"/>
      <c r="D8" s="46">
        <f>はじめに入力してください!K12</f>
        <v>0</v>
      </c>
      <c r="G8" s="12"/>
      <c r="H8" s="709" t="s">
        <v>613</v>
      </c>
      <c r="I8" s="710"/>
      <c r="J8" s="50" t="s">
        <v>614</v>
      </c>
      <c r="K8" s="709" t="s">
        <v>202</v>
      </c>
      <c r="L8" s="710"/>
      <c r="S8" s="13"/>
      <c r="T8" s="13"/>
      <c r="U8" s="13"/>
      <c r="V8" s="13"/>
      <c r="AD8" s="703"/>
      <c r="AE8" s="706"/>
      <c r="AJ8" s="48" t="s">
        <v>215</v>
      </c>
    </row>
    <row r="9" spans="1:37" ht="20.100000000000001" customHeight="1">
      <c r="B9" s="561" t="s">
        <v>210</v>
      </c>
      <c r="C9" s="715"/>
      <c r="D9" s="47">
        <f>はじめに入力してください!K13</f>
        <v>0</v>
      </c>
      <c r="G9" s="12"/>
      <c r="H9" s="711">
        <f>SUM(I15:I64)</f>
        <v>0</v>
      </c>
      <c r="I9" s="712"/>
      <c r="J9" s="716"/>
      <c r="K9" s="711">
        <f>IFERROR(ROUNDUP(SUM(K15:K64)*((H9-J9)/H9),0),0)</f>
        <v>0</v>
      </c>
      <c r="L9" s="712"/>
      <c r="S9" s="13"/>
      <c r="T9" s="13"/>
      <c r="U9" s="13"/>
      <c r="V9" s="13"/>
      <c r="AD9" s="703"/>
      <c r="AE9" s="706"/>
    </row>
    <row r="10" spans="1:37" ht="20.100000000000001" customHeight="1">
      <c r="B10" s="561" t="s">
        <v>211</v>
      </c>
      <c r="C10" s="715"/>
      <c r="D10" s="47">
        <f>はじめに入力してください!M13</f>
        <v>0</v>
      </c>
      <c r="G10" s="12"/>
      <c r="H10" s="712"/>
      <c r="I10" s="712"/>
      <c r="J10" s="717"/>
      <c r="K10" s="712"/>
      <c r="L10" s="712"/>
      <c r="S10" s="13"/>
      <c r="T10" s="13"/>
      <c r="U10" s="13"/>
      <c r="V10" s="13"/>
      <c r="AD10" s="703"/>
      <c r="AE10" s="706"/>
    </row>
    <row r="11" spans="1:37" ht="9.9499999999999993" customHeight="1">
      <c r="B11" s="16"/>
      <c r="C11" s="16"/>
      <c r="D11" s="16"/>
      <c r="E11" s="29"/>
      <c r="F11" s="30"/>
      <c r="G11" s="12"/>
      <c r="H11" s="12"/>
      <c r="I11" s="12"/>
      <c r="J11" s="224"/>
      <c r="K11" s="12"/>
      <c r="L11" s="12"/>
      <c r="S11" s="13"/>
      <c r="T11" s="13"/>
      <c r="U11" s="13"/>
      <c r="V11" s="13"/>
      <c r="AD11" s="703"/>
      <c r="AE11" s="703"/>
    </row>
    <row r="12" spans="1:37" ht="30" customHeight="1">
      <c r="A12" s="38"/>
      <c r="B12" s="707" t="s">
        <v>214</v>
      </c>
      <c r="C12" s="708"/>
      <c r="D12" s="708"/>
      <c r="E12" s="708"/>
      <c r="F12" s="708"/>
      <c r="G12" s="708"/>
      <c r="H12" s="708"/>
      <c r="I12" s="708"/>
      <c r="J12" s="708"/>
      <c r="K12" s="708"/>
      <c r="L12" s="708"/>
      <c r="S12" s="13"/>
      <c r="T12" s="13"/>
      <c r="U12" s="13"/>
      <c r="V12" s="13"/>
      <c r="AD12" s="704"/>
      <c r="AE12" s="704"/>
    </row>
    <row r="13" spans="1:37" ht="24.95" customHeight="1">
      <c r="A13" s="38"/>
      <c r="B13" s="720" t="s">
        <v>206</v>
      </c>
      <c r="C13" s="721"/>
      <c r="D13" s="722"/>
      <c r="E13" s="720" t="s">
        <v>204</v>
      </c>
      <c r="F13" s="722"/>
      <c r="G13" s="723" t="s">
        <v>207</v>
      </c>
      <c r="H13" s="721"/>
      <c r="I13" s="721"/>
      <c r="J13" s="722"/>
      <c r="K13" s="724" t="s">
        <v>202</v>
      </c>
      <c r="L13" s="724" t="s">
        <v>213</v>
      </c>
      <c r="S13" s="13"/>
      <c r="T13" s="13"/>
      <c r="U13" s="13"/>
      <c r="V13" s="13"/>
    </row>
    <row r="14" spans="1:37" ht="24.95" customHeight="1">
      <c r="A14" s="38"/>
      <c r="B14" s="42" t="s">
        <v>191</v>
      </c>
      <c r="C14" s="42" t="s">
        <v>199</v>
      </c>
      <c r="D14" s="42" t="s">
        <v>200</v>
      </c>
      <c r="E14" s="42" t="s">
        <v>55</v>
      </c>
      <c r="F14" s="42" t="s">
        <v>22</v>
      </c>
      <c r="G14" s="42" t="s">
        <v>71</v>
      </c>
      <c r="H14" s="42" t="s">
        <v>72</v>
      </c>
      <c r="I14" s="42" t="s">
        <v>73</v>
      </c>
      <c r="J14" s="42" t="s">
        <v>201</v>
      </c>
      <c r="K14" s="725"/>
      <c r="L14" s="725"/>
      <c r="AD14" s="31" t="s">
        <v>64</v>
      </c>
      <c r="AE14" s="34" t="s">
        <v>74</v>
      </c>
      <c r="AF14" s="32" t="s">
        <v>203</v>
      </c>
      <c r="AG14" s="231" t="s">
        <v>205</v>
      </c>
      <c r="AH14" s="231" t="s">
        <v>91</v>
      </c>
      <c r="AI14" s="231" t="s">
        <v>635</v>
      </c>
      <c r="AJ14" s="14" t="s">
        <v>121</v>
      </c>
      <c r="AK14" s="14" t="str">
        <f>AJ15&amp;AJ16&amp;AJ17&amp;AJ18&amp;AJ19&amp;AJ20&amp;AJ21&amp;AJ22&amp;AJ23&amp;AJ24&amp;AJ25&amp;AJ26&amp;AJ27&amp;AJ28&amp;AJ29&amp;AJ30&amp;AJ31&amp;AJ32&amp;AJ33&amp;AJ34&amp;AJ35&amp;AJ36&amp;AJ37&amp;AJ38&amp;AJ39&amp;AJ40&amp;AJ41&amp;AJ42&amp;AJ43&amp;AJ44&amp;AJ45&amp;AJ46&amp;AJ47&amp;AJ48&amp;AJ49&amp;AJ50&amp;AJ51&amp;AJ52&amp;AJ53&amp;AJ54&amp;AJ55&amp;AJ56&amp;AJ57&amp;AJ58&amp;AJ59&amp;AJ60&amp;AJ61&amp;AJ62&amp;AJ63&amp;AJ64</f>
        <v/>
      </c>
    </row>
    <row r="15" spans="1:37" ht="24.95" customHeight="1">
      <c r="A15" s="38">
        <v>1</v>
      </c>
      <c r="B15" s="313"/>
      <c r="C15" s="313"/>
      <c r="D15" s="313"/>
      <c r="E15" s="314"/>
      <c r="F15" s="315"/>
      <c r="G15" s="316"/>
      <c r="H15" s="316"/>
      <c r="I15" s="45">
        <f>IF(G15="",H15*F15,ROUNDDOWN(F15*G15*1.1,0))</f>
        <v>0</v>
      </c>
      <c r="J15" s="317"/>
      <c r="K15" s="45">
        <f>IF(J15="補助対象",I15,IF(J15="補助対象外",0,0))</f>
        <v>0</v>
      </c>
      <c r="L15" s="232" t="str">
        <f>IF(AD15="◎",COUNTIF($AD$15:AD15,"◎"),"")</f>
        <v/>
      </c>
      <c r="W15" s="231" t="str">
        <f>IF(B15="既設病床",はじめに入力してください!$K$12,IF(B15="新設病床",はじめに入力してください!$K$13,IF(B15="共通使用",1,"")))</f>
        <v/>
      </c>
      <c r="AC15" s="28" t="s">
        <v>69</v>
      </c>
      <c r="AD15" s="231" t="str">
        <f xml:space="preserve">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IF(AND(AF15="◎",AG15="◎",AH15="◎",AI15="◎"),"◎",
))))))))))))))))))))))))))))))))))))))))))))))))))))))</f>
        <v>○</v>
      </c>
      <c r="AE15" s="35" t="str">
        <f xml:space="preserve">
IF(AND(AF15="○",AG15="○",AH15="○",AI15="○"),"申請しない場合は入力不要です。",
IF(AND(AF15="○",AG15="○",AH15="○",AI15="◎"),"【要修正】【整備先・内容】未入力、【規格・数量】未入力、【単価】未入力"&amp;CHAR(10),
IF(AND(AF15="○",AG15="○",AH15="×",AI15="○"),"【要修正】【整備先・内容】未入力、【規格・数量】未入力、【単価】入力不十分、【補助対象区分】未入力"&amp;CHAR(10),
IF(AND(AF15="○",AG15="○",AH15="×",AI15="◎"),"【要修正】【整備先・内容】未入力、【規格・数量】未入力、【単価】入力不十分"&amp;CHAR(10),
IF(AND(AF15="○",AG15="○",AH15="◎",AI15="○"),"【要修正】【整備先・内容】未入力、【規格・数量】未入力、【補助対象区分】未入力"&amp;CHAR(10),
IF(AND(AF15="○",AG15="○",AH15="◎",AI15="◎"),"【要修正】【整備先・内容】未入力、【規格・数量】未入力"&amp;CHAR(10),
IF(AND(AF15="○",AG15="×",AH15="○",AI15="○"),"【要修正】【整備先・内容】未入力、【規格・数量】入力不十分、【単価】未入力、【補助対象区分】未入力"&amp;CHAR(10),
IF(AND(AF15="○",AG15="×",AH15="○",AI15="◎"),"【要修正】【整備先・内容】未入力、【規格・数量】入力不十分、【単価】未入力"&amp;CHAR(10),
IF(AND(AF15="○",AG15="×",AH15="×",AI15="○"),"【要修正】【整備先・内容】未入力、【規格・数量】入力不十分、【単価】入力不十分、【補助対象区分】未入力"&amp;CHAR(10),
IF(AND(AF15="○",AG15="×",AH15="×",AI15="◎"),"【要修正】【整備先・内容】未入力、【規格・数量】入力不十分、【単価】入力不十分"&amp;CHAR(10),
IF(AND(AF15="○",AG15="×",AH15="◎",AI15="○"),"【要修正】【整備先・内容】未入力、【規格・数量】入力不十分、【補助対象区分】未入力"&amp;CHAR(10),
IF(AND(AF15="○",AG15="×",AH15="◎",AI15="◎"),"【要修正】【整備先・内容】未入力、【規格・数量】入力不十分"&amp;CHAR(10),
IF(AND(AF15="○",AG15="◎",AH15="○",AI15="○"),"【要修正】【整備先・内容】未入力、【単価】未入力、【補助対象区分】未入力"&amp;CHAR(10),
IF(AND(AF15="○",AG15="◎",AH15="○",AI15="◎"),"【要修正】【整備先・内容】未入力、【単価】未入力"&amp;CHAR(10),
IF(AND(AF15="○",AG15="◎",AH15="×",AI15="○"),"【要修正】【整備先・内容】未入力、【単価】入力不十分、【補助対象区分】未入力"&amp;CHAR(10),
IF(AND(AF15="○",AG15="◎",AH15="×",AI15="◎"),"【要修正】【整備先・内容】未入力、【単価】入力不十分"&amp;CHAR(10),
IF(AND(AF15="○",AG15="◎",AH15="◎",AI15="○"),"【要修正】【整備先・内容】未入力、【補助対象区分】未入力"&amp;CHAR(10),
IF(AND(AF15="○",AG15="◎",AH15="◎",AI15="◎"),"【要修正】【整備先・内容】未入力"&amp;CHAR(10),
IF(AND(AF15="×",AG15="○",AH15="○",AI15="○"),"【要修正】【整備先・内容】入力不十分、【規格・数量】未入力、【単価】未入力、【補助対象区分】未入力"&amp;CHAR(10),
IF(AND(AF15="×",AG15="○",AH15="○",AI15="◎"),"【要修正】【整備先・内容】入力不十分、【規格・数量】未入力、【単価】未入力"&amp;CHAR(10),
IF(AND(AF15="×",AG15="○",AH15="×",AI15="○"),"【要修正】【整備先・内容】入力不十分、【規格・数量】未入力、【単価】入力不十分、【補助対象区分】未入力"&amp;CHAR(10),
IF(AND(AF15="×",AG15="○",AH15="×",AI15="◎"),"【要修正】【整備先・内容】入力不十分、【規格・数量】未入力、【単価】入力不十分"&amp;CHAR(10),
IF(AND(AF15="×",AG15="○",AH15="◎",AI15="○"),"【要修正】【整備先・内容】入力不十分、【規格・数量】未入力、【補助対象区分】未入力"&amp;CHAR(10),
IF(AND(AF15="×",AG15="○",AH15="◎",AI15="◎"),"【要修正】【整備先・内容】入力不十分、【規格・数量】未入力"&amp;CHAR(10),
IF(AND(AF15="×",AG15="×",AH15="○",AI15="○"),"【要修正】【整備先・内容】入力不十分、【規格・数量】入力不十分、【単価】未入力、【補助対象区分】未入力"&amp;CHAR(10),
IF(AND(AF15="×",AG15="×",AH15="○",AI15="◎"),"【要修正】【整備先・内容】入力不十分、【規格・数量】入力不十分、【単価】未入力"&amp;CHAR(10),
IF(AND(AF15="×",AG15="×",AH15="×",AI15="○"),"【要修正】【整備先・内容】入力不十分、【規格・数量】入力不十分、【単価】入力不十分、【補助対象区分】未入力"&amp;CHAR(10),
IF(AND(AF15="×",AG15="×",AH15="×",AI15="◎"),"【要修正】【整備先・内容】入力不十分、【規格・数量】入力不十分、【単価】入力不十分"&amp;CHAR(10),
IF(AND(AF15="×",AG15="×",AH15="◎",AI15="○"),"【要修正】【整備先・内容】入力不十分、【規格・数量】入力不十分、【補助対象区分】未入力"&amp;CHAR(10),
IF(AND(AF15="×",AG15="×",AH15="◎",AI15="◎"),"【要修正】【整備先・内容】入力不十分、【規格・数量】入力不十分"&amp;CHAR(10),
IF(AND(AF15="×",AG15="◎",AH15="○",AI15="○"),"【要修正】【整備先・内容】入力不十分、【単価】未入力、【補助対象区分】未入力"&amp;CHAR(10),
IF(AND(AF15="×",AG15="◎",AH15="○",AI15="◎"),"【要修正】【整備先・内容】入力不十分、【単価】未入力"&amp;CHAR(10),
IF(AND(AF15="×",AG15="◎",AH15="×",AI15="○"),"【要修正】【整備先・内容】入力不十分、【単価】入力不十分、【補助対象区分】未入力"&amp;CHAR(10),
IF(AND(AF15="×",AG15="◎",AH15="×",AI15="◎"),"【要修正】【整備先・内容】入力不十分、【単価】入力不十分"&amp;CHAR(10),
IF(AND(AF15="×",AG15="◎",AH15="◎",AI15="○"),"【要修正】【整備先・内容】入力不十分、【補助対象区分】未入力"&amp;CHAR(10),
IF(AND(AF15="×",AG15="◎",AH15="◎",AI15="◎"),"【要修正】【整備先・内容】入力不十分"&amp;CHAR(10),
IF(AND(AF15="◎",AG15="○",AH15="○",AI15="○"),"【要修正】【規格・数量】未入力、【単価】未入力、【補助対象区分】未入力"&amp;CHAR(10),
IF(AND(AF15="◎",AG15="○",AH15="○",AI15="◎"),"【要修正】【規格・数量】未入力、【単価】未入力"&amp;CHAR(10),
IF(AND(AF15="◎",AG15="○",AH15="×",AI15="○"),"【要修正】【規格・数量】未入力、【単価】入力不十分、【補助対象区分】未入力"&amp;CHAR(10),
IF(AND(AF15="◎",AG15="○",AH15="×",AI15="◎"),"【要修正】【規格・数量】未入力、【単価】入力不十分"&amp;CHAR(10),
IF(AND(AF15="◎",AG15="○",AH15="◎",AI15="○"),"【要修正】【規格・数量】未入力、【補助対象区分】未入力"&amp;CHAR(10),
IF(AND(AF15="◎",AG15="○",AH15="◎",AI15="◎"),"【要修正】【規格・数量】未入力"&amp;CHAR(10),
IF(AND(AF15="◎",AG15="×",AH15="○",AI15="○"),"【要修正】【規格・数量】入力不十分、【単価】未入力、【補助対象区分】未入力"&amp;CHAR(10),
IF(AND(AF15="◎",AG15="×",AH15="○",AI15="◎"),"【要修正】【規格・数量】入力不十分、【単価】未入力"&amp;CHAR(10),
IF(AND(AF15="◎",AG15="×",AH15="×",AI15="○"),"【要修正】【規格・数量】入力不十分、【単価】入力不十分、【補助対象区分】未入力"&amp;CHAR(10),
IF(AND(AF15="◎",AG15="×",AH15="×",AI15="◎"),"【要修正】【規格・数量】入力不十分、【単価】入力不十分"&amp;CHAR(10),
IF(AND(AF15="◎",AG15="×",AH15="◎",AI15="○"),"【要修正】【規格・数量】入力不十分、【補助対象区分】未入力"&amp;CHAR(10),
IF(AND(AF15="◎",AG15="×",AH15="◎",AI15="◎"),"【要修正】【規格・数量】入力不十分"&amp;CHAR(10),
IF(AND(AF15="◎",AG15="◎",AH15="○",AI15="○"),"【要修正】【単価】未入力、【補助対象区分】未入力"&amp;CHAR(10),
IF(AND(AF15="◎",AG15="◎",AH15="○",AI15="◎"),"【要修正】【単価】未入力"&amp;CHAR(10),
IF(AND(AF15="◎",AG15="◎",AH15="×",AI15="○"),"【要修正】【単価】入力不十分、【補助対象区分】未入力"&amp;CHAR(10),
IF(AND(AF15="◎",AG15="◎",AH15="×",AI15="◎"),"【要修正】【単価】入力不十分"&amp;CHAR(10),
IF(AND(AF15="◎",AG15="◎",AH15="◎",AI15="○"),"【要修正】【補助対象区分】未入力"&amp;CHAR(10),
IF(AND(AF15="◎",AG15="◎",AH15="◎",AI15="◎"),"適切に入力がされました。",
))))))))))))))))))))))))))))))))))))))))))))))))))))))</f>
        <v>申請しない場合は入力不要です。</v>
      </c>
      <c r="AF15" s="231" t="str">
        <f>IF(COUNTA(B15:D15)=0,"○",IF(AND(COUNTA(B15:D15)&gt;=1,COUNTA(B15:D15)&lt;3),"×",IF(COUNTA(B15:D15)=3,"◎")))</f>
        <v>○</v>
      </c>
      <c r="AG15" s="231" t="str">
        <f>IF(COUNTA(E15,F15)=0,"○",IF(AND(COUNTA(E15,F15)&gt;=1,COUNTA(E15,F15)&lt;2),"×",IF(COUNTA(E15,F15)=2,"◎")))</f>
        <v>○</v>
      </c>
      <c r="AH15" s="231" t="str">
        <f>IF(COUNTA(G15:H15)=0,"○",IF(COUNTA(G15:H15)=1,"◎",IF(COUNTA(G15:H15)=2,"×")))</f>
        <v>○</v>
      </c>
      <c r="AI15" s="231" t="str">
        <f>IF(COUNTA(J15)=0,"○",IF(COUNTA(H15:I15)=1,"◎"))</f>
        <v>○</v>
      </c>
      <c r="AJ15" s="14" t="str">
        <f xml:space="preserve">
IF(AND(AF15="○",AG15="○",AH15="○",AI15="○"),"",
IF(AND(AF15="○",AG15="○",AH15="○",AI15="◎"),"【"&amp;AK15&amp;"行目】【整備先・内容】未入力、【規格・数量】未入力、【単価】未入力"&amp;CHAR(10),
IF(AND(AF15="○",AG15="○",AH15="×",AI15="○"),"【"&amp;AK15&amp;"行目】【整備先・内容】未入力、【規格・数量】未入力、【単価】入力不十分、【補助対象区分】未入力"&amp;CHAR(10),
IF(AND(AF15="○",AG15="○",AH15="×",AI15="◎"),"【"&amp;AK15&amp;"行目】【整備先・内容】未入力、【規格・数量】未入力、【単価】入力不十分"&amp;CHAR(10),
IF(AND(AF15="○",AG15="○",AH15="◎",AI15="○"),"【"&amp;AK15&amp;"行目】【整備先・内容】未入力、【規格・数量】未入力、【補助対象区分】未入力"&amp;CHAR(10),
IF(AND(AF15="○",AG15="○",AH15="◎",AI15="◎"),"【"&amp;AK15&amp;"行目】【整備先・内容】未入力、【規格・数量】未入力"&amp;CHAR(10),
IF(AND(AF15="○",AG15="×",AH15="○",AI15="○"),"【"&amp;AK15&amp;"行目】【整備先・内容】未入力、【規格・数量】入力不十分、【単価】未入力、【補助対象区分】未入力"&amp;CHAR(10),
IF(AND(AF15="○",AG15="×",AH15="○",AI15="◎"),"【"&amp;AK15&amp;"行目】【整備先・内容】未入力、【規格・数量】入力不十分、【単価】未入力"&amp;CHAR(10),
IF(AND(AF15="○",AG15="×",AH15="×",AI15="○"),"【"&amp;AK15&amp;"行目】【整備先・内容】未入力、【規格・数量】入力不十分、【単価】入力不十分、【補助対象区分】未入力"&amp;CHAR(10),
IF(AND(AF15="○",AG15="×",AH15="×",AI15="◎"),"【"&amp;AK15&amp;"行目】【整備先・内容】未入力、【規格・数量】入力不十分、【単価】入力不十分"&amp;CHAR(10),
IF(AND(AF15="○",AG15="×",AH15="◎",AI15="○"),"【"&amp;AK15&amp;"行目】【整備先・内容】未入力、【規格・数量】入力不十分、【補助対象区分】未入力"&amp;CHAR(10),
IF(AND(AF15="○",AG15="×",AH15="◎",AI15="◎"),"【"&amp;AK15&amp;"行目】【整備先・内容】未入力、【規格・数量】入力不十分"&amp;CHAR(10),
IF(AND(AF15="○",AG15="◎",AH15="○",AI15="○"),"【"&amp;AK15&amp;"行目】【整備先・内容】未入力、【単価】未入力、【補助対象区分】未入力"&amp;CHAR(10),
IF(AND(AF15="○",AG15="◎",AH15="○",AI15="◎"),"【"&amp;AK15&amp;"行目】【整備先・内容】未入力、【単価】未入力"&amp;CHAR(10),
IF(AND(AF15="○",AG15="◎",AH15="×",AI15="○"),"【"&amp;AK15&amp;"行目】【整備先・内容】未入力、【単価】入力不十分、【補助対象区分】未入力"&amp;CHAR(10),
IF(AND(AF15="○",AG15="◎",AH15="×",AI15="◎"),"【"&amp;AK15&amp;"行目】【整備先・内容】未入力、【単価】入力不十分"&amp;CHAR(10),
IF(AND(AF15="○",AG15="◎",AH15="◎",AI15="○"),"【"&amp;AK15&amp;"行目】【整備先・内容】未入力、【補助対象区分】未入力"&amp;CHAR(10),
IF(AND(AF15="○",AG15="◎",AH15="◎",AI15="◎"),"【"&amp;AK15&amp;"行目】【整備先・内容】未入力"&amp;CHAR(10),
IF(AND(AF15="×",AG15="○",AH15="○",AI15="○"),"【"&amp;AK15&amp;"行目】【整備先・内容】入力不十分、【規格・数量】未入力、【単価】未入力、【補助対象区分】未入力"&amp;CHAR(10),
IF(AND(AF15="×",AG15="○",AH15="○",AI15="◎"),"【"&amp;AK15&amp;"行目】【整備先・内容】入力不十分、【規格・数量】未入力、【単価】未入力"&amp;CHAR(10),
IF(AND(AF15="×",AG15="○",AH15="×",AI15="○"),"【"&amp;AK15&amp;"行目】【整備先・内容】入力不十分、【規格・数量】未入力、【単価】入力不十分、【補助対象区分】未入力"&amp;CHAR(10),
IF(AND(AF15="×",AG15="○",AH15="×",AI15="◎"),"【"&amp;AK15&amp;"行目】【整備先・内容】入力不十分、【規格・数量】未入力、【単価】入力不十分"&amp;CHAR(10),
IF(AND(AF15="×",AG15="○",AH15="◎",AI15="○"),"【"&amp;AK15&amp;"行目】【整備先・内容】入力不十分、【規格・数量】未入力、【補助対象区分】未入力"&amp;CHAR(10),
IF(AND(AF15="×",AG15="○",AH15="◎",AI15="◎"),"【"&amp;AK15&amp;"行目】【整備先・内容】入力不十分、【規格・数量】未入力"&amp;CHAR(10),
IF(AND(AF15="×",AG15="×",AH15="○",AI15="○"),"【"&amp;AK15&amp;"行目】【整備先・内容】入力不十分、【規格・数量】入力不十分、【単価】未入力、【補助対象区分】未入力"&amp;CHAR(10),
IF(AND(AF15="×",AG15="×",AH15="○",AI15="◎"),"【"&amp;AK15&amp;"行目】【整備先・内容】入力不十分、【規格・数量】入力不十分、【単価】未入力"&amp;CHAR(10),
IF(AND(AF15="×",AG15="×",AH15="×",AI15="○"),"【"&amp;AK15&amp;"行目】【整備先・内容】入力不十分、【規格・数量】入力不十分、【単価】入力不十分、【補助対象区分】未入力"&amp;CHAR(10),
IF(AND(AF15="×",AG15="×",AH15="×",AI15="◎"),"【"&amp;AK15&amp;"行目】【整備先・内容】入力不十分、【規格・数量】入力不十分、【単価】入力不十分"&amp;CHAR(10),
IF(AND(AF15="×",AG15="×",AH15="◎",AI15="○"),"【"&amp;AK15&amp;"行目】【整備先・内容】入力不十分、【規格・数量】入力不十分、【補助対象区分】未入力"&amp;CHAR(10),
IF(AND(AF15="×",AG15="×",AH15="◎",AI15="◎"),"【"&amp;AK15&amp;"行目】【整備先・内容】入力不十分、【規格・数量】入力不十分"&amp;CHAR(10),
IF(AND(AF15="×",AG15="◎",AH15="○",AI15="○"),"【"&amp;AK15&amp;"行目】【整備先・内容】入力不十分、【単価】未入力、【補助対象区分】未入力"&amp;CHAR(10),
IF(AND(AF15="×",AG15="◎",AH15="○",AI15="◎"),"【"&amp;AK15&amp;"行目】【整備先・内容】入力不十分、【単価】未入力"&amp;CHAR(10),
IF(AND(AF15="×",AG15="◎",AH15="×",AI15="○"),"【"&amp;AK15&amp;"行目】【整備先・内容】入力不十分、【単価】入力不十分、【補助対象区分】未入力"&amp;CHAR(10),
IF(AND(AF15="×",AG15="◎",AH15="×",AI15="◎"),"【"&amp;AK15&amp;"行目】【整備先・内容】入力不十分、【単価】入力不十分"&amp;CHAR(10),
IF(AND(AF15="×",AG15="◎",AH15="◎",AI15="○"),"【"&amp;AK15&amp;"行目】【整備先・内容】入力不十分、【補助対象区分】未入力"&amp;CHAR(10),
IF(AND(AF15="×",AG15="◎",AH15="◎",AI15="◎"),"【"&amp;AK15&amp;"行目】【整備先・内容】入力不十分"&amp;CHAR(10),
IF(AND(AF15="◎",AG15="○",AH15="○",AI15="○"),"【"&amp;AK15&amp;"行目】【規格・数量】未入力、【単価】未入力、【補助対象区分】未入力"&amp;CHAR(10),
IF(AND(AF15="◎",AG15="○",AH15="○",AI15="◎"),"【"&amp;AK15&amp;"行目】【規格・数量】未入力、【単価】未入力"&amp;CHAR(10),
IF(AND(AF15="◎",AG15="○",AH15="×",AI15="○"),"【"&amp;AK15&amp;"行目】【規格・数量】未入力、【単価】入力不十分、【補助対象区分】未入力"&amp;CHAR(10),
IF(AND(AF15="◎",AG15="○",AH15="×",AI15="◎"),"【"&amp;AK15&amp;"行目】【規格・数量】未入力、【単価】入力不十分"&amp;CHAR(10),
IF(AND(AF15="◎",AG15="○",AH15="◎",AI15="○"),"【"&amp;AK15&amp;"行目】【規格・数量】未入力、【補助対象区分】未入力"&amp;CHAR(10),
IF(AND(AF15="◎",AG15="○",AH15="◎",AI15="◎"),"【"&amp;AK15&amp;"行目】【規格・数量】未入力"&amp;CHAR(10),
IF(AND(AF15="◎",AG15="×",AH15="○",AI15="○"),"【"&amp;AK15&amp;"行目】【規格・数量】入力不十分、【単価】未入力、【補助対象区分】未入力"&amp;CHAR(10),
IF(AND(AF15="◎",AG15="×",AH15="○",AI15="◎"),"【"&amp;AK15&amp;"行目】【規格・数量】入力不十分、【単価】未入力"&amp;CHAR(10),
IF(AND(AF15="◎",AG15="×",AH15="×",AI15="○"),"【"&amp;AK15&amp;"行目】【規格・数量】入力不十分、【単価】入力不十分、【補助対象区分】未入力"&amp;CHAR(10),
IF(AND(AF15="◎",AG15="×",AH15="×",AI15="◎"),"【"&amp;AK15&amp;"行目】【規格・数量】入力不十分、【単価】入力不十分"&amp;CHAR(10),
IF(AND(AF15="◎",AG15="×",AH15="◎",AI15="○"),"【"&amp;AK15&amp;"行目】【規格・数量】入力不十分、【補助対象区分】未入力"&amp;CHAR(10),
IF(AND(AF15="◎",AG15="×",AH15="◎",AI15="◎"),"【"&amp;AK15&amp;"行目】【規格・数量】入力不十分"&amp;CHAR(10),
IF(AND(AF15="◎",AG15="◎",AH15="○",AI15="○"),"【"&amp;AK15&amp;"行目】【単価】未入力、【補助対象区分】未入力"&amp;CHAR(10),
IF(AND(AF15="◎",AG15="◎",AH15="○",AI15="◎"),"【"&amp;AK15&amp;"行目】【単価】未入力"&amp;CHAR(10),
IF(AND(AF15="◎",AG15="◎",AH15="×",AI15="○"),"【"&amp;AK15&amp;"行目】【単価】入力不十分、【補助対象区分】未入力"&amp;CHAR(10),
IF(AND(AF15="◎",AG15="◎",AH15="×",AI15="◎"),"【"&amp;AK15&amp;"行目】【単価】入力不十分"&amp;CHAR(10),
IF(AND(AF15="◎",AG15="◎",AH15="◎",AI15="○"),"【"&amp;AK15&amp;"行目】【補助対象区分】未入力"&amp;CHAR(10),
IF(AND(AF15="◎",AG15="◎",AH15="◎",AI15="◎"),"",
))))))))))))))))))))))))))))))))))))))))))))))))))))))</f>
        <v/>
      </c>
      <c r="AK15" s="12">
        <v>1</v>
      </c>
    </row>
    <row r="16" spans="1:37" ht="24.95" customHeight="1">
      <c r="A16" s="38">
        <v>2</v>
      </c>
      <c r="B16" s="313"/>
      <c r="C16" s="313"/>
      <c r="D16" s="313"/>
      <c r="E16" s="314"/>
      <c r="F16" s="315"/>
      <c r="G16" s="316"/>
      <c r="H16" s="316"/>
      <c r="I16" s="45">
        <f t="shared" ref="I16:I64" si="0">IF(G16="",H16*F16,ROUNDDOWN(F16*G16*1.1,0))</f>
        <v>0</v>
      </c>
      <c r="J16" s="317"/>
      <c r="K16" s="45">
        <f t="shared" ref="K16:K64" si="1">IF(J16="補助対象",I16,IF(J16="補助対象外",0,0))</f>
        <v>0</v>
      </c>
      <c r="L16" s="232" t="str">
        <f>IF(AD16="◎",COUNTIF($AD$15:AD16,"◎"),"")</f>
        <v/>
      </c>
      <c r="W16" s="231" t="str">
        <f>IF(B16="既設病床",はじめに入力してください!$K$12,IF(B16="新設病床",はじめに入力してください!$K$13,IF(B16="共通使用",1,"")))</f>
        <v/>
      </c>
      <c r="X16" s="12" t="e">
        <f ca="1">OFFSET(#REF!,
0,
MATCH(B16,#REF!,0),
COUNTA(OFFSET(#REF!,0,MATCH(B16,#REF!,0), 150,1)),1)</f>
        <v>#REF!</v>
      </c>
      <c r="AC16" s="28" t="s">
        <v>69</v>
      </c>
      <c r="AD16" s="231" t="str">
        <f t="shared" ref="AD16:AD64" si="2" xml:space="preserve">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IF(AND(AF16="◎",AG16="◎",AH16="◎",AI16="◎"),"◎",
))))))))))))))))))))))))))))))))))))))))))))))))))))))</f>
        <v>○</v>
      </c>
      <c r="AE16" s="35" t="str">
        <f t="shared" ref="AE16:AE64" si="3" xml:space="preserve">
IF(AND(AF16="○",AG16="○",AH16="○",AI16="○"),"申請しない場合は入力不要です。",
IF(AND(AF16="○",AG16="○",AH16="○",AI16="◎"),"【要修正】【整備先・内容】未入力、【規格・数量】未入力、【単価】未入力"&amp;CHAR(10),
IF(AND(AF16="○",AG16="○",AH16="×",AI16="○"),"【要修正】【整備先・内容】未入力、【規格・数量】未入力、【単価】入力不十分、【補助対象区分】未入力"&amp;CHAR(10),
IF(AND(AF16="○",AG16="○",AH16="×",AI16="◎"),"【要修正】【整備先・内容】未入力、【規格・数量】未入力、【単価】入力不十分"&amp;CHAR(10),
IF(AND(AF16="○",AG16="○",AH16="◎",AI16="○"),"【要修正】【整備先・内容】未入力、【規格・数量】未入力、【補助対象区分】未入力"&amp;CHAR(10),
IF(AND(AF16="○",AG16="○",AH16="◎",AI16="◎"),"【要修正】【整備先・内容】未入力、【規格・数量】未入力"&amp;CHAR(10),
IF(AND(AF16="○",AG16="×",AH16="○",AI16="○"),"【要修正】【整備先・内容】未入力、【規格・数量】入力不十分、【単価】未入力、【補助対象区分】未入力"&amp;CHAR(10),
IF(AND(AF16="○",AG16="×",AH16="○",AI16="◎"),"【要修正】【整備先・内容】未入力、【規格・数量】入力不十分、【単価】未入力"&amp;CHAR(10),
IF(AND(AF16="○",AG16="×",AH16="×",AI16="○"),"【要修正】【整備先・内容】未入力、【規格・数量】入力不十分、【単価】入力不十分、【補助対象区分】未入力"&amp;CHAR(10),
IF(AND(AF16="○",AG16="×",AH16="×",AI16="◎"),"【要修正】【整備先・内容】未入力、【規格・数量】入力不十分、【単価】入力不十分"&amp;CHAR(10),
IF(AND(AF16="○",AG16="×",AH16="◎",AI16="○"),"【要修正】【整備先・内容】未入力、【規格・数量】入力不十分、【補助対象区分】未入力"&amp;CHAR(10),
IF(AND(AF16="○",AG16="×",AH16="◎",AI16="◎"),"【要修正】【整備先・内容】未入力、【規格・数量】入力不十分"&amp;CHAR(10),
IF(AND(AF16="○",AG16="◎",AH16="○",AI16="○"),"【要修正】【整備先・内容】未入力、【単価】未入力、【補助対象区分】未入力"&amp;CHAR(10),
IF(AND(AF16="○",AG16="◎",AH16="○",AI16="◎"),"【要修正】【整備先・内容】未入力、【単価】未入力"&amp;CHAR(10),
IF(AND(AF16="○",AG16="◎",AH16="×",AI16="○"),"【要修正】【整備先・内容】未入力、【単価】入力不十分、【補助対象区分】未入力"&amp;CHAR(10),
IF(AND(AF16="○",AG16="◎",AH16="×",AI16="◎"),"【要修正】【整備先・内容】未入力、【単価】入力不十分"&amp;CHAR(10),
IF(AND(AF16="○",AG16="◎",AH16="◎",AI16="○"),"【要修正】【整備先・内容】未入力、【補助対象区分】未入力"&amp;CHAR(10),
IF(AND(AF16="○",AG16="◎",AH16="◎",AI16="◎"),"【要修正】【整備先・内容】未入力"&amp;CHAR(10),
IF(AND(AF16="×",AG16="○",AH16="○",AI16="○"),"【要修正】【整備先・内容】入力不十分、【規格・数量】未入力、【単価】未入力、【補助対象区分】未入力"&amp;CHAR(10),
IF(AND(AF16="×",AG16="○",AH16="○",AI16="◎"),"【要修正】【整備先・内容】入力不十分、【規格・数量】未入力、【単価】未入力"&amp;CHAR(10),
IF(AND(AF16="×",AG16="○",AH16="×",AI16="○"),"【要修正】【整備先・内容】入力不十分、【規格・数量】未入力、【単価】入力不十分、【補助対象区分】未入力"&amp;CHAR(10),
IF(AND(AF16="×",AG16="○",AH16="×",AI16="◎"),"【要修正】【整備先・内容】入力不十分、【規格・数量】未入力、【単価】入力不十分"&amp;CHAR(10),
IF(AND(AF16="×",AG16="○",AH16="◎",AI16="○"),"【要修正】【整備先・内容】入力不十分、【規格・数量】未入力、【補助対象区分】未入力"&amp;CHAR(10),
IF(AND(AF16="×",AG16="○",AH16="◎",AI16="◎"),"【要修正】【整備先・内容】入力不十分、【規格・数量】未入力"&amp;CHAR(10),
IF(AND(AF16="×",AG16="×",AH16="○",AI16="○"),"【要修正】【整備先・内容】入力不十分、【規格・数量】入力不十分、【単価】未入力、【補助対象区分】未入力"&amp;CHAR(10),
IF(AND(AF16="×",AG16="×",AH16="○",AI16="◎"),"【要修正】【整備先・内容】入力不十分、【規格・数量】入力不十分、【単価】未入力"&amp;CHAR(10),
IF(AND(AF16="×",AG16="×",AH16="×",AI16="○"),"【要修正】【整備先・内容】入力不十分、【規格・数量】入力不十分、【単価】入力不十分、【補助対象区分】未入力"&amp;CHAR(10),
IF(AND(AF16="×",AG16="×",AH16="×",AI16="◎"),"【要修正】【整備先・内容】入力不十分、【規格・数量】入力不十分、【単価】入力不十分"&amp;CHAR(10),
IF(AND(AF16="×",AG16="×",AH16="◎",AI16="○"),"【要修正】【整備先・内容】入力不十分、【規格・数量】入力不十分、【補助対象区分】未入力"&amp;CHAR(10),
IF(AND(AF16="×",AG16="×",AH16="◎",AI16="◎"),"【要修正】【整備先・内容】入力不十分、【規格・数量】入力不十分"&amp;CHAR(10),
IF(AND(AF16="×",AG16="◎",AH16="○",AI16="○"),"【要修正】【整備先・内容】入力不十分、【単価】未入力、【補助対象区分】未入力"&amp;CHAR(10),
IF(AND(AF16="×",AG16="◎",AH16="○",AI16="◎"),"【要修正】【整備先・内容】入力不十分、【単価】未入力"&amp;CHAR(10),
IF(AND(AF16="×",AG16="◎",AH16="×",AI16="○"),"【要修正】【整備先・内容】入力不十分、【単価】入力不十分、【補助対象区分】未入力"&amp;CHAR(10),
IF(AND(AF16="×",AG16="◎",AH16="×",AI16="◎"),"【要修正】【整備先・内容】入力不十分、【単価】入力不十分"&amp;CHAR(10),
IF(AND(AF16="×",AG16="◎",AH16="◎",AI16="○"),"【要修正】【整備先・内容】入力不十分、【補助対象区分】未入力"&amp;CHAR(10),
IF(AND(AF16="×",AG16="◎",AH16="◎",AI16="◎"),"【要修正】【整備先・内容】入力不十分"&amp;CHAR(10),
IF(AND(AF16="◎",AG16="○",AH16="○",AI16="○"),"【要修正】【規格・数量】未入力、【単価】未入力、【補助対象区分】未入力"&amp;CHAR(10),
IF(AND(AF16="◎",AG16="○",AH16="○",AI16="◎"),"【要修正】【規格・数量】未入力、【単価】未入力"&amp;CHAR(10),
IF(AND(AF16="◎",AG16="○",AH16="×",AI16="○"),"【要修正】【規格・数量】未入力、【単価】入力不十分、【補助対象区分】未入力"&amp;CHAR(10),
IF(AND(AF16="◎",AG16="○",AH16="×",AI16="◎"),"【要修正】【規格・数量】未入力、【単価】入力不十分"&amp;CHAR(10),
IF(AND(AF16="◎",AG16="○",AH16="◎",AI16="○"),"【要修正】【規格・数量】未入力、【補助対象区分】未入力"&amp;CHAR(10),
IF(AND(AF16="◎",AG16="○",AH16="◎",AI16="◎"),"【要修正】【規格・数量】未入力"&amp;CHAR(10),
IF(AND(AF16="◎",AG16="×",AH16="○",AI16="○"),"【要修正】【規格・数量】入力不十分、【単価】未入力、【補助対象区分】未入力"&amp;CHAR(10),
IF(AND(AF16="◎",AG16="×",AH16="○",AI16="◎"),"【要修正】【規格・数量】入力不十分、【単価】未入力"&amp;CHAR(10),
IF(AND(AF16="◎",AG16="×",AH16="×",AI16="○"),"【要修正】【規格・数量】入力不十分、【単価】入力不十分、【補助対象区分】未入力"&amp;CHAR(10),
IF(AND(AF16="◎",AG16="×",AH16="×",AI16="◎"),"【要修正】【規格・数量】入力不十分、【単価】入力不十分"&amp;CHAR(10),
IF(AND(AF16="◎",AG16="×",AH16="◎",AI16="○"),"【要修正】【規格・数量】入力不十分、【補助対象区分】未入力"&amp;CHAR(10),
IF(AND(AF16="◎",AG16="×",AH16="◎",AI16="◎"),"【要修正】【規格・数量】入力不十分"&amp;CHAR(10),
IF(AND(AF16="◎",AG16="◎",AH16="○",AI16="○"),"【要修正】【単価】未入力、【補助対象区分】未入力"&amp;CHAR(10),
IF(AND(AF16="◎",AG16="◎",AH16="○",AI16="◎"),"【要修正】【単価】未入力"&amp;CHAR(10),
IF(AND(AF16="◎",AG16="◎",AH16="×",AI16="○"),"【要修正】【単価】入力不十分、【補助対象区分】未入力"&amp;CHAR(10),
IF(AND(AF16="◎",AG16="◎",AH16="×",AI16="◎"),"【要修正】【単価】入力不十分"&amp;CHAR(10),
IF(AND(AF16="◎",AG16="◎",AH16="◎",AI16="○"),"【要修正】【補助対象区分】未入力"&amp;CHAR(10),
IF(AND(AF16="◎",AG16="◎",AH16="◎",AI16="◎"),"適切に入力がされました。",
))))))))))))))))))))))))))))))))))))))))))))))))))))))</f>
        <v>申請しない場合は入力不要です。</v>
      </c>
      <c r="AF16" s="231" t="str">
        <f t="shared" ref="AF16:AF64" si="4">IF(COUNTA(B16:D16)=0,"○",IF(AND(COUNTA(B16:D16)&gt;=1,COUNTA(B16:D16)&lt;3),"×",IF(COUNTA(B16:D16)=3,"◎")))</f>
        <v>○</v>
      </c>
      <c r="AG16" s="231" t="str">
        <f t="shared" ref="AG16:AG64" si="5">IF(COUNTA(E16,F16)=0,"○",IF(AND(COUNTA(E16,F16)&gt;=1,COUNTA(E16,F16)&lt;2),"×",IF(COUNTA(E16,F16)=2,"◎")))</f>
        <v>○</v>
      </c>
      <c r="AH16" s="231" t="str">
        <f t="shared" ref="AH16:AH64" si="6">IF(COUNTA(G16:H16)=0,"○",IF(COUNTA(G16:H16)=1,"◎",IF(COUNTA(G16:H16)=2,"×")))</f>
        <v>○</v>
      </c>
      <c r="AI16" s="231" t="str">
        <f t="shared" ref="AI16:AI64" si="7">IF(COUNTA(J16)=0,"○",IF(COUNTA(H16:I16)=1,"◎"))</f>
        <v>○</v>
      </c>
      <c r="AJ16" s="14" t="str">
        <f t="shared" ref="AJ16:AJ64" si="8" xml:space="preserve">
IF(AND(AF16="○",AG16="○",AH16="○",AI16="○"),"",
IF(AND(AF16="○",AG16="○",AH16="○",AI16="◎"),"【"&amp;AK16&amp;"行目】【整備先・内容】未入力、【規格・数量】未入力、【単価】未入力"&amp;CHAR(10),
IF(AND(AF16="○",AG16="○",AH16="×",AI16="○"),"【"&amp;AK16&amp;"行目】【整備先・内容】未入力、【規格・数量】未入力、【単価】入力不十分、【補助対象区分】未入力"&amp;CHAR(10),
IF(AND(AF16="○",AG16="○",AH16="×",AI16="◎"),"【"&amp;AK16&amp;"行目】【整備先・内容】未入力、【規格・数量】未入力、【単価】入力不十分"&amp;CHAR(10),
IF(AND(AF16="○",AG16="○",AH16="◎",AI16="○"),"【"&amp;AK16&amp;"行目】【整備先・内容】未入力、【規格・数量】未入力、【補助対象区分】未入力"&amp;CHAR(10),
IF(AND(AF16="○",AG16="○",AH16="◎",AI16="◎"),"【"&amp;AK16&amp;"行目】【整備先・内容】未入力、【規格・数量】未入力"&amp;CHAR(10),
IF(AND(AF16="○",AG16="×",AH16="○",AI16="○"),"【"&amp;AK16&amp;"行目】【整備先・内容】未入力、【規格・数量】入力不十分、【単価】未入力、【補助対象区分】未入力"&amp;CHAR(10),
IF(AND(AF16="○",AG16="×",AH16="○",AI16="◎"),"【"&amp;AK16&amp;"行目】【整備先・内容】未入力、【規格・数量】入力不十分、【単価】未入力"&amp;CHAR(10),
IF(AND(AF16="○",AG16="×",AH16="×",AI16="○"),"【"&amp;AK16&amp;"行目】【整備先・内容】未入力、【規格・数量】入力不十分、【単価】入力不十分、【補助対象区分】未入力"&amp;CHAR(10),
IF(AND(AF16="○",AG16="×",AH16="×",AI16="◎"),"【"&amp;AK16&amp;"行目】【整備先・内容】未入力、【規格・数量】入力不十分、【単価】入力不十分"&amp;CHAR(10),
IF(AND(AF16="○",AG16="×",AH16="◎",AI16="○"),"【"&amp;AK16&amp;"行目】【整備先・内容】未入力、【規格・数量】入力不十分、【補助対象区分】未入力"&amp;CHAR(10),
IF(AND(AF16="○",AG16="×",AH16="◎",AI16="◎"),"【"&amp;AK16&amp;"行目】【整備先・内容】未入力、【規格・数量】入力不十分"&amp;CHAR(10),
IF(AND(AF16="○",AG16="◎",AH16="○",AI16="○"),"【"&amp;AK16&amp;"行目】【整備先・内容】未入力、【単価】未入力、【補助対象区分】未入力"&amp;CHAR(10),
IF(AND(AF16="○",AG16="◎",AH16="○",AI16="◎"),"【"&amp;AK16&amp;"行目】【整備先・内容】未入力、【単価】未入力"&amp;CHAR(10),
IF(AND(AF16="○",AG16="◎",AH16="×",AI16="○"),"【"&amp;AK16&amp;"行目】【整備先・内容】未入力、【単価】入力不十分、【補助対象区分】未入力"&amp;CHAR(10),
IF(AND(AF16="○",AG16="◎",AH16="×",AI16="◎"),"【"&amp;AK16&amp;"行目】【整備先・内容】未入力、【単価】入力不十分"&amp;CHAR(10),
IF(AND(AF16="○",AG16="◎",AH16="◎",AI16="○"),"【"&amp;AK16&amp;"行目】【整備先・内容】未入力、【補助対象区分】未入力"&amp;CHAR(10),
IF(AND(AF16="○",AG16="◎",AH16="◎",AI16="◎"),"【"&amp;AK16&amp;"行目】【整備先・内容】未入力"&amp;CHAR(10),
IF(AND(AF16="×",AG16="○",AH16="○",AI16="○"),"【"&amp;AK16&amp;"行目】【整備先・内容】入力不十分、【規格・数量】未入力、【単価】未入力、【補助対象区分】未入力"&amp;CHAR(10),
IF(AND(AF16="×",AG16="○",AH16="○",AI16="◎"),"【"&amp;AK16&amp;"行目】【整備先・内容】入力不十分、【規格・数量】未入力、【単価】未入力"&amp;CHAR(10),
IF(AND(AF16="×",AG16="○",AH16="×",AI16="○"),"【"&amp;AK16&amp;"行目】【整備先・内容】入力不十分、【規格・数量】未入力、【単価】入力不十分、【補助対象区分】未入力"&amp;CHAR(10),
IF(AND(AF16="×",AG16="○",AH16="×",AI16="◎"),"【"&amp;AK16&amp;"行目】【整備先・内容】入力不十分、【規格・数量】未入力、【単価】入力不十分"&amp;CHAR(10),
IF(AND(AF16="×",AG16="○",AH16="◎",AI16="○"),"【"&amp;AK16&amp;"行目】【整備先・内容】入力不十分、【規格・数量】未入力、【補助対象区分】未入力"&amp;CHAR(10),
IF(AND(AF16="×",AG16="○",AH16="◎",AI16="◎"),"【"&amp;AK16&amp;"行目】【整備先・内容】入力不十分、【規格・数量】未入力"&amp;CHAR(10),
IF(AND(AF16="×",AG16="×",AH16="○",AI16="○"),"【"&amp;AK16&amp;"行目】【整備先・内容】入力不十分、【規格・数量】入力不十分、【単価】未入力、【補助対象区分】未入力"&amp;CHAR(10),
IF(AND(AF16="×",AG16="×",AH16="○",AI16="◎"),"【"&amp;AK16&amp;"行目】【整備先・内容】入力不十分、【規格・数量】入力不十分、【単価】未入力"&amp;CHAR(10),
IF(AND(AF16="×",AG16="×",AH16="×",AI16="○"),"【"&amp;AK16&amp;"行目】【整備先・内容】入力不十分、【規格・数量】入力不十分、【単価】入力不十分、【補助対象区分】未入力"&amp;CHAR(10),
IF(AND(AF16="×",AG16="×",AH16="×",AI16="◎"),"【"&amp;AK16&amp;"行目】【整備先・内容】入力不十分、【規格・数量】入力不十分、【単価】入力不十分"&amp;CHAR(10),
IF(AND(AF16="×",AG16="×",AH16="◎",AI16="○"),"【"&amp;AK16&amp;"行目】【整備先・内容】入力不十分、【規格・数量】入力不十分、【補助対象区分】未入力"&amp;CHAR(10),
IF(AND(AF16="×",AG16="×",AH16="◎",AI16="◎"),"【"&amp;AK16&amp;"行目】【整備先・内容】入力不十分、【規格・数量】入力不十分"&amp;CHAR(10),
IF(AND(AF16="×",AG16="◎",AH16="○",AI16="○"),"【"&amp;AK16&amp;"行目】【整備先・内容】入力不十分、【単価】未入力、【補助対象区分】未入力"&amp;CHAR(10),
IF(AND(AF16="×",AG16="◎",AH16="○",AI16="◎"),"【"&amp;AK16&amp;"行目】【整備先・内容】入力不十分、【単価】未入力"&amp;CHAR(10),
IF(AND(AF16="×",AG16="◎",AH16="×",AI16="○"),"【"&amp;AK16&amp;"行目】【整備先・内容】入力不十分、【単価】入力不十分、【補助対象区分】未入力"&amp;CHAR(10),
IF(AND(AF16="×",AG16="◎",AH16="×",AI16="◎"),"【"&amp;AK16&amp;"行目】【整備先・内容】入力不十分、【単価】入力不十分"&amp;CHAR(10),
IF(AND(AF16="×",AG16="◎",AH16="◎",AI16="○"),"【"&amp;AK16&amp;"行目】【整備先・内容】入力不十分、【補助対象区分】未入力"&amp;CHAR(10),
IF(AND(AF16="×",AG16="◎",AH16="◎",AI16="◎"),"【"&amp;AK16&amp;"行目】【整備先・内容】入力不十分"&amp;CHAR(10),
IF(AND(AF16="◎",AG16="○",AH16="○",AI16="○"),"【"&amp;AK16&amp;"行目】【規格・数量】未入力、【単価】未入力、【補助対象区分】未入力"&amp;CHAR(10),
IF(AND(AF16="◎",AG16="○",AH16="○",AI16="◎"),"【"&amp;AK16&amp;"行目】【規格・数量】未入力、【単価】未入力"&amp;CHAR(10),
IF(AND(AF16="◎",AG16="○",AH16="×",AI16="○"),"【"&amp;AK16&amp;"行目】【規格・数量】未入力、【単価】入力不十分、【補助対象区分】未入力"&amp;CHAR(10),
IF(AND(AF16="◎",AG16="○",AH16="×",AI16="◎"),"【"&amp;AK16&amp;"行目】【規格・数量】未入力、【単価】入力不十分"&amp;CHAR(10),
IF(AND(AF16="◎",AG16="○",AH16="◎",AI16="○"),"【"&amp;AK16&amp;"行目】【規格・数量】未入力、【補助対象区分】未入力"&amp;CHAR(10),
IF(AND(AF16="◎",AG16="○",AH16="◎",AI16="◎"),"【"&amp;AK16&amp;"行目】【規格・数量】未入力"&amp;CHAR(10),
IF(AND(AF16="◎",AG16="×",AH16="○",AI16="○"),"【"&amp;AK16&amp;"行目】【規格・数量】入力不十分、【単価】未入力、【補助対象区分】未入力"&amp;CHAR(10),
IF(AND(AF16="◎",AG16="×",AH16="○",AI16="◎"),"【"&amp;AK16&amp;"行目】【規格・数量】入力不十分、【単価】未入力"&amp;CHAR(10),
IF(AND(AF16="◎",AG16="×",AH16="×",AI16="○"),"【"&amp;AK16&amp;"行目】【規格・数量】入力不十分、【単価】入力不十分、【補助対象区分】未入力"&amp;CHAR(10),
IF(AND(AF16="◎",AG16="×",AH16="×",AI16="◎"),"【"&amp;AK16&amp;"行目】【規格・数量】入力不十分、【単価】入力不十分"&amp;CHAR(10),
IF(AND(AF16="◎",AG16="×",AH16="◎",AI16="○"),"【"&amp;AK16&amp;"行目】【規格・数量】入力不十分、【補助対象区分】未入力"&amp;CHAR(10),
IF(AND(AF16="◎",AG16="×",AH16="◎",AI16="◎"),"【"&amp;AK16&amp;"行目】【規格・数量】入力不十分"&amp;CHAR(10),
IF(AND(AF16="◎",AG16="◎",AH16="○",AI16="○"),"【"&amp;AK16&amp;"行目】【単価】未入力、【補助対象区分】未入力"&amp;CHAR(10),
IF(AND(AF16="◎",AG16="◎",AH16="○",AI16="◎"),"【"&amp;AK16&amp;"行目】【単価】未入力"&amp;CHAR(10),
IF(AND(AF16="◎",AG16="◎",AH16="×",AI16="○"),"【"&amp;AK16&amp;"行目】【単価】入力不十分、【補助対象区分】未入力"&amp;CHAR(10),
IF(AND(AF16="◎",AG16="◎",AH16="×",AI16="◎"),"【"&amp;AK16&amp;"行目】【単価】入力不十分"&amp;CHAR(10),
IF(AND(AF16="◎",AG16="◎",AH16="◎",AI16="○"),"【"&amp;AK16&amp;"行目】【補助対象区分】未入力"&amp;CHAR(10),
IF(AND(AF16="◎",AG16="◎",AH16="◎",AI16="◎"),"",
))))))))))))))))))))))))))))))))))))))))))))))))))))))</f>
        <v/>
      </c>
      <c r="AK16" s="12">
        <v>2</v>
      </c>
    </row>
    <row r="17" spans="1:75" ht="24.95" customHeight="1">
      <c r="A17" s="38">
        <v>3</v>
      </c>
      <c r="B17" s="313"/>
      <c r="C17" s="313"/>
      <c r="D17" s="313"/>
      <c r="E17" s="314"/>
      <c r="F17" s="315"/>
      <c r="G17" s="316"/>
      <c r="H17" s="316"/>
      <c r="I17" s="45">
        <f t="shared" si="0"/>
        <v>0</v>
      </c>
      <c r="J17" s="317"/>
      <c r="K17" s="45">
        <f t="shared" si="1"/>
        <v>0</v>
      </c>
      <c r="L17" s="232" t="str">
        <f>IF(AD17="◎",COUNTIF($AD$15:AD17,"◎"),"")</f>
        <v/>
      </c>
      <c r="W17" s="231" t="str">
        <f>IF(B17="既設病床",はじめに入力してください!$K$12,IF(B17="新設病床",はじめに入力してください!$K$13,IF(B17="共通使用",1,"")))</f>
        <v/>
      </c>
      <c r="AC17" s="28" t="s">
        <v>69</v>
      </c>
      <c r="AD17" s="231" t="str">
        <f t="shared" si="2"/>
        <v>○</v>
      </c>
      <c r="AE17" s="35" t="str">
        <f t="shared" si="3"/>
        <v>申請しない場合は入力不要です。</v>
      </c>
      <c r="AF17" s="231" t="str">
        <f t="shared" si="4"/>
        <v>○</v>
      </c>
      <c r="AG17" s="231" t="str">
        <f t="shared" si="5"/>
        <v>○</v>
      </c>
      <c r="AH17" s="231" t="str">
        <f t="shared" si="6"/>
        <v>○</v>
      </c>
      <c r="AI17" s="231" t="str">
        <f t="shared" si="7"/>
        <v>○</v>
      </c>
      <c r="AJ17" s="14" t="str">
        <f t="shared" si="8"/>
        <v/>
      </c>
      <c r="AK17" s="12">
        <v>3</v>
      </c>
      <c r="AY17" s="726" t="s">
        <v>76</v>
      </c>
      <c r="AZ17" s="477"/>
      <c r="BA17" s="477"/>
      <c r="BB17" s="477"/>
      <c r="BC17" s="727"/>
      <c r="BD17" s="726" t="s">
        <v>75</v>
      </c>
      <c r="BE17" s="477"/>
      <c r="BF17" s="477"/>
      <c r="BG17" s="477"/>
      <c r="BH17" s="727"/>
      <c r="BO17" s="231" t="s">
        <v>123</v>
      </c>
      <c r="BP17" s="231" t="s">
        <v>64</v>
      </c>
      <c r="BQ17" s="231" t="s">
        <v>122</v>
      </c>
      <c r="BR17" s="231" t="s">
        <v>121</v>
      </c>
      <c r="BS17" s="718" t="s">
        <v>89</v>
      </c>
      <c r="BT17" s="719"/>
      <c r="BU17" s="719"/>
      <c r="BV17" s="719"/>
      <c r="BW17" s="719"/>
    </row>
    <row r="18" spans="1:75" ht="24.95" customHeight="1">
      <c r="A18" s="38">
        <v>4</v>
      </c>
      <c r="B18" s="313"/>
      <c r="C18" s="313"/>
      <c r="D18" s="313"/>
      <c r="E18" s="314"/>
      <c r="F18" s="315"/>
      <c r="G18" s="316"/>
      <c r="H18" s="316"/>
      <c r="I18" s="45">
        <f t="shared" si="0"/>
        <v>0</v>
      </c>
      <c r="J18" s="317"/>
      <c r="K18" s="45">
        <f t="shared" si="1"/>
        <v>0</v>
      </c>
      <c r="L18" s="232" t="str">
        <f>IF(AD18="◎",COUNTIF($AD$15:AD18,"◎"),"")</f>
        <v/>
      </c>
      <c r="W18" s="231" t="str">
        <f>IF(B18="既設病床",はじめに入力してください!$K$12,IF(B18="新設病床",はじめに入力してください!$K$13,IF(B18="共通使用",1,"")))</f>
        <v/>
      </c>
      <c r="AC18" s="28" t="s">
        <v>69</v>
      </c>
      <c r="AD18" s="231" t="str">
        <f t="shared" si="2"/>
        <v>○</v>
      </c>
      <c r="AE18" s="35" t="str">
        <f t="shared" si="3"/>
        <v>申請しない場合は入力不要です。</v>
      </c>
      <c r="AF18" s="231" t="str">
        <f t="shared" si="4"/>
        <v>○</v>
      </c>
      <c r="AG18" s="231" t="str">
        <f t="shared" si="5"/>
        <v>○</v>
      </c>
      <c r="AH18" s="231" t="str">
        <f t="shared" si="6"/>
        <v>○</v>
      </c>
      <c r="AI18" s="231" t="str">
        <f t="shared" si="7"/>
        <v>○</v>
      </c>
      <c r="AJ18" s="14" t="str">
        <f t="shared" si="8"/>
        <v/>
      </c>
      <c r="AK18" s="12">
        <v>4</v>
      </c>
      <c r="AY18" s="728" t="e">
        <f>IF(BP18="○","個人防護具の申請を行わない場合は可",IF(BP18="×","　【未入力有】"&amp;CHAR(10)&amp;"　補助基準額を算出するため黄色セルを"&amp;CHAR(10)&amp;"　どちらも入力してください。"&amp;CHAR(10)&amp;"（「0」は入力しないでください。）",IF(BP18="◎","適切に入力されました。"&amp;CHAR(10)&amp;"延"&amp;#REF!&amp;"人×3,600円/円・日="&amp;TEXT(#REF!*3600,"#,##0")&amp;"円")))</f>
        <v>#REF!</v>
      </c>
      <c r="AZ18" s="729"/>
      <c r="BA18" s="729"/>
      <c r="BB18" s="729"/>
      <c r="BC18" s="730"/>
      <c r="BD18" s="729" t="str">
        <f>IF(BP19="×","【要修正】"&amp;CHAR(10)&amp;"入力が適切に完了していない項目があります。"&amp;CHAR(10)&amp;"判定欄が「×」の行は、記載が不十分または不要な入力がされていてる可能性がありますのでご確認をお願いします。",IF(BP19="○","個人防護具の補助申請を行わない場合は可",IF(BP19="◎","適切に入力がされました。"&amp;CHAR(10)&amp;"添付書類（発注、納品および支払いが確認できるもの）の御用意、御提出をお願いします。")))</f>
        <v>個人防護具の補助申請を行わない場合は可</v>
      </c>
      <c r="BE18" s="730"/>
      <c r="BF18" s="730"/>
      <c r="BG18" s="730"/>
      <c r="BH18" s="730"/>
      <c r="BO18" s="14" t="s">
        <v>128</v>
      </c>
      <c r="BP18" s="230" t="e">
        <f>IF(COUNTA(#REF!)=0,"○",IF(OR(COUNTA(#REF!)=1,#REF!=0,#REF!=0),"×",IF(COUNTA(#REF!)=2,"◎")))</f>
        <v>#REF!</v>
      </c>
      <c r="BQ18" s="733" t="e">
        <f xml:space="preserve">
IF(AND(BP18="×",BP19="×"),"×",
IF(AND(BP18="×",BP19="○"),"×",
IF(AND(BP18="×",BP19="◎"),"×",
IF(AND(BP18="○",BP19="×"),"×",
IF(AND(BP18="○",BP19="○"),"○",
IF(AND(BP18="○",BP19="◎"),"×",
IF(AND(BP18="◎",BP19="×"),"×",
IF(AND(BP18="◎",BP19="○"),"×",
IF(AND(BP18="◎",BP19="◎"),"◎",
)))))))))</f>
        <v>#REF!</v>
      </c>
      <c r="BR18" s="731" t="e">
        <f xml:space="preserve">
IF(AND(BP18="×",BP19="×"),"【要修正】「はじめに」及び「防護具情報」いずれも入力が不十分です。",
IF(AND(BP18="×",BP19="○"),"【要修正】「はじめに」が入力不十分、また「防護具情報」が未入力です。",
IF(AND(BP18="×",BP19="◎"),"【要修正】「はじめに」が入力不十分です。",
IF(AND(BP18="○",BP19="×"),"【要修正】「はじめに」が未入力、「防護具情報」が入力不十分です。",
IF(AND(BP18="○",BP19="○"),"個人防護具の補助申請を行わない場合は入力不要です。",
IF(AND(BP18="○",BP19="◎"),"【要修正】「はじめに」が未入力です。",
IF(AND(BP18="◎",BP19="×"),"【要修正】「防護具情報」が入力不十分です。",
IF(AND(BP18="◎",BP19="○"),"【要修正】「防護具情報」が入力不十分です。",
IF(AND(BP18="◎",BP19="◎"),"いずれの項目も適切に入力されました。",
)))))))))</f>
        <v>#REF!</v>
      </c>
      <c r="BS18" s="718"/>
      <c r="BT18" s="719"/>
      <c r="BU18" s="719"/>
      <c r="BV18" s="719"/>
      <c r="BW18" s="719"/>
    </row>
    <row r="19" spans="1:75" ht="24.95" customHeight="1">
      <c r="A19" s="38">
        <v>5</v>
      </c>
      <c r="B19" s="313"/>
      <c r="C19" s="313"/>
      <c r="D19" s="313"/>
      <c r="E19" s="314"/>
      <c r="F19" s="315"/>
      <c r="G19" s="316"/>
      <c r="H19" s="316"/>
      <c r="I19" s="45">
        <f t="shared" si="0"/>
        <v>0</v>
      </c>
      <c r="J19" s="317"/>
      <c r="K19" s="45">
        <f t="shared" si="1"/>
        <v>0</v>
      </c>
      <c r="L19" s="232" t="str">
        <f>IF(AD19="◎",COUNTIF($AD$15:AD19,"◎"),"")</f>
        <v/>
      </c>
      <c r="W19" s="231" t="str">
        <f>IF(B19="既設病床",はじめに入力してください!$K$12,IF(B19="新設病床",はじめに入力してください!$K$13,IF(B19="共通使用",1,"")))</f>
        <v/>
      </c>
      <c r="AC19" s="28" t="s">
        <v>69</v>
      </c>
      <c r="AD19" s="231" t="str">
        <f t="shared" si="2"/>
        <v>○</v>
      </c>
      <c r="AE19" s="35" t="str">
        <f t="shared" si="3"/>
        <v>申請しない場合は入力不要です。</v>
      </c>
      <c r="AF19" s="231" t="str">
        <f t="shared" si="4"/>
        <v>○</v>
      </c>
      <c r="AG19" s="231" t="str">
        <f t="shared" si="5"/>
        <v>○</v>
      </c>
      <c r="AH19" s="231" t="str">
        <f t="shared" si="6"/>
        <v>○</v>
      </c>
      <c r="AI19" s="231" t="str">
        <f t="shared" si="7"/>
        <v>○</v>
      </c>
      <c r="AJ19" s="14" t="str">
        <f t="shared" si="8"/>
        <v/>
      </c>
      <c r="AK19" s="12">
        <v>5</v>
      </c>
      <c r="AY19" s="729"/>
      <c r="AZ19" s="729"/>
      <c r="BA19" s="729"/>
      <c r="BB19" s="729"/>
      <c r="BC19" s="730"/>
      <c r="BD19" s="730"/>
      <c r="BE19" s="730"/>
      <c r="BF19" s="730"/>
      <c r="BG19" s="730"/>
      <c r="BH19" s="730"/>
      <c r="BO19" s="14" t="s">
        <v>130</v>
      </c>
      <c r="BP19" s="230" t="str">
        <f>IF(COUNTIF(AD15:AD46,"×")&gt;1,"×",IF(COUNTIF(AD15:AD46,"○")=32,"○","◎"))</f>
        <v>○</v>
      </c>
      <c r="BQ19" s="734"/>
      <c r="BR19" s="732"/>
      <c r="BS19" s="718"/>
      <c r="BT19" s="719"/>
      <c r="BU19" s="719"/>
      <c r="BV19" s="719"/>
      <c r="BW19" s="719"/>
    </row>
    <row r="20" spans="1:75" ht="24.95" customHeight="1">
      <c r="A20" s="38">
        <v>6</v>
      </c>
      <c r="B20" s="313"/>
      <c r="C20" s="313"/>
      <c r="D20" s="313"/>
      <c r="E20" s="314"/>
      <c r="F20" s="315"/>
      <c r="G20" s="316"/>
      <c r="H20" s="316"/>
      <c r="I20" s="45">
        <f t="shared" si="0"/>
        <v>0</v>
      </c>
      <c r="J20" s="317"/>
      <c r="K20" s="45">
        <f t="shared" si="1"/>
        <v>0</v>
      </c>
      <c r="L20" s="232" t="str">
        <f>IF(AD20="◎",COUNTIF($AD$15:AD20,"◎"),"")</f>
        <v/>
      </c>
      <c r="W20" s="231" t="str">
        <f>IF(B20="既設病床",はじめに入力してください!$K$12,IF(B20="新設病床",はじめに入力してください!$K$13,IF(B20="共通使用",1,"")))</f>
        <v/>
      </c>
      <c r="AC20" s="28" t="s">
        <v>69</v>
      </c>
      <c r="AD20" s="231" t="str">
        <f t="shared" si="2"/>
        <v>○</v>
      </c>
      <c r="AE20" s="35" t="str">
        <f t="shared" si="3"/>
        <v>申請しない場合は入力不要です。</v>
      </c>
      <c r="AF20" s="231" t="str">
        <f t="shared" si="4"/>
        <v>○</v>
      </c>
      <c r="AG20" s="231" t="str">
        <f t="shared" si="5"/>
        <v>○</v>
      </c>
      <c r="AH20" s="231" t="str">
        <f t="shared" si="6"/>
        <v>○</v>
      </c>
      <c r="AI20" s="231" t="str">
        <f t="shared" si="7"/>
        <v>○</v>
      </c>
      <c r="AJ20" s="14" t="str">
        <f t="shared" si="8"/>
        <v/>
      </c>
      <c r="AK20" s="12">
        <v>6</v>
      </c>
      <c r="AY20" s="729"/>
      <c r="AZ20" s="729"/>
      <c r="BA20" s="729"/>
      <c r="BB20" s="729"/>
      <c r="BC20" s="730"/>
      <c r="BD20" s="730"/>
      <c r="BE20" s="730"/>
      <c r="BF20" s="730"/>
      <c r="BG20" s="730"/>
      <c r="BH20" s="730"/>
      <c r="BO20" s="15" t="s">
        <v>127</v>
      </c>
      <c r="BP20" s="209"/>
      <c r="BQ20" s="209"/>
      <c r="BR20" s="13"/>
      <c r="BS20" s="13"/>
      <c r="BT20" s="155"/>
      <c r="BU20" s="155"/>
      <c r="BV20" s="155"/>
      <c r="BW20" s="155"/>
    </row>
    <row r="21" spans="1:75" ht="24.95" customHeight="1">
      <c r="A21" s="38">
        <v>7</v>
      </c>
      <c r="B21" s="313"/>
      <c r="C21" s="313"/>
      <c r="D21" s="313"/>
      <c r="E21" s="314"/>
      <c r="F21" s="315"/>
      <c r="G21" s="316"/>
      <c r="H21" s="316"/>
      <c r="I21" s="45">
        <f t="shared" si="0"/>
        <v>0</v>
      </c>
      <c r="J21" s="317"/>
      <c r="K21" s="45">
        <f t="shared" si="1"/>
        <v>0</v>
      </c>
      <c r="L21" s="232" t="str">
        <f>IF(AD21="◎",COUNTIF($AD$15:AD21,"◎"),"")</f>
        <v/>
      </c>
      <c r="W21" s="231" t="str">
        <f>IF(B21="既設病床",はじめに入力してください!$K$12,IF(B21="新設病床",はじめに入力してください!$K$13,IF(B21="共通使用",1,"")))</f>
        <v/>
      </c>
      <c r="AC21" s="28" t="s">
        <v>69</v>
      </c>
      <c r="AD21" s="231" t="str">
        <f t="shared" si="2"/>
        <v>○</v>
      </c>
      <c r="AE21" s="35" t="str">
        <f t="shared" si="3"/>
        <v>申請しない場合は入力不要です。</v>
      </c>
      <c r="AF21" s="231" t="str">
        <f t="shared" si="4"/>
        <v>○</v>
      </c>
      <c r="AG21" s="231" t="str">
        <f t="shared" si="5"/>
        <v>○</v>
      </c>
      <c r="AH21" s="231" t="str">
        <f t="shared" si="6"/>
        <v>○</v>
      </c>
      <c r="AI21" s="231" t="str">
        <f t="shared" si="7"/>
        <v>○</v>
      </c>
      <c r="AJ21" s="14" t="str">
        <f t="shared" si="8"/>
        <v/>
      </c>
      <c r="AK21" s="12">
        <v>7</v>
      </c>
      <c r="AY21" s="730"/>
      <c r="AZ21" s="730"/>
      <c r="BA21" s="730"/>
      <c r="BB21" s="730"/>
      <c r="BC21" s="730"/>
      <c r="BD21" s="730"/>
      <c r="BE21" s="730"/>
      <c r="BF21" s="730"/>
      <c r="BG21" s="730"/>
      <c r="BH21" s="730"/>
      <c r="BS21" s="13"/>
      <c r="BT21" s="155"/>
      <c r="BU21" s="155"/>
      <c r="BV21" s="155"/>
      <c r="BW21" s="155"/>
    </row>
    <row r="22" spans="1:75" ht="24.95" customHeight="1">
      <c r="A22" s="38">
        <v>8</v>
      </c>
      <c r="B22" s="313"/>
      <c r="C22" s="313"/>
      <c r="D22" s="313"/>
      <c r="E22" s="314"/>
      <c r="F22" s="315"/>
      <c r="G22" s="316"/>
      <c r="H22" s="316"/>
      <c r="I22" s="45">
        <f t="shared" si="0"/>
        <v>0</v>
      </c>
      <c r="J22" s="317"/>
      <c r="K22" s="45">
        <f t="shared" si="1"/>
        <v>0</v>
      </c>
      <c r="L22" s="232" t="str">
        <f>IF(AD22="◎",COUNTIF($AD$15:AD22,"◎"),"")</f>
        <v/>
      </c>
      <c r="T22" s="155"/>
      <c r="U22" s="155"/>
      <c r="V22" s="155"/>
      <c r="W22" s="231" t="str">
        <f>IF(B22="既設病床",はじめに入力してください!$K$12,IF(B22="新設病床",はじめに入力してください!$K$13,IF(B22="共通使用",1,"")))</f>
        <v/>
      </c>
      <c r="AC22" s="28" t="s">
        <v>69</v>
      </c>
      <c r="AD22" s="231" t="str">
        <f t="shared" si="2"/>
        <v>○</v>
      </c>
      <c r="AE22" s="35" t="str">
        <f t="shared" si="3"/>
        <v>申請しない場合は入力不要です。</v>
      </c>
      <c r="AF22" s="231" t="str">
        <f t="shared" si="4"/>
        <v>○</v>
      </c>
      <c r="AG22" s="231" t="str">
        <f t="shared" si="5"/>
        <v>○</v>
      </c>
      <c r="AH22" s="231" t="str">
        <f t="shared" si="6"/>
        <v>○</v>
      </c>
      <c r="AI22" s="231" t="str">
        <f t="shared" si="7"/>
        <v>○</v>
      </c>
      <c r="AJ22" s="14" t="str">
        <f t="shared" si="8"/>
        <v/>
      </c>
      <c r="AK22" s="12">
        <v>8</v>
      </c>
      <c r="AY22" s="727"/>
      <c r="AZ22" s="730"/>
      <c r="BA22" s="730"/>
      <c r="BB22" s="730"/>
      <c r="BC22" s="730"/>
      <c r="BD22" s="730"/>
      <c r="BE22" s="730"/>
      <c r="BF22" s="730"/>
      <c r="BG22" s="730"/>
      <c r="BH22" s="730"/>
      <c r="BS22" s="13"/>
      <c r="BT22" s="155"/>
      <c r="BU22" s="155"/>
      <c r="BV22" s="155"/>
      <c r="BW22" s="155"/>
    </row>
    <row r="23" spans="1:75" ht="24.95" customHeight="1">
      <c r="A23" s="38">
        <v>9</v>
      </c>
      <c r="B23" s="313"/>
      <c r="C23" s="313"/>
      <c r="D23" s="313"/>
      <c r="E23" s="314"/>
      <c r="F23" s="315"/>
      <c r="G23" s="316"/>
      <c r="H23" s="316"/>
      <c r="I23" s="45">
        <f t="shared" si="0"/>
        <v>0</v>
      </c>
      <c r="J23" s="317"/>
      <c r="K23" s="45">
        <f t="shared" si="1"/>
        <v>0</v>
      </c>
      <c r="L23" s="232" t="str">
        <f>IF(AD23="◎",COUNTIF($AD$15:AD23,"◎"),"")</f>
        <v/>
      </c>
      <c r="W23" s="231" t="str">
        <f>IF(B23="既設病床",はじめに入力してください!$K$12,IF(B23="新設病床",はじめに入力してください!$K$13,IF(B23="共通使用",1,"")))</f>
        <v/>
      </c>
      <c r="AC23" s="28" t="s">
        <v>69</v>
      </c>
      <c r="AD23" s="231" t="str">
        <f t="shared" si="2"/>
        <v>○</v>
      </c>
      <c r="AE23" s="35" t="str">
        <f t="shared" si="3"/>
        <v>申請しない場合は入力不要です。</v>
      </c>
      <c r="AF23" s="231" t="str">
        <f t="shared" si="4"/>
        <v>○</v>
      </c>
      <c r="AG23" s="231" t="str">
        <f t="shared" si="5"/>
        <v>○</v>
      </c>
      <c r="AH23" s="231" t="str">
        <f t="shared" si="6"/>
        <v>○</v>
      </c>
      <c r="AI23" s="231" t="str">
        <f t="shared" si="7"/>
        <v>○</v>
      </c>
      <c r="AJ23" s="14" t="str">
        <f t="shared" si="8"/>
        <v/>
      </c>
      <c r="AK23" s="12">
        <v>9</v>
      </c>
    </row>
    <row r="24" spans="1:75" ht="24.95" customHeight="1">
      <c r="A24" s="38">
        <v>10</v>
      </c>
      <c r="B24" s="313"/>
      <c r="C24" s="313"/>
      <c r="D24" s="313"/>
      <c r="E24" s="314"/>
      <c r="F24" s="315"/>
      <c r="G24" s="316"/>
      <c r="H24" s="316"/>
      <c r="I24" s="45">
        <f t="shared" si="0"/>
        <v>0</v>
      </c>
      <c r="J24" s="317"/>
      <c r="K24" s="45">
        <f t="shared" si="1"/>
        <v>0</v>
      </c>
      <c r="L24" s="232" t="str">
        <f>IF(AD24="◎",COUNTIF($AD$15:AD24,"◎"),"")</f>
        <v/>
      </c>
      <c r="W24" s="231" t="str">
        <f>IF(B24="既設病床",はじめに入力してください!$K$12,IF(B24="新設病床",はじめに入力してください!$K$13,IF(B24="共通使用",1,"")))</f>
        <v/>
      </c>
      <c r="AC24" s="28" t="s">
        <v>69</v>
      </c>
      <c r="AD24" s="231" t="str">
        <f t="shared" si="2"/>
        <v>○</v>
      </c>
      <c r="AE24" s="35" t="str">
        <f t="shared" si="3"/>
        <v>申請しない場合は入力不要です。</v>
      </c>
      <c r="AF24" s="231" t="str">
        <f t="shared" si="4"/>
        <v>○</v>
      </c>
      <c r="AG24" s="231" t="str">
        <f t="shared" si="5"/>
        <v>○</v>
      </c>
      <c r="AH24" s="231" t="str">
        <f t="shared" si="6"/>
        <v>○</v>
      </c>
      <c r="AI24" s="231" t="str">
        <f t="shared" si="7"/>
        <v>○</v>
      </c>
      <c r="AJ24" s="14" t="str">
        <f t="shared" si="8"/>
        <v/>
      </c>
      <c r="AK24" s="12">
        <v>10</v>
      </c>
    </row>
    <row r="25" spans="1:75" ht="24.95" customHeight="1">
      <c r="A25" s="38">
        <v>11</v>
      </c>
      <c r="B25" s="313"/>
      <c r="C25" s="313"/>
      <c r="D25" s="313"/>
      <c r="E25" s="314"/>
      <c r="F25" s="315"/>
      <c r="G25" s="316"/>
      <c r="H25" s="316"/>
      <c r="I25" s="45">
        <f t="shared" si="0"/>
        <v>0</v>
      </c>
      <c r="J25" s="317"/>
      <c r="K25" s="45">
        <f t="shared" si="1"/>
        <v>0</v>
      </c>
      <c r="L25" s="232" t="str">
        <f>IF(AD25="◎",COUNTIF($AD$15:AD25,"◎"),"")</f>
        <v/>
      </c>
      <c r="W25" s="231" t="str">
        <f>IF(B25="既設病床",はじめに入力してください!$K$12,IF(B25="新設病床",はじめに入力してください!$K$13,IF(B25="共通使用",1,"")))</f>
        <v/>
      </c>
      <c r="AC25" s="28" t="s">
        <v>69</v>
      </c>
      <c r="AD25" s="231" t="str">
        <f t="shared" si="2"/>
        <v>○</v>
      </c>
      <c r="AE25" s="35" t="str">
        <f t="shared" si="3"/>
        <v>申請しない場合は入力不要です。</v>
      </c>
      <c r="AF25" s="231" t="str">
        <f t="shared" si="4"/>
        <v>○</v>
      </c>
      <c r="AG25" s="231" t="str">
        <f t="shared" si="5"/>
        <v>○</v>
      </c>
      <c r="AH25" s="231" t="str">
        <f t="shared" si="6"/>
        <v>○</v>
      </c>
      <c r="AI25" s="231" t="str">
        <f t="shared" si="7"/>
        <v>○</v>
      </c>
      <c r="AJ25" s="14" t="str">
        <f t="shared" si="8"/>
        <v/>
      </c>
      <c r="AK25" s="12">
        <v>11</v>
      </c>
    </row>
    <row r="26" spans="1:75" ht="24.95" customHeight="1">
      <c r="A26" s="38">
        <v>12</v>
      </c>
      <c r="B26" s="313"/>
      <c r="C26" s="313"/>
      <c r="D26" s="313"/>
      <c r="E26" s="314"/>
      <c r="F26" s="315"/>
      <c r="G26" s="316"/>
      <c r="H26" s="316"/>
      <c r="I26" s="45">
        <f t="shared" si="0"/>
        <v>0</v>
      </c>
      <c r="J26" s="317"/>
      <c r="K26" s="45">
        <f t="shared" si="1"/>
        <v>0</v>
      </c>
      <c r="L26" s="232" t="str">
        <f>IF(AD26="◎",COUNTIF($AD$15:AD26,"◎"),"")</f>
        <v/>
      </c>
      <c r="W26" s="231" t="str">
        <f>IF(B26="既設病床",はじめに入力してください!$K$12,IF(B26="新設病床",はじめに入力してください!$K$13,IF(B26="共通使用",1,"")))</f>
        <v/>
      </c>
      <c r="AC26" s="28" t="s">
        <v>69</v>
      </c>
      <c r="AD26" s="231" t="str">
        <f t="shared" si="2"/>
        <v>○</v>
      </c>
      <c r="AE26" s="35" t="str">
        <f t="shared" si="3"/>
        <v>申請しない場合は入力不要です。</v>
      </c>
      <c r="AF26" s="231" t="str">
        <f t="shared" si="4"/>
        <v>○</v>
      </c>
      <c r="AG26" s="231" t="str">
        <f t="shared" si="5"/>
        <v>○</v>
      </c>
      <c r="AH26" s="231" t="str">
        <f t="shared" si="6"/>
        <v>○</v>
      </c>
      <c r="AI26" s="231" t="str">
        <f t="shared" si="7"/>
        <v>○</v>
      </c>
      <c r="AJ26" s="14" t="str">
        <f t="shared" si="8"/>
        <v/>
      </c>
      <c r="AK26" s="12">
        <v>12</v>
      </c>
    </row>
    <row r="27" spans="1:75" ht="24.95" customHeight="1">
      <c r="A27" s="38">
        <v>13</v>
      </c>
      <c r="B27" s="313"/>
      <c r="C27" s="313"/>
      <c r="D27" s="313"/>
      <c r="E27" s="314"/>
      <c r="F27" s="315"/>
      <c r="G27" s="316"/>
      <c r="H27" s="316"/>
      <c r="I27" s="45">
        <f t="shared" si="0"/>
        <v>0</v>
      </c>
      <c r="J27" s="317"/>
      <c r="K27" s="45">
        <f t="shared" si="1"/>
        <v>0</v>
      </c>
      <c r="L27" s="232" t="str">
        <f>IF(AD27="◎",COUNTIF($AD$15:AD27,"◎"),"")</f>
        <v/>
      </c>
      <c r="W27" s="231" t="str">
        <f>IF(B27="既設病床",はじめに入力してください!$K$12,IF(B27="新設病床",はじめに入力してください!$K$13,IF(B27="共通使用",1,"")))</f>
        <v/>
      </c>
      <c r="AC27" s="28" t="s">
        <v>69</v>
      </c>
      <c r="AD27" s="231" t="str">
        <f t="shared" si="2"/>
        <v>○</v>
      </c>
      <c r="AE27" s="35" t="str">
        <f t="shared" si="3"/>
        <v>申請しない場合は入力不要です。</v>
      </c>
      <c r="AF27" s="231" t="str">
        <f t="shared" si="4"/>
        <v>○</v>
      </c>
      <c r="AG27" s="231" t="str">
        <f t="shared" si="5"/>
        <v>○</v>
      </c>
      <c r="AH27" s="231" t="str">
        <f t="shared" si="6"/>
        <v>○</v>
      </c>
      <c r="AI27" s="231" t="str">
        <f t="shared" si="7"/>
        <v>○</v>
      </c>
      <c r="AJ27" s="14" t="str">
        <f t="shared" si="8"/>
        <v/>
      </c>
      <c r="AK27" s="12">
        <v>13</v>
      </c>
    </row>
    <row r="28" spans="1:75" ht="24.95" customHeight="1">
      <c r="A28" s="38">
        <v>14</v>
      </c>
      <c r="B28" s="313"/>
      <c r="C28" s="313"/>
      <c r="D28" s="313"/>
      <c r="E28" s="314"/>
      <c r="F28" s="315"/>
      <c r="G28" s="316"/>
      <c r="H28" s="316"/>
      <c r="I28" s="45">
        <f t="shared" si="0"/>
        <v>0</v>
      </c>
      <c r="J28" s="317"/>
      <c r="K28" s="45">
        <f t="shared" si="1"/>
        <v>0</v>
      </c>
      <c r="L28" s="232" t="str">
        <f>IF(AD28="◎",COUNTIF($AD$15:AD28,"◎"),"")</f>
        <v/>
      </c>
      <c r="W28" s="231" t="str">
        <f>IF(B28="既設病床",はじめに入力してください!$K$12,IF(B28="新設病床",はじめに入力してください!$K$13,IF(B28="共通使用",1,"")))</f>
        <v/>
      </c>
      <c r="AC28" s="28" t="s">
        <v>69</v>
      </c>
      <c r="AD28" s="231" t="str">
        <f t="shared" si="2"/>
        <v>○</v>
      </c>
      <c r="AE28" s="35" t="str">
        <f t="shared" si="3"/>
        <v>申請しない場合は入力不要です。</v>
      </c>
      <c r="AF28" s="231" t="str">
        <f t="shared" si="4"/>
        <v>○</v>
      </c>
      <c r="AG28" s="231" t="str">
        <f t="shared" si="5"/>
        <v>○</v>
      </c>
      <c r="AH28" s="231" t="str">
        <f t="shared" si="6"/>
        <v>○</v>
      </c>
      <c r="AI28" s="231" t="str">
        <f t="shared" si="7"/>
        <v>○</v>
      </c>
      <c r="AJ28" s="14" t="str">
        <f t="shared" si="8"/>
        <v/>
      </c>
      <c r="AK28" s="12">
        <v>14</v>
      </c>
    </row>
    <row r="29" spans="1:75" ht="24.95" customHeight="1">
      <c r="A29" s="38">
        <v>15</v>
      </c>
      <c r="B29" s="313"/>
      <c r="C29" s="313"/>
      <c r="D29" s="313"/>
      <c r="E29" s="314"/>
      <c r="F29" s="315"/>
      <c r="G29" s="316"/>
      <c r="H29" s="316"/>
      <c r="I29" s="45">
        <f t="shared" si="0"/>
        <v>0</v>
      </c>
      <c r="J29" s="317"/>
      <c r="K29" s="45">
        <f t="shared" si="1"/>
        <v>0</v>
      </c>
      <c r="L29" s="232" t="str">
        <f>IF(AD29="◎",COUNTIF($AD$15:AD29,"◎"),"")</f>
        <v/>
      </c>
      <c r="W29" s="231" t="str">
        <f>IF(B29="既設病床",はじめに入力してください!$K$12,IF(B29="新設病床",はじめに入力してください!$K$13,IF(B29="共通使用",1,"")))</f>
        <v/>
      </c>
      <c r="AC29" s="28" t="s">
        <v>69</v>
      </c>
      <c r="AD29" s="231" t="str">
        <f t="shared" si="2"/>
        <v>○</v>
      </c>
      <c r="AE29" s="35" t="str">
        <f t="shared" si="3"/>
        <v>申請しない場合は入力不要です。</v>
      </c>
      <c r="AF29" s="231" t="str">
        <f t="shared" si="4"/>
        <v>○</v>
      </c>
      <c r="AG29" s="231" t="str">
        <f t="shared" si="5"/>
        <v>○</v>
      </c>
      <c r="AH29" s="231" t="str">
        <f t="shared" si="6"/>
        <v>○</v>
      </c>
      <c r="AI29" s="231" t="str">
        <f t="shared" si="7"/>
        <v>○</v>
      </c>
      <c r="AJ29" s="14" t="str">
        <f t="shared" si="8"/>
        <v/>
      </c>
      <c r="AK29" s="12">
        <v>15</v>
      </c>
    </row>
    <row r="30" spans="1:75" ht="24.95" customHeight="1">
      <c r="A30" s="38">
        <v>16</v>
      </c>
      <c r="B30" s="313"/>
      <c r="C30" s="313"/>
      <c r="D30" s="313"/>
      <c r="E30" s="314"/>
      <c r="F30" s="315"/>
      <c r="G30" s="316"/>
      <c r="H30" s="316"/>
      <c r="I30" s="45">
        <f t="shared" si="0"/>
        <v>0</v>
      </c>
      <c r="J30" s="317"/>
      <c r="K30" s="45">
        <f t="shared" si="1"/>
        <v>0</v>
      </c>
      <c r="L30" s="232" t="str">
        <f>IF(AD30="◎",COUNTIF($AD$15:AD30,"◎"),"")</f>
        <v/>
      </c>
      <c r="W30" s="231" t="str">
        <f>IF(B30="既設病床",はじめに入力してください!$K$12,IF(B30="新設病床",はじめに入力してください!$K$13,IF(B30="共通使用",1,"")))</f>
        <v/>
      </c>
      <c r="AC30" s="28" t="s">
        <v>69</v>
      </c>
      <c r="AD30" s="231" t="str">
        <f t="shared" si="2"/>
        <v>○</v>
      </c>
      <c r="AE30" s="35" t="str">
        <f t="shared" si="3"/>
        <v>申請しない場合は入力不要です。</v>
      </c>
      <c r="AF30" s="231" t="str">
        <f t="shared" si="4"/>
        <v>○</v>
      </c>
      <c r="AG30" s="231" t="str">
        <f t="shared" si="5"/>
        <v>○</v>
      </c>
      <c r="AH30" s="231" t="str">
        <f t="shared" si="6"/>
        <v>○</v>
      </c>
      <c r="AI30" s="231" t="str">
        <f t="shared" si="7"/>
        <v>○</v>
      </c>
      <c r="AJ30" s="14" t="str">
        <f t="shared" si="8"/>
        <v/>
      </c>
      <c r="AK30" s="12">
        <v>16</v>
      </c>
    </row>
    <row r="31" spans="1:75" ht="24.95" customHeight="1">
      <c r="A31" s="38">
        <v>17</v>
      </c>
      <c r="B31" s="313"/>
      <c r="C31" s="313"/>
      <c r="D31" s="313"/>
      <c r="E31" s="314"/>
      <c r="F31" s="315"/>
      <c r="G31" s="316"/>
      <c r="H31" s="316"/>
      <c r="I31" s="45">
        <f t="shared" si="0"/>
        <v>0</v>
      </c>
      <c r="J31" s="317"/>
      <c r="K31" s="45">
        <f t="shared" si="1"/>
        <v>0</v>
      </c>
      <c r="L31" s="232" t="str">
        <f>IF(AD31="◎",COUNTIF($AD$15:AD31,"◎"),"")</f>
        <v/>
      </c>
      <c r="W31" s="231" t="str">
        <f>IF(B31="既設病床",はじめに入力してください!$K$12,IF(B31="新設病床",はじめに入力してください!$K$13,IF(B31="共通使用",1,"")))</f>
        <v/>
      </c>
      <c r="AC31" s="28" t="s">
        <v>69</v>
      </c>
      <c r="AD31" s="231" t="str">
        <f t="shared" si="2"/>
        <v>○</v>
      </c>
      <c r="AE31" s="35" t="str">
        <f t="shared" si="3"/>
        <v>申請しない場合は入力不要です。</v>
      </c>
      <c r="AF31" s="231" t="str">
        <f t="shared" si="4"/>
        <v>○</v>
      </c>
      <c r="AG31" s="231" t="str">
        <f t="shared" si="5"/>
        <v>○</v>
      </c>
      <c r="AH31" s="231" t="str">
        <f t="shared" si="6"/>
        <v>○</v>
      </c>
      <c r="AI31" s="231" t="str">
        <f t="shared" si="7"/>
        <v>○</v>
      </c>
      <c r="AJ31" s="14" t="str">
        <f t="shared" si="8"/>
        <v/>
      </c>
      <c r="AK31" s="12">
        <v>17</v>
      </c>
    </row>
    <row r="32" spans="1:75" ht="24.95" customHeight="1">
      <c r="A32" s="38">
        <v>18</v>
      </c>
      <c r="B32" s="313"/>
      <c r="C32" s="313"/>
      <c r="D32" s="313"/>
      <c r="E32" s="314"/>
      <c r="F32" s="315"/>
      <c r="G32" s="316"/>
      <c r="H32" s="316"/>
      <c r="I32" s="45">
        <f t="shared" si="0"/>
        <v>0</v>
      </c>
      <c r="J32" s="317"/>
      <c r="K32" s="45">
        <f t="shared" si="1"/>
        <v>0</v>
      </c>
      <c r="L32" s="232" t="str">
        <f>IF(AD32="◎",COUNTIF($AD$15:AD32,"◎"),"")</f>
        <v/>
      </c>
      <c r="W32" s="231" t="str">
        <f>IF(B32="既設病床",はじめに入力してください!$K$12,IF(B32="新設病床",はじめに入力してください!$K$13,IF(B32="共通使用",1,"")))</f>
        <v/>
      </c>
      <c r="AC32" s="28" t="s">
        <v>69</v>
      </c>
      <c r="AD32" s="231" t="str">
        <f t="shared" si="2"/>
        <v>○</v>
      </c>
      <c r="AE32" s="35" t="str">
        <f t="shared" si="3"/>
        <v>申請しない場合は入力不要です。</v>
      </c>
      <c r="AF32" s="231" t="str">
        <f t="shared" si="4"/>
        <v>○</v>
      </c>
      <c r="AG32" s="231" t="str">
        <f t="shared" si="5"/>
        <v>○</v>
      </c>
      <c r="AH32" s="231" t="str">
        <f t="shared" si="6"/>
        <v>○</v>
      </c>
      <c r="AI32" s="231" t="str">
        <f t="shared" si="7"/>
        <v>○</v>
      </c>
      <c r="AJ32" s="14" t="str">
        <f t="shared" si="8"/>
        <v/>
      </c>
      <c r="AK32" s="12">
        <v>18</v>
      </c>
    </row>
    <row r="33" spans="1:37" ht="24.95" customHeight="1">
      <c r="A33" s="38">
        <v>19</v>
      </c>
      <c r="B33" s="313"/>
      <c r="C33" s="313"/>
      <c r="D33" s="313"/>
      <c r="E33" s="314"/>
      <c r="F33" s="315"/>
      <c r="G33" s="316"/>
      <c r="H33" s="316"/>
      <c r="I33" s="45">
        <f t="shared" si="0"/>
        <v>0</v>
      </c>
      <c r="J33" s="317"/>
      <c r="K33" s="45">
        <f t="shared" si="1"/>
        <v>0</v>
      </c>
      <c r="L33" s="232" t="str">
        <f>IF(AD33="◎",COUNTIF($AD$15:AD33,"◎"),"")</f>
        <v/>
      </c>
      <c r="W33" s="231" t="str">
        <f>IF(B33="既設病床",はじめに入力してください!$K$12,IF(B33="新設病床",はじめに入力してください!$K$13,IF(B33="共通使用",1,"")))</f>
        <v/>
      </c>
      <c r="AC33" s="28" t="s">
        <v>69</v>
      </c>
      <c r="AD33" s="231" t="str">
        <f t="shared" si="2"/>
        <v>○</v>
      </c>
      <c r="AE33" s="35" t="str">
        <f t="shared" si="3"/>
        <v>申請しない場合は入力不要です。</v>
      </c>
      <c r="AF33" s="231" t="str">
        <f t="shared" si="4"/>
        <v>○</v>
      </c>
      <c r="AG33" s="231" t="str">
        <f t="shared" si="5"/>
        <v>○</v>
      </c>
      <c r="AH33" s="231" t="str">
        <f t="shared" si="6"/>
        <v>○</v>
      </c>
      <c r="AI33" s="231" t="str">
        <f t="shared" si="7"/>
        <v>○</v>
      </c>
      <c r="AJ33" s="14" t="str">
        <f t="shared" si="8"/>
        <v/>
      </c>
      <c r="AK33" s="12">
        <v>19</v>
      </c>
    </row>
    <row r="34" spans="1:37" ht="24.95" customHeight="1">
      <c r="A34" s="38">
        <v>20</v>
      </c>
      <c r="B34" s="313"/>
      <c r="C34" s="313"/>
      <c r="D34" s="313"/>
      <c r="E34" s="314"/>
      <c r="F34" s="315"/>
      <c r="G34" s="316"/>
      <c r="H34" s="316"/>
      <c r="I34" s="45">
        <f t="shared" si="0"/>
        <v>0</v>
      </c>
      <c r="J34" s="317"/>
      <c r="K34" s="45">
        <f t="shared" si="1"/>
        <v>0</v>
      </c>
      <c r="L34" s="232" t="str">
        <f>IF(AD34="◎",COUNTIF($AD$15:AD34,"◎"),"")</f>
        <v/>
      </c>
      <c r="W34" s="231" t="str">
        <f>IF(B34="既設病床",はじめに入力してください!$K$12,IF(B34="新設病床",はじめに入力してください!$K$13,IF(B34="共通使用",1,"")))</f>
        <v/>
      </c>
      <c r="AC34" s="28" t="s">
        <v>69</v>
      </c>
      <c r="AD34" s="231" t="str">
        <f t="shared" si="2"/>
        <v>○</v>
      </c>
      <c r="AE34" s="35" t="str">
        <f t="shared" si="3"/>
        <v>申請しない場合は入力不要です。</v>
      </c>
      <c r="AF34" s="231" t="str">
        <f t="shared" si="4"/>
        <v>○</v>
      </c>
      <c r="AG34" s="231" t="str">
        <f t="shared" si="5"/>
        <v>○</v>
      </c>
      <c r="AH34" s="231" t="str">
        <f t="shared" si="6"/>
        <v>○</v>
      </c>
      <c r="AI34" s="231" t="str">
        <f t="shared" si="7"/>
        <v>○</v>
      </c>
      <c r="AJ34" s="14" t="str">
        <f t="shared" si="8"/>
        <v/>
      </c>
      <c r="AK34" s="12">
        <v>20</v>
      </c>
    </row>
    <row r="35" spans="1:37" ht="24.95" customHeight="1">
      <c r="A35" s="38">
        <v>21</v>
      </c>
      <c r="B35" s="313"/>
      <c r="C35" s="313"/>
      <c r="D35" s="313"/>
      <c r="E35" s="314"/>
      <c r="F35" s="315"/>
      <c r="G35" s="316"/>
      <c r="H35" s="316"/>
      <c r="I35" s="45">
        <f t="shared" si="0"/>
        <v>0</v>
      </c>
      <c r="J35" s="317"/>
      <c r="K35" s="45">
        <f t="shared" si="1"/>
        <v>0</v>
      </c>
      <c r="L35" s="232" t="str">
        <f>IF(AD35="◎",COUNTIF($AD$15:AD35,"◎"),"")</f>
        <v/>
      </c>
      <c r="W35" s="231" t="str">
        <f>IF(B35="既設病床",はじめに入力してください!$K$12,IF(B35="新設病床",はじめに入力してください!$K$13,IF(B35="共通使用",1,"")))</f>
        <v/>
      </c>
      <c r="AC35" s="28" t="s">
        <v>69</v>
      </c>
      <c r="AD35" s="231" t="str">
        <f t="shared" si="2"/>
        <v>○</v>
      </c>
      <c r="AE35" s="35" t="str">
        <f t="shared" si="3"/>
        <v>申請しない場合は入力不要です。</v>
      </c>
      <c r="AF35" s="231" t="str">
        <f t="shared" si="4"/>
        <v>○</v>
      </c>
      <c r="AG35" s="231" t="str">
        <f t="shared" si="5"/>
        <v>○</v>
      </c>
      <c r="AH35" s="231" t="str">
        <f t="shared" si="6"/>
        <v>○</v>
      </c>
      <c r="AI35" s="231" t="str">
        <f t="shared" si="7"/>
        <v>○</v>
      </c>
      <c r="AJ35" s="14" t="str">
        <f t="shared" si="8"/>
        <v/>
      </c>
      <c r="AK35" s="12">
        <v>21</v>
      </c>
    </row>
    <row r="36" spans="1:37" ht="24.95" customHeight="1">
      <c r="A36" s="38">
        <v>22</v>
      </c>
      <c r="B36" s="313"/>
      <c r="C36" s="313"/>
      <c r="D36" s="313"/>
      <c r="E36" s="314"/>
      <c r="F36" s="315"/>
      <c r="G36" s="316"/>
      <c r="H36" s="316"/>
      <c r="I36" s="45">
        <f t="shared" si="0"/>
        <v>0</v>
      </c>
      <c r="J36" s="317"/>
      <c r="K36" s="45">
        <f t="shared" si="1"/>
        <v>0</v>
      </c>
      <c r="L36" s="232" t="str">
        <f>IF(AD36="◎",COUNTIF($AD$15:AD36,"◎"),"")</f>
        <v/>
      </c>
      <c r="W36" s="231" t="str">
        <f>IF(B36="既設病床",はじめに入力してください!$K$12,IF(B36="新設病床",はじめに入力してください!$K$13,IF(B36="共通使用",1,"")))</f>
        <v/>
      </c>
      <c r="AC36" s="28" t="s">
        <v>69</v>
      </c>
      <c r="AD36" s="231" t="str">
        <f t="shared" si="2"/>
        <v>○</v>
      </c>
      <c r="AE36" s="35" t="str">
        <f t="shared" si="3"/>
        <v>申請しない場合は入力不要です。</v>
      </c>
      <c r="AF36" s="231" t="str">
        <f t="shared" si="4"/>
        <v>○</v>
      </c>
      <c r="AG36" s="231" t="str">
        <f t="shared" si="5"/>
        <v>○</v>
      </c>
      <c r="AH36" s="231" t="str">
        <f t="shared" si="6"/>
        <v>○</v>
      </c>
      <c r="AI36" s="231" t="str">
        <f t="shared" si="7"/>
        <v>○</v>
      </c>
      <c r="AJ36" s="14" t="str">
        <f t="shared" si="8"/>
        <v/>
      </c>
      <c r="AK36" s="12">
        <v>22</v>
      </c>
    </row>
    <row r="37" spans="1:37" ht="24.95" customHeight="1">
      <c r="A37" s="38">
        <v>23</v>
      </c>
      <c r="B37" s="313"/>
      <c r="C37" s="313"/>
      <c r="D37" s="313"/>
      <c r="E37" s="314"/>
      <c r="F37" s="315"/>
      <c r="G37" s="316"/>
      <c r="H37" s="316"/>
      <c r="I37" s="45">
        <f t="shared" si="0"/>
        <v>0</v>
      </c>
      <c r="J37" s="317"/>
      <c r="K37" s="45">
        <f t="shared" si="1"/>
        <v>0</v>
      </c>
      <c r="L37" s="232" t="str">
        <f>IF(AD37="◎",COUNTIF($AD$15:AD37,"◎"),"")</f>
        <v/>
      </c>
      <c r="W37" s="231" t="str">
        <f>IF(B37="既設病床",はじめに入力してください!$K$12,IF(B37="新設病床",はじめに入力してください!$K$13,IF(B37="共通使用",1,"")))</f>
        <v/>
      </c>
      <c r="AC37" s="28" t="s">
        <v>69</v>
      </c>
      <c r="AD37" s="231" t="str">
        <f t="shared" si="2"/>
        <v>○</v>
      </c>
      <c r="AE37" s="35" t="str">
        <f t="shared" si="3"/>
        <v>申請しない場合は入力不要です。</v>
      </c>
      <c r="AF37" s="231" t="str">
        <f t="shared" si="4"/>
        <v>○</v>
      </c>
      <c r="AG37" s="231" t="str">
        <f t="shared" si="5"/>
        <v>○</v>
      </c>
      <c r="AH37" s="231" t="str">
        <f t="shared" si="6"/>
        <v>○</v>
      </c>
      <c r="AI37" s="231" t="str">
        <f t="shared" si="7"/>
        <v>○</v>
      </c>
      <c r="AJ37" s="14" t="str">
        <f t="shared" si="8"/>
        <v/>
      </c>
      <c r="AK37" s="12">
        <v>23</v>
      </c>
    </row>
    <row r="38" spans="1:37" ht="24.95" customHeight="1">
      <c r="A38" s="38">
        <v>24</v>
      </c>
      <c r="B38" s="313"/>
      <c r="C38" s="313"/>
      <c r="D38" s="313"/>
      <c r="E38" s="314"/>
      <c r="F38" s="315"/>
      <c r="G38" s="316"/>
      <c r="H38" s="316"/>
      <c r="I38" s="45">
        <f t="shared" si="0"/>
        <v>0</v>
      </c>
      <c r="J38" s="317"/>
      <c r="K38" s="45">
        <f t="shared" si="1"/>
        <v>0</v>
      </c>
      <c r="L38" s="232" t="str">
        <f>IF(AD38="◎",COUNTIF($AD$15:AD38,"◎"),"")</f>
        <v/>
      </c>
      <c r="W38" s="231" t="str">
        <f>IF(B38="既設病床",はじめに入力してください!$K$12,IF(B38="新設病床",はじめに入力してください!$K$13,IF(B38="共通使用",1,"")))</f>
        <v/>
      </c>
      <c r="AC38" s="28" t="s">
        <v>69</v>
      </c>
      <c r="AD38" s="231" t="str">
        <f t="shared" si="2"/>
        <v>○</v>
      </c>
      <c r="AE38" s="35" t="str">
        <f t="shared" si="3"/>
        <v>申請しない場合は入力不要です。</v>
      </c>
      <c r="AF38" s="231" t="str">
        <f t="shared" si="4"/>
        <v>○</v>
      </c>
      <c r="AG38" s="231" t="str">
        <f t="shared" si="5"/>
        <v>○</v>
      </c>
      <c r="AH38" s="231" t="str">
        <f t="shared" si="6"/>
        <v>○</v>
      </c>
      <c r="AI38" s="231" t="str">
        <f t="shared" si="7"/>
        <v>○</v>
      </c>
      <c r="AJ38" s="14" t="str">
        <f t="shared" si="8"/>
        <v/>
      </c>
      <c r="AK38" s="12">
        <v>24</v>
      </c>
    </row>
    <row r="39" spans="1:37" ht="24.95" customHeight="1">
      <c r="A39" s="38">
        <v>25</v>
      </c>
      <c r="B39" s="313"/>
      <c r="C39" s="313"/>
      <c r="D39" s="313"/>
      <c r="E39" s="314"/>
      <c r="F39" s="315"/>
      <c r="G39" s="316"/>
      <c r="H39" s="316"/>
      <c r="I39" s="45">
        <f t="shared" si="0"/>
        <v>0</v>
      </c>
      <c r="J39" s="317"/>
      <c r="K39" s="45">
        <f t="shared" si="1"/>
        <v>0</v>
      </c>
      <c r="L39" s="232" t="str">
        <f>IF(AD39="◎",COUNTIF($AD$15:AD39,"◎"),"")</f>
        <v/>
      </c>
      <c r="W39" s="231" t="str">
        <f>IF(B39="既設病床",はじめに入力してください!$K$12,IF(B39="新設病床",はじめに入力してください!$K$13,IF(B39="共通使用",1,"")))</f>
        <v/>
      </c>
      <c r="AC39" s="28" t="s">
        <v>69</v>
      </c>
      <c r="AD39" s="231" t="str">
        <f t="shared" si="2"/>
        <v>○</v>
      </c>
      <c r="AE39" s="35" t="str">
        <f t="shared" si="3"/>
        <v>申請しない場合は入力不要です。</v>
      </c>
      <c r="AF39" s="231" t="str">
        <f t="shared" si="4"/>
        <v>○</v>
      </c>
      <c r="AG39" s="231" t="str">
        <f t="shared" si="5"/>
        <v>○</v>
      </c>
      <c r="AH39" s="231" t="str">
        <f t="shared" si="6"/>
        <v>○</v>
      </c>
      <c r="AI39" s="231" t="str">
        <f t="shared" si="7"/>
        <v>○</v>
      </c>
      <c r="AJ39" s="14" t="str">
        <f t="shared" si="8"/>
        <v/>
      </c>
      <c r="AK39" s="12">
        <v>25</v>
      </c>
    </row>
    <row r="40" spans="1:37" ht="24.95" customHeight="1">
      <c r="A40" s="38">
        <v>26</v>
      </c>
      <c r="B40" s="313"/>
      <c r="C40" s="313"/>
      <c r="D40" s="313"/>
      <c r="E40" s="314"/>
      <c r="F40" s="315"/>
      <c r="G40" s="316"/>
      <c r="H40" s="316"/>
      <c r="I40" s="45">
        <f t="shared" si="0"/>
        <v>0</v>
      </c>
      <c r="J40" s="317"/>
      <c r="K40" s="45">
        <f t="shared" si="1"/>
        <v>0</v>
      </c>
      <c r="L40" s="232" t="str">
        <f>IF(AD40="◎",COUNTIF($AD$15:AD40,"◎"),"")</f>
        <v/>
      </c>
      <c r="W40" s="231" t="str">
        <f>IF(B40="既設病床",はじめに入力してください!$K$12,IF(B40="新設病床",はじめに入力してください!$K$13,IF(B40="共通使用",1,"")))</f>
        <v/>
      </c>
      <c r="AC40" s="28" t="s">
        <v>69</v>
      </c>
      <c r="AD40" s="231" t="str">
        <f t="shared" si="2"/>
        <v>○</v>
      </c>
      <c r="AE40" s="35" t="str">
        <f t="shared" si="3"/>
        <v>申請しない場合は入力不要です。</v>
      </c>
      <c r="AF40" s="231" t="str">
        <f t="shared" si="4"/>
        <v>○</v>
      </c>
      <c r="AG40" s="231" t="str">
        <f t="shared" si="5"/>
        <v>○</v>
      </c>
      <c r="AH40" s="231" t="str">
        <f t="shared" si="6"/>
        <v>○</v>
      </c>
      <c r="AI40" s="231" t="str">
        <f t="shared" si="7"/>
        <v>○</v>
      </c>
      <c r="AJ40" s="14" t="str">
        <f t="shared" si="8"/>
        <v/>
      </c>
      <c r="AK40" s="12">
        <v>26</v>
      </c>
    </row>
    <row r="41" spans="1:37" ht="24.95" customHeight="1">
      <c r="A41" s="38">
        <v>27</v>
      </c>
      <c r="B41" s="313"/>
      <c r="C41" s="313"/>
      <c r="D41" s="313"/>
      <c r="E41" s="314"/>
      <c r="F41" s="315"/>
      <c r="G41" s="316"/>
      <c r="H41" s="316"/>
      <c r="I41" s="45">
        <f t="shared" si="0"/>
        <v>0</v>
      </c>
      <c r="J41" s="317"/>
      <c r="K41" s="45">
        <f t="shared" si="1"/>
        <v>0</v>
      </c>
      <c r="L41" s="232" t="str">
        <f>IF(AD41="◎",COUNTIF($AD$15:AD41,"◎"),"")</f>
        <v/>
      </c>
      <c r="W41" s="231" t="str">
        <f>IF(B41="既設病床",はじめに入力してください!$K$12,IF(B41="新設病床",はじめに入力してください!$K$13,IF(B41="共通使用",1,"")))</f>
        <v/>
      </c>
      <c r="AC41" s="28" t="s">
        <v>69</v>
      </c>
      <c r="AD41" s="231" t="str">
        <f t="shared" si="2"/>
        <v>○</v>
      </c>
      <c r="AE41" s="35" t="str">
        <f t="shared" si="3"/>
        <v>申請しない場合は入力不要です。</v>
      </c>
      <c r="AF41" s="231" t="str">
        <f t="shared" si="4"/>
        <v>○</v>
      </c>
      <c r="AG41" s="231" t="str">
        <f t="shared" si="5"/>
        <v>○</v>
      </c>
      <c r="AH41" s="231" t="str">
        <f t="shared" si="6"/>
        <v>○</v>
      </c>
      <c r="AI41" s="231" t="str">
        <f t="shared" si="7"/>
        <v>○</v>
      </c>
      <c r="AJ41" s="14" t="str">
        <f t="shared" si="8"/>
        <v/>
      </c>
      <c r="AK41" s="12">
        <v>27</v>
      </c>
    </row>
    <row r="42" spans="1:37" ht="24.95" customHeight="1">
      <c r="A42" s="38">
        <v>28</v>
      </c>
      <c r="B42" s="313"/>
      <c r="C42" s="313"/>
      <c r="D42" s="313"/>
      <c r="E42" s="314"/>
      <c r="F42" s="315"/>
      <c r="G42" s="316"/>
      <c r="H42" s="316"/>
      <c r="I42" s="45">
        <f t="shared" si="0"/>
        <v>0</v>
      </c>
      <c r="J42" s="317"/>
      <c r="K42" s="45">
        <f t="shared" si="1"/>
        <v>0</v>
      </c>
      <c r="L42" s="232" t="str">
        <f>IF(AD42="◎",COUNTIF($AD$15:AD42,"◎"),"")</f>
        <v/>
      </c>
      <c r="W42" s="231" t="str">
        <f>IF(B42="既設病床",はじめに入力してください!$K$12,IF(B42="新設病床",はじめに入力してください!$K$13,IF(B42="共通使用",1,"")))</f>
        <v/>
      </c>
      <c r="AC42" s="28" t="s">
        <v>69</v>
      </c>
      <c r="AD42" s="231" t="str">
        <f t="shared" si="2"/>
        <v>○</v>
      </c>
      <c r="AE42" s="35" t="str">
        <f t="shared" si="3"/>
        <v>申請しない場合は入力不要です。</v>
      </c>
      <c r="AF42" s="231" t="str">
        <f t="shared" si="4"/>
        <v>○</v>
      </c>
      <c r="AG42" s="231" t="str">
        <f t="shared" si="5"/>
        <v>○</v>
      </c>
      <c r="AH42" s="231" t="str">
        <f t="shared" si="6"/>
        <v>○</v>
      </c>
      <c r="AI42" s="231" t="str">
        <f t="shared" si="7"/>
        <v>○</v>
      </c>
      <c r="AJ42" s="14" t="str">
        <f t="shared" si="8"/>
        <v/>
      </c>
      <c r="AK42" s="12">
        <v>28</v>
      </c>
    </row>
    <row r="43" spans="1:37" ht="24.95" customHeight="1">
      <c r="A43" s="38">
        <v>29</v>
      </c>
      <c r="B43" s="313"/>
      <c r="C43" s="313"/>
      <c r="D43" s="313"/>
      <c r="E43" s="314"/>
      <c r="F43" s="315"/>
      <c r="G43" s="316"/>
      <c r="H43" s="316"/>
      <c r="I43" s="45">
        <f t="shared" si="0"/>
        <v>0</v>
      </c>
      <c r="J43" s="317"/>
      <c r="K43" s="45">
        <f t="shared" si="1"/>
        <v>0</v>
      </c>
      <c r="L43" s="232" t="str">
        <f>IF(AD43="◎",COUNTIF($AD$15:AD43,"◎"),"")</f>
        <v/>
      </c>
      <c r="W43" s="231" t="str">
        <f>IF(B43="既設病床",はじめに入力してください!$K$12,IF(B43="新設病床",はじめに入力してください!$K$13,IF(B43="共通使用",1,"")))</f>
        <v/>
      </c>
      <c r="AC43" s="28" t="s">
        <v>69</v>
      </c>
      <c r="AD43" s="231" t="str">
        <f t="shared" si="2"/>
        <v>○</v>
      </c>
      <c r="AE43" s="35" t="str">
        <f t="shared" si="3"/>
        <v>申請しない場合は入力不要です。</v>
      </c>
      <c r="AF43" s="231" t="str">
        <f t="shared" si="4"/>
        <v>○</v>
      </c>
      <c r="AG43" s="231" t="str">
        <f t="shared" si="5"/>
        <v>○</v>
      </c>
      <c r="AH43" s="231" t="str">
        <f t="shared" si="6"/>
        <v>○</v>
      </c>
      <c r="AI43" s="231" t="str">
        <f t="shared" si="7"/>
        <v>○</v>
      </c>
      <c r="AJ43" s="14" t="str">
        <f t="shared" si="8"/>
        <v/>
      </c>
      <c r="AK43" s="12">
        <v>29</v>
      </c>
    </row>
    <row r="44" spans="1:37" ht="24.95" customHeight="1">
      <c r="A44" s="38">
        <v>30</v>
      </c>
      <c r="B44" s="313"/>
      <c r="C44" s="313"/>
      <c r="D44" s="313"/>
      <c r="E44" s="314"/>
      <c r="F44" s="315"/>
      <c r="G44" s="316"/>
      <c r="H44" s="316"/>
      <c r="I44" s="45">
        <f t="shared" si="0"/>
        <v>0</v>
      </c>
      <c r="J44" s="317"/>
      <c r="K44" s="45">
        <f t="shared" si="1"/>
        <v>0</v>
      </c>
      <c r="L44" s="232" t="str">
        <f>IF(AD44="◎",COUNTIF($AD$15:AD44,"◎"),"")</f>
        <v/>
      </c>
      <c r="W44" s="231" t="str">
        <f>IF(B44="既設病床",はじめに入力してください!$K$12,IF(B44="新設病床",はじめに入力してください!$K$13,IF(B44="共通使用",1,"")))</f>
        <v/>
      </c>
      <c r="AC44" s="28" t="s">
        <v>69</v>
      </c>
      <c r="AD44" s="231" t="str">
        <f t="shared" si="2"/>
        <v>○</v>
      </c>
      <c r="AE44" s="35" t="str">
        <f t="shared" si="3"/>
        <v>申請しない場合は入力不要です。</v>
      </c>
      <c r="AF44" s="231" t="str">
        <f t="shared" si="4"/>
        <v>○</v>
      </c>
      <c r="AG44" s="231" t="str">
        <f t="shared" si="5"/>
        <v>○</v>
      </c>
      <c r="AH44" s="231" t="str">
        <f t="shared" si="6"/>
        <v>○</v>
      </c>
      <c r="AI44" s="231" t="str">
        <f t="shared" si="7"/>
        <v>○</v>
      </c>
      <c r="AJ44" s="14" t="str">
        <f t="shared" si="8"/>
        <v/>
      </c>
      <c r="AK44" s="12">
        <v>30</v>
      </c>
    </row>
    <row r="45" spans="1:37" ht="24.95" customHeight="1">
      <c r="A45" s="38">
        <v>31</v>
      </c>
      <c r="B45" s="313"/>
      <c r="C45" s="313"/>
      <c r="D45" s="313"/>
      <c r="E45" s="314"/>
      <c r="F45" s="315"/>
      <c r="G45" s="316"/>
      <c r="H45" s="316"/>
      <c r="I45" s="45">
        <f t="shared" si="0"/>
        <v>0</v>
      </c>
      <c r="J45" s="317"/>
      <c r="K45" s="45">
        <f t="shared" si="1"/>
        <v>0</v>
      </c>
      <c r="L45" s="232" t="str">
        <f>IF(AD45="◎",COUNTIF($AD$15:AD45,"◎"),"")</f>
        <v/>
      </c>
      <c r="W45" s="231" t="str">
        <f>IF(B45="既設病床",はじめに入力してください!$K$12,IF(B45="新設病床",はじめに入力してください!$K$13,IF(B45="共通使用",1,"")))</f>
        <v/>
      </c>
      <c r="AC45" s="28" t="s">
        <v>69</v>
      </c>
      <c r="AD45" s="231" t="str">
        <f t="shared" si="2"/>
        <v>○</v>
      </c>
      <c r="AE45" s="35" t="str">
        <f t="shared" si="3"/>
        <v>申請しない場合は入力不要です。</v>
      </c>
      <c r="AF45" s="231" t="str">
        <f t="shared" si="4"/>
        <v>○</v>
      </c>
      <c r="AG45" s="231" t="str">
        <f t="shared" si="5"/>
        <v>○</v>
      </c>
      <c r="AH45" s="231" t="str">
        <f t="shared" si="6"/>
        <v>○</v>
      </c>
      <c r="AI45" s="231" t="str">
        <f t="shared" si="7"/>
        <v>○</v>
      </c>
      <c r="AJ45" s="14" t="str">
        <f t="shared" si="8"/>
        <v/>
      </c>
      <c r="AK45" s="12">
        <v>31</v>
      </c>
    </row>
    <row r="46" spans="1:37" ht="24.95" customHeight="1">
      <c r="A46" s="38">
        <v>32</v>
      </c>
      <c r="B46" s="313"/>
      <c r="C46" s="313"/>
      <c r="D46" s="313"/>
      <c r="E46" s="314"/>
      <c r="F46" s="315"/>
      <c r="G46" s="316"/>
      <c r="H46" s="316"/>
      <c r="I46" s="45">
        <f t="shared" si="0"/>
        <v>0</v>
      </c>
      <c r="J46" s="317"/>
      <c r="K46" s="45">
        <f t="shared" si="1"/>
        <v>0</v>
      </c>
      <c r="L46" s="232" t="str">
        <f>IF(AD46="◎",COUNTIF($AD$15:AD46,"◎"),"")</f>
        <v/>
      </c>
      <c r="W46" s="231" t="str">
        <f>IF(B46="既設病床",はじめに入力してください!$K$12,IF(B46="新設病床",はじめに入力してください!$K$13,IF(B46="共通使用",1,"")))</f>
        <v/>
      </c>
      <c r="AC46" s="28" t="s">
        <v>69</v>
      </c>
      <c r="AD46" s="231" t="str">
        <f t="shared" si="2"/>
        <v>○</v>
      </c>
      <c r="AE46" s="35" t="str">
        <f t="shared" si="3"/>
        <v>申請しない場合は入力不要です。</v>
      </c>
      <c r="AF46" s="231" t="str">
        <f t="shared" si="4"/>
        <v>○</v>
      </c>
      <c r="AG46" s="231" t="str">
        <f t="shared" si="5"/>
        <v>○</v>
      </c>
      <c r="AH46" s="231" t="str">
        <f t="shared" si="6"/>
        <v>○</v>
      </c>
      <c r="AI46" s="231" t="str">
        <f t="shared" si="7"/>
        <v>○</v>
      </c>
      <c r="AJ46" s="14" t="str">
        <f t="shared" si="8"/>
        <v/>
      </c>
      <c r="AK46" s="12">
        <v>32</v>
      </c>
    </row>
    <row r="47" spans="1:37" ht="24.95" customHeight="1">
      <c r="A47" s="38">
        <v>33</v>
      </c>
      <c r="B47" s="313"/>
      <c r="C47" s="313"/>
      <c r="D47" s="313"/>
      <c r="E47" s="314"/>
      <c r="F47" s="315"/>
      <c r="G47" s="316"/>
      <c r="H47" s="316"/>
      <c r="I47" s="45">
        <f t="shared" si="0"/>
        <v>0</v>
      </c>
      <c r="J47" s="317"/>
      <c r="K47" s="45">
        <f t="shared" si="1"/>
        <v>0</v>
      </c>
      <c r="L47" s="232" t="str">
        <f>IF(AD47="◎",COUNTIF($AD$15:AD47,"◎"),"")</f>
        <v/>
      </c>
      <c r="W47" s="231" t="str">
        <f>IF(B47="既設病床",はじめに入力してください!$K$12,IF(B47="新設病床",はじめに入力してください!$K$13,IF(B47="共通使用",1,"")))</f>
        <v/>
      </c>
      <c r="AC47" s="28" t="s">
        <v>69</v>
      </c>
      <c r="AD47" s="231" t="str">
        <f t="shared" si="2"/>
        <v>○</v>
      </c>
      <c r="AE47" s="35" t="str">
        <f t="shared" si="3"/>
        <v>申請しない場合は入力不要です。</v>
      </c>
      <c r="AF47" s="231" t="str">
        <f t="shared" si="4"/>
        <v>○</v>
      </c>
      <c r="AG47" s="231" t="str">
        <f t="shared" si="5"/>
        <v>○</v>
      </c>
      <c r="AH47" s="231" t="str">
        <f t="shared" si="6"/>
        <v>○</v>
      </c>
      <c r="AI47" s="231" t="str">
        <f t="shared" si="7"/>
        <v>○</v>
      </c>
      <c r="AJ47" s="14" t="str">
        <f t="shared" si="8"/>
        <v/>
      </c>
      <c r="AK47" s="12">
        <v>32</v>
      </c>
    </row>
    <row r="48" spans="1:37" ht="24.95" customHeight="1">
      <c r="A48" s="38">
        <v>34</v>
      </c>
      <c r="B48" s="313"/>
      <c r="C48" s="313"/>
      <c r="D48" s="313"/>
      <c r="E48" s="314"/>
      <c r="F48" s="315"/>
      <c r="G48" s="316"/>
      <c r="H48" s="316"/>
      <c r="I48" s="45">
        <f t="shared" si="0"/>
        <v>0</v>
      </c>
      <c r="J48" s="317"/>
      <c r="K48" s="45">
        <f t="shared" si="1"/>
        <v>0</v>
      </c>
      <c r="L48" s="232" t="str">
        <f>IF(AD48="◎",COUNTIF($AD$15:AD48,"◎"),"")</f>
        <v/>
      </c>
      <c r="W48" s="231" t="str">
        <f>IF(B48="既設病床",はじめに入力してください!$K$12,IF(B48="新設病床",はじめに入力してください!$K$13,IF(B48="共通使用",1,"")))</f>
        <v/>
      </c>
      <c r="AC48" s="28" t="s">
        <v>69</v>
      </c>
      <c r="AD48" s="231" t="str">
        <f t="shared" si="2"/>
        <v>○</v>
      </c>
      <c r="AE48" s="35" t="str">
        <f t="shared" si="3"/>
        <v>申請しない場合は入力不要です。</v>
      </c>
      <c r="AF48" s="231" t="str">
        <f t="shared" si="4"/>
        <v>○</v>
      </c>
      <c r="AG48" s="231" t="str">
        <f t="shared" si="5"/>
        <v>○</v>
      </c>
      <c r="AH48" s="231" t="str">
        <f t="shared" si="6"/>
        <v>○</v>
      </c>
      <c r="AI48" s="231" t="str">
        <f t="shared" si="7"/>
        <v>○</v>
      </c>
      <c r="AJ48" s="14" t="str">
        <f t="shared" si="8"/>
        <v/>
      </c>
      <c r="AK48" s="12">
        <v>32</v>
      </c>
    </row>
    <row r="49" spans="1:37" ht="24.95" customHeight="1">
      <c r="A49" s="38">
        <v>35</v>
      </c>
      <c r="B49" s="313"/>
      <c r="C49" s="313"/>
      <c r="D49" s="313"/>
      <c r="E49" s="314"/>
      <c r="F49" s="315"/>
      <c r="G49" s="316"/>
      <c r="H49" s="316"/>
      <c r="I49" s="45">
        <f t="shared" si="0"/>
        <v>0</v>
      </c>
      <c r="J49" s="317"/>
      <c r="K49" s="45">
        <f t="shared" si="1"/>
        <v>0</v>
      </c>
      <c r="L49" s="232" t="str">
        <f>IF(AD49="◎",COUNTIF($AD$15:AD49,"◎"),"")</f>
        <v/>
      </c>
      <c r="W49" s="231" t="str">
        <f>IF(B49="既設病床",はじめに入力してください!$K$12,IF(B49="新設病床",はじめに入力してください!$K$13,IF(B49="共通使用",1,"")))</f>
        <v/>
      </c>
      <c r="AC49" s="28" t="s">
        <v>69</v>
      </c>
      <c r="AD49" s="231" t="str">
        <f t="shared" si="2"/>
        <v>○</v>
      </c>
      <c r="AE49" s="35" t="str">
        <f t="shared" si="3"/>
        <v>申請しない場合は入力不要です。</v>
      </c>
      <c r="AF49" s="231" t="str">
        <f t="shared" si="4"/>
        <v>○</v>
      </c>
      <c r="AG49" s="231" t="str">
        <f t="shared" si="5"/>
        <v>○</v>
      </c>
      <c r="AH49" s="231" t="str">
        <f t="shared" si="6"/>
        <v>○</v>
      </c>
      <c r="AI49" s="231" t="str">
        <f t="shared" si="7"/>
        <v>○</v>
      </c>
      <c r="AJ49" s="14" t="str">
        <f t="shared" si="8"/>
        <v/>
      </c>
      <c r="AK49" s="12">
        <v>32</v>
      </c>
    </row>
    <row r="50" spans="1:37" ht="24.95" customHeight="1">
      <c r="A50" s="38">
        <v>36</v>
      </c>
      <c r="B50" s="313"/>
      <c r="C50" s="313"/>
      <c r="D50" s="313"/>
      <c r="E50" s="314"/>
      <c r="F50" s="315"/>
      <c r="G50" s="316"/>
      <c r="H50" s="316"/>
      <c r="I50" s="45">
        <f t="shared" si="0"/>
        <v>0</v>
      </c>
      <c r="J50" s="317"/>
      <c r="K50" s="45">
        <f t="shared" si="1"/>
        <v>0</v>
      </c>
      <c r="L50" s="232" t="str">
        <f>IF(AD50="◎",COUNTIF($AD$15:AD50,"◎"),"")</f>
        <v/>
      </c>
      <c r="W50" s="231" t="str">
        <f>IF(B50="既設病床",はじめに入力してください!$K$12,IF(B50="新設病床",はじめに入力してください!$K$13,IF(B50="共通使用",1,"")))</f>
        <v/>
      </c>
      <c r="AC50" s="28" t="s">
        <v>69</v>
      </c>
      <c r="AD50" s="231" t="str">
        <f t="shared" si="2"/>
        <v>○</v>
      </c>
      <c r="AE50" s="35" t="str">
        <f t="shared" si="3"/>
        <v>申請しない場合は入力不要です。</v>
      </c>
      <c r="AF50" s="231" t="str">
        <f t="shared" si="4"/>
        <v>○</v>
      </c>
      <c r="AG50" s="231" t="str">
        <f t="shared" si="5"/>
        <v>○</v>
      </c>
      <c r="AH50" s="231" t="str">
        <f t="shared" si="6"/>
        <v>○</v>
      </c>
      <c r="AI50" s="231" t="str">
        <f t="shared" si="7"/>
        <v>○</v>
      </c>
      <c r="AJ50" s="14" t="str">
        <f t="shared" si="8"/>
        <v/>
      </c>
      <c r="AK50" s="12">
        <v>32</v>
      </c>
    </row>
    <row r="51" spans="1:37" ht="24.95" customHeight="1">
      <c r="A51" s="38">
        <v>37</v>
      </c>
      <c r="B51" s="313"/>
      <c r="C51" s="313"/>
      <c r="D51" s="313"/>
      <c r="E51" s="314"/>
      <c r="F51" s="315"/>
      <c r="G51" s="316"/>
      <c r="H51" s="316"/>
      <c r="I51" s="45">
        <f t="shared" si="0"/>
        <v>0</v>
      </c>
      <c r="J51" s="317"/>
      <c r="K51" s="45">
        <f t="shared" si="1"/>
        <v>0</v>
      </c>
      <c r="L51" s="232" t="str">
        <f>IF(AD51="◎",COUNTIF($AD$15:AD51,"◎"),"")</f>
        <v/>
      </c>
      <c r="W51" s="231" t="str">
        <f>IF(B51="既設病床",はじめに入力してください!$K$12,IF(B51="新設病床",はじめに入力してください!$K$13,IF(B51="共通使用",1,"")))</f>
        <v/>
      </c>
      <c r="AC51" s="28" t="s">
        <v>69</v>
      </c>
      <c r="AD51" s="231" t="str">
        <f t="shared" si="2"/>
        <v>○</v>
      </c>
      <c r="AE51" s="35" t="str">
        <f t="shared" si="3"/>
        <v>申請しない場合は入力不要です。</v>
      </c>
      <c r="AF51" s="231" t="str">
        <f t="shared" si="4"/>
        <v>○</v>
      </c>
      <c r="AG51" s="231" t="str">
        <f t="shared" si="5"/>
        <v>○</v>
      </c>
      <c r="AH51" s="231" t="str">
        <f t="shared" si="6"/>
        <v>○</v>
      </c>
      <c r="AI51" s="231" t="str">
        <f t="shared" si="7"/>
        <v>○</v>
      </c>
      <c r="AJ51" s="14" t="str">
        <f t="shared" si="8"/>
        <v/>
      </c>
      <c r="AK51" s="12">
        <v>32</v>
      </c>
    </row>
    <row r="52" spans="1:37" ht="24.95" customHeight="1">
      <c r="A52" s="38">
        <v>38</v>
      </c>
      <c r="B52" s="313"/>
      <c r="C52" s="313"/>
      <c r="D52" s="313"/>
      <c r="E52" s="314"/>
      <c r="F52" s="315"/>
      <c r="G52" s="316"/>
      <c r="H52" s="316"/>
      <c r="I52" s="45">
        <f t="shared" si="0"/>
        <v>0</v>
      </c>
      <c r="J52" s="317"/>
      <c r="K52" s="45">
        <f t="shared" si="1"/>
        <v>0</v>
      </c>
      <c r="L52" s="232" t="str">
        <f>IF(AD52="◎",COUNTIF($AD$15:AD52,"◎"),"")</f>
        <v/>
      </c>
      <c r="W52" s="231" t="str">
        <f>IF(B52="既設病床",はじめに入力してください!$K$12,IF(B52="新設病床",はじめに入力してください!$K$13,IF(B52="共通使用",1,"")))</f>
        <v/>
      </c>
      <c r="AC52" s="28" t="s">
        <v>69</v>
      </c>
      <c r="AD52" s="231" t="str">
        <f t="shared" si="2"/>
        <v>○</v>
      </c>
      <c r="AE52" s="35" t="str">
        <f t="shared" si="3"/>
        <v>申請しない場合は入力不要です。</v>
      </c>
      <c r="AF52" s="231" t="str">
        <f t="shared" si="4"/>
        <v>○</v>
      </c>
      <c r="AG52" s="231" t="str">
        <f t="shared" si="5"/>
        <v>○</v>
      </c>
      <c r="AH52" s="231" t="str">
        <f t="shared" si="6"/>
        <v>○</v>
      </c>
      <c r="AI52" s="231" t="str">
        <f t="shared" si="7"/>
        <v>○</v>
      </c>
      <c r="AJ52" s="14" t="str">
        <f t="shared" si="8"/>
        <v/>
      </c>
      <c r="AK52" s="12">
        <v>32</v>
      </c>
    </row>
    <row r="53" spans="1:37" ht="24.95" customHeight="1">
      <c r="A53" s="38">
        <v>39</v>
      </c>
      <c r="B53" s="313"/>
      <c r="C53" s="313"/>
      <c r="D53" s="313"/>
      <c r="E53" s="314"/>
      <c r="F53" s="315"/>
      <c r="G53" s="316"/>
      <c r="H53" s="316"/>
      <c r="I53" s="45">
        <f t="shared" si="0"/>
        <v>0</v>
      </c>
      <c r="J53" s="317"/>
      <c r="K53" s="45">
        <f t="shared" si="1"/>
        <v>0</v>
      </c>
      <c r="L53" s="232" t="str">
        <f>IF(AD53="◎",COUNTIF($AD$15:AD53,"◎"),"")</f>
        <v/>
      </c>
      <c r="W53" s="231" t="str">
        <f>IF(B53="既設病床",はじめに入力してください!$K$12,IF(B53="新設病床",はじめに入力してください!$K$13,IF(B53="共通使用",1,"")))</f>
        <v/>
      </c>
      <c r="AC53" s="28" t="s">
        <v>69</v>
      </c>
      <c r="AD53" s="231" t="str">
        <f t="shared" si="2"/>
        <v>○</v>
      </c>
      <c r="AE53" s="35" t="str">
        <f t="shared" si="3"/>
        <v>申請しない場合は入力不要です。</v>
      </c>
      <c r="AF53" s="231" t="str">
        <f t="shared" si="4"/>
        <v>○</v>
      </c>
      <c r="AG53" s="231" t="str">
        <f t="shared" si="5"/>
        <v>○</v>
      </c>
      <c r="AH53" s="231" t="str">
        <f t="shared" si="6"/>
        <v>○</v>
      </c>
      <c r="AI53" s="231" t="str">
        <f t="shared" si="7"/>
        <v>○</v>
      </c>
      <c r="AJ53" s="14" t="str">
        <f t="shared" si="8"/>
        <v/>
      </c>
      <c r="AK53" s="12">
        <v>32</v>
      </c>
    </row>
    <row r="54" spans="1:37" ht="24.95" customHeight="1">
      <c r="A54" s="38">
        <v>40</v>
      </c>
      <c r="B54" s="313"/>
      <c r="C54" s="313"/>
      <c r="D54" s="313"/>
      <c r="E54" s="314"/>
      <c r="F54" s="315"/>
      <c r="G54" s="316"/>
      <c r="H54" s="316"/>
      <c r="I54" s="45">
        <f t="shared" si="0"/>
        <v>0</v>
      </c>
      <c r="J54" s="317"/>
      <c r="K54" s="45">
        <f t="shared" si="1"/>
        <v>0</v>
      </c>
      <c r="L54" s="232" t="str">
        <f>IF(AD54="◎",COUNTIF($AD$15:AD54,"◎"),"")</f>
        <v/>
      </c>
      <c r="W54" s="231" t="str">
        <f>IF(B54="既設病床",はじめに入力してください!$K$12,IF(B54="新設病床",はじめに入力してください!$K$13,IF(B54="共通使用",1,"")))</f>
        <v/>
      </c>
      <c r="AC54" s="28" t="s">
        <v>69</v>
      </c>
      <c r="AD54" s="231" t="str">
        <f t="shared" si="2"/>
        <v>○</v>
      </c>
      <c r="AE54" s="35" t="str">
        <f t="shared" si="3"/>
        <v>申請しない場合は入力不要です。</v>
      </c>
      <c r="AF54" s="231" t="str">
        <f t="shared" si="4"/>
        <v>○</v>
      </c>
      <c r="AG54" s="231" t="str">
        <f t="shared" si="5"/>
        <v>○</v>
      </c>
      <c r="AH54" s="231" t="str">
        <f t="shared" si="6"/>
        <v>○</v>
      </c>
      <c r="AI54" s="231" t="str">
        <f t="shared" si="7"/>
        <v>○</v>
      </c>
      <c r="AJ54" s="14" t="str">
        <f t="shared" si="8"/>
        <v/>
      </c>
      <c r="AK54" s="12">
        <v>32</v>
      </c>
    </row>
    <row r="55" spans="1:37" ht="24.95" customHeight="1">
      <c r="A55" s="38">
        <v>41</v>
      </c>
      <c r="B55" s="313"/>
      <c r="C55" s="313"/>
      <c r="D55" s="313"/>
      <c r="E55" s="314"/>
      <c r="F55" s="315"/>
      <c r="G55" s="316"/>
      <c r="H55" s="316"/>
      <c r="I55" s="45">
        <f t="shared" si="0"/>
        <v>0</v>
      </c>
      <c r="J55" s="317"/>
      <c r="K55" s="45">
        <f t="shared" si="1"/>
        <v>0</v>
      </c>
      <c r="L55" s="232" t="str">
        <f>IF(AD55="◎",COUNTIF($AD$15:AD55,"◎"),"")</f>
        <v/>
      </c>
      <c r="W55" s="231" t="str">
        <f>IF(B55="既設病床",はじめに入力してください!$K$12,IF(B55="新設病床",はじめに入力してください!$K$13,IF(B55="共通使用",1,"")))</f>
        <v/>
      </c>
      <c r="AC55" s="28" t="s">
        <v>69</v>
      </c>
      <c r="AD55" s="231" t="str">
        <f t="shared" si="2"/>
        <v>○</v>
      </c>
      <c r="AE55" s="35" t="str">
        <f t="shared" si="3"/>
        <v>申請しない場合は入力不要です。</v>
      </c>
      <c r="AF55" s="231" t="str">
        <f t="shared" si="4"/>
        <v>○</v>
      </c>
      <c r="AG55" s="231" t="str">
        <f t="shared" si="5"/>
        <v>○</v>
      </c>
      <c r="AH55" s="231" t="str">
        <f t="shared" si="6"/>
        <v>○</v>
      </c>
      <c r="AI55" s="231" t="str">
        <f t="shared" si="7"/>
        <v>○</v>
      </c>
      <c r="AJ55" s="14" t="str">
        <f t="shared" si="8"/>
        <v/>
      </c>
      <c r="AK55" s="12">
        <v>32</v>
      </c>
    </row>
    <row r="56" spans="1:37" ht="24.95" customHeight="1">
      <c r="A56" s="38">
        <v>42</v>
      </c>
      <c r="B56" s="313"/>
      <c r="C56" s="313"/>
      <c r="D56" s="313"/>
      <c r="E56" s="314"/>
      <c r="F56" s="315"/>
      <c r="G56" s="316"/>
      <c r="H56" s="316"/>
      <c r="I56" s="45">
        <f t="shared" si="0"/>
        <v>0</v>
      </c>
      <c r="J56" s="317"/>
      <c r="K56" s="45">
        <f t="shared" si="1"/>
        <v>0</v>
      </c>
      <c r="L56" s="232" t="str">
        <f>IF(AD56="◎",COUNTIF($AD$15:AD56,"◎"),"")</f>
        <v/>
      </c>
      <c r="W56" s="231" t="str">
        <f>IF(B56="既設病床",はじめに入力してください!$K$12,IF(B56="新設病床",はじめに入力してください!$K$13,IF(B56="共通使用",1,"")))</f>
        <v/>
      </c>
      <c r="AC56" s="28" t="s">
        <v>69</v>
      </c>
      <c r="AD56" s="231" t="str">
        <f t="shared" si="2"/>
        <v>○</v>
      </c>
      <c r="AE56" s="35" t="str">
        <f t="shared" si="3"/>
        <v>申請しない場合は入力不要です。</v>
      </c>
      <c r="AF56" s="231" t="str">
        <f t="shared" si="4"/>
        <v>○</v>
      </c>
      <c r="AG56" s="231" t="str">
        <f t="shared" si="5"/>
        <v>○</v>
      </c>
      <c r="AH56" s="231" t="str">
        <f t="shared" si="6"/>
        <v>○</v>
      </c>
      <c r="AI56" s="231" t="str">
        <f t="shared" si="7"/>
        <v>○</v>
      </c>
      <c r="AJ56" s="14" t="str">
        <f t="shared" si="8"/>
        <v/>
      </c>
      <c r="AK56" s="12">
        <v>32</v>
      </c>
    </row>
    <row r="57" spans="1:37" ht="24.95" customHeight="1">
      <c r="A57" s="38">
        <v>43</v>
      </c>
      <c r="B57" s="313"/>
      <c r="C57" s="313"/>
      <c r="D57" s="313"/>
      <c r="E57" s="314"/>
      <c r="F57" s="315"/>
      <c r="G57" s="316"/>
      <c r="H57" s="316"/>
      <c r="I57" s="45">
        <f t="shared" si="0"/>
        <v>0</v>
      </c>
      <c r="J57" s="317"/>
      <c r="K57" s="45">
        <f t="shared" si="1"/>
        <v>0</v>
      </c>
      <c r="L57" s="232" t="str">
        <f>IF(AD57="◎",COUNTIF($AD$15:AD57,"◎"),"")</f>
        <v/>
      </c>
      <c r="W57" s="231" t="str">
        <f>IF(B57="既設病床",はじめに入力してください!$K$12,IF(B57="新設病床",はじめに入力してください!$K$13,IF(B57="共通使用",1,"")))</f>
        <v/>
      </c>
      <c r="AC57" s="28" t="s">
        <v>69</v>
      </c>
      <c r="AD57" s="231" t="str">
        <f t="shared" si="2"/>
        <v>○</v>
      </c>
      <c r="AE57" s="35" t="str">
        <f t="shared" si="3"/>
        <v>申請しない場合は入力不要です。</v>
      </c>
      <c r="AF57" s="231" t="str">
        <f t="shared" si="4"/>
        <v>○</v>
      </c>
      <c r="AG57" s="231" t="str">
        <f t="shared" si="5"/>
        <v>○</v>
      </c>
      <c r="AH57" s="231" t="str">
        <f t="shared" si="6"/>
        <v>○</v>
      </c>
      <c r="AI57" s="231" t="str">
        <f t="shared" si="7"/>
        <v>○</v>
      </c>
      <c r="AJ57" s="14" t="str">
        <f t="shared" si="8"/>
        <v/>
      </c>
      <c r="AK57" s="12">
        <v>32</v>
      </c>
    </row>
    <row r="58" spans="1:37" ht="24.95" customHeight="1">
      <c r="A58" s="38">
        <v>44</v>
      </c>
      <c r="B58" s="313"/>
      <c r="C58" s="313"/>
      <c r="D58" s="313"/>
      <c r="E58" s="314"/>
      <c r="F58" s="315"/>
      <c r="G58" s="316"/>
      <c r="H58" s="316"/>
      <c r="I58" s="45">
        <f t="shared" si="0"/>
        <v>0</v>
      </c>
      <c r="J58" s="317"/>
      <c r="K58" s="45">
        <f t="shared" si="1"/>
        <v>0</v>
      </c>
      <c r="L58" s="232" t="str">
        <f>IF(AD58="◎",COUNTIF($AD$15:AD58,"◎"),"")</f>
        <v/>
      </c>
      <c r="W58" s="231" t="str">
        <f>IF(B58="既設病床",はじめに入力してください!$K$12,IF(B58="新設病床",はじめに入力してください!$K$13,IF(B58="共通使用",1,"")))</f>
        <v/>
      </c>
      <c r="AC58" s="28" t="s">
        <v>69</v>
      </c>
      <c r="AD58" s="231" t="str">
        <f t="shared" si="2"/>
        <v>○</v>
      </c>
      <c r="AE58" s="35" t="str">
        <f t="shared" si="3"/>
        <v>申請しない場合は入力不要です。</v>
      </c>
      <c r="AF58" s="231" t="str">
        <f t="shared" si="4"/>
        <v>○</v>
      </c>
      <c r="AG58" s="231" t="str">
        <f t="shared" si="5"/>
        <v>○</v>
      </c>
      <c r="AH58" s="231" t="str">
        <f t="shared" si="6"/>
        <v>○</v>
      </c>
      <c r="AI58" s="231" t="str">
        <f t="shared" si="7"/>
        <v>○</v>
      </c>
      <c r="AJ58" s="14" t="str">
        <f t="shared" si="8"/>
        <v/>
      </c>
      <c r="AK58" s="12">
        <v>32</v>
      </c>
    </row>
    <row r="59" spans="1:37" ht="24.95" customHeight="1">
      <c r="A59" s="38">
        <v>45</v>
      </c>
      <c r="B59" s="313"/>
      <c r="C59" s="313"/>
      <c r="D59" s="313"/>
      <c r="E59" s="314"/>
      <c r="F59" s="315"/>
      <c r="G59" s="316"/>
      <c r="H59" s="316"/>
      <c r="I59" s="45">
        <f t="shared" si="0"/>
        <v>0</v>
      </c>
      <c r="J59" s="317"/>
      <c r="K59" s="45">
        <f t="shared" si="1"/>
        <v>0</v>
      </c>
      <c r="L59" s="232" t="str">
        <f>IF(AD59="◎",COUNTIF($AD$15:AD59,"◎"),"")</f>
        <v/>
      </c>
      <c r="W59" s="231" t="str">
        <f>IF(B59="既設病床",はじめに入力してください!$K$12,IF(B59="新設病床",はじめに入力してください!$K$13,IF(B59="共通使用",1,"")))</f>
        <v/>
      </c>
      <c r="AC59" s="28" t="s">
        <v>69</v>
      </c>
      <c r="AD59" s="231" t="str">
        <f t="shared" si="2"/>
        <v>○</v>
      </c>
      <c r="AE59" s="35" t="str">
        <f t="shared" si="3"/>
        <v>申請しない場合は入力不要です。</v>
      </c>
      <c r="AF59" s="231" t="str">
        <f t="shared" si="4"/>
        <v>○</v>
      </c>
      <c r="AG59" s="231" t="str">
        <f t="shared" si="5"/>
        <v>○</v>
      </c>
      <c r="AH59" s="231" t="str">
        <f t="shared" si="6"/>
        <v>○</v>
      </c>
      <c r="AI59" s="231" t="str">
        <f t="shared" si="7"/>
        <v>○</v>
      </c>
      <c r="AJ59" s="14" t="str">
        <f t="shared" si="8"/>
        <v/>
      </c>
      <c r="AK59" s="12">
        <v>32</v>
      </c>
    </row>
    <row r="60" spans="1:37" ht="24.95" customHeight="1">
      <c r="A60" s="38">
        <v>46</v>
      </c>
      <c r="B60" s="313"/>
      <c r="C60" s="313"/>
      <c r="D60" s="313"/>
      <c r="E60" s="314"/>
      <c r="F60" s="315"/>
      <c r="G60" s="316"/>
      <c r="H60" s="316"/>
      <c r="I60" s="45">
        <f t="shared" si="0"/>
        <v>0</v>
      </c>
      <c r="J60" s="317"/>
      <c r="K60" s="45">
        <f t="shared" si="1"/>
        <v>0</v>
      </c>
      <c r="L60" s="232" t="str">
        <f>IF(AD60="◎",COUNTIF($AD$15:AD60,"◎"),"")</f>
        <v/>
      </c>
      <c r="W60" s="231" t="str">
        <f>IF(B60="既設病床",はじめに入力してください!$K$12,IF(B60="新設病床",はじめに入力してください!$K$13,IF(B60="共通使用",1,"")))</f>
        <v/>
      </c>
      <c r="AC60" s="28" t="s">
        <v>69</v>
      </c>
      <c r="AD60" s="231" t="str">
        <f t="shared" si="2"/>
        <v>○</v>
      </c>
      <c r="AE60" s="35" t="str">
        <f t="shared" si="3"/>
        <v>申請しない場合は入力不要です。</v>
      </c>
      <c r="AF60" s="231" t="str">
        <f t="shared" si="4"/>
        <v>○</v>
      </c>
      <c r="AG60" s="231" t="str">
        <f t="shared" si="5"/>
        <v>○</v>
      </c>
      <c r="AH60" s="231" t="str">
        <f t="shared" si="6"/>
        <v>○</v>
      </c>
      <c r="AI60" s="231" t="str">
        <f t="shared" si="7"/>
        <v>○</v>
      </c>
      <c r="AJ60" s="14" t="str">
        <f t="shared" si="8"/>
        <v/>
      </c>
      <c r="AK60" s="12">
        <v>32</v>
      </c>
    </row>
    <row r="61" spans="1:37" ht="24.95" customHeight="1">
      <c r="A61" s="38">
        <v>47</v>
      </c>
      <c r="B61" s="313"/>
      <c r="C61" s="313"/>
      <c r="D61" s="313"/>
      <c r="E61" s="314"/>
      <c r="F61" s="315"/>
      <c r="G61" s="316"/>
      <c r="H61" s="316"/>
      <c r="I61" s="45">
        <f t="shared" si="0"/>
        <v>0</v>
      </c>
      <c r="J61" s="317"/>
      <c r="K61" s="45">
        <f t="shared" si="1"/>
        <v>0</v>
      </c>
      <c r="L61" s="232" t="str">
        <f>IF(AD61="◎",COUNTIF($AD$15:AD61,"◎"),"")</f>
        <v/>
      </c>
      <c r="W61" s="231" t="str">
        <f>IF(B61="既設病床",はじめに入力してください!$K$12,IF(B61="新設病床",はじめに入力してください!$K$13,IF(B61="共通使用",1,"")))</f>
        <v/>
      </c>
      <c r="AC61" s="28" t="s">
        <v>69</v>
      </c>
      <c r="AD61" s="231" t="str">
        <f t="shared" si="2"/>
        <v>○</v>
      </c>
      <c r="AE61" s="35" t="str">
        <f t="shared" si="3"/>
        <v>申請しない場合は入力不要です。</v>
      </c>
      <c r="AF61" s="231" t="str">
        <f t="shared" si="4"/>
        <v>○</v>
      </c>
      <c r="AG61" s="231" t="str">
        <f t="shared" si="5"/>
        <v>○</v>
      </c>
      <c r="AH61" s="231" t="str">
        <f t="shared" si="6"/>
        <v>○</v>
      </c>
      <c r="AI61" s="231" t="str">
        <f t="shared" si="7"/>
        <v>○</v>
      </c>
      <c r="AJ61" s="14" t="str">
        <f t="shared" si="8"/>
        <v/>
      </c>
      <c r="AK61" s="12">
        <v>32</v>
      </c>
    </row>
    <row r="62" spans="1:37" ht="24.95" customHeight="1">
      <c r="A62" s="38">
        <v>48</v>
      </c>
      <c r="B62" s="313"/>
      <c r="C62" s="313"/>
      <c r="D62" s="313"/>
      <c r="E62" s="314"/>
      <c r="F62" s="315"/>
      <c r="G62" s="316"/>
      <c r="H62" s="316"/>
      <c r="I62" s="45">
        <f t="shared" si="0"/>
        <v>0</v>
      </c>
      <c r="J62" s="317"/>
      <c r="K62" s="45">
        <f t="shared" si="1"/>
        <v>0</v>
      </c>
      <c r="L62" s="232" t="str">
        <f>IF(AD62="◎",COUNTIF($AD$15:AD62,"◎"),"")</f>
        <v/>
      </c>
      <c r="W62" s="231" t="str">
        <f>IF(B62="既設病床",はじめに入力してください!$K$12,IF(B62="新設病床",はじめに入力してください!$K$13,IF(B62="共通使用",1,"")))</f>
        <v/>
      </c>
      <c r="AC62" s="28" t="s">
        <v>69</v>
      </c>
      <c r="AD62" s="231" t="str">
        <f t="shared" si="2"/>
        <v>○</v>
      </c>
      <c r="AE62" s="35" t="str">
        <f t="shared" si="3"/>
        <v>申請しない場合は入力不要です。</v>
      </c>
      <c r="AF62" s="231" t="str">
        <f t="shared" si="4"/>
        <v>○</v>
      </c>
      <c r="AG62" s="231" t="str">
        <f t="shared" si="5"/>
        <v>○</v>
      </c>
      <c r="AH62" s="231" t="str">
        <f t="shared" si="6"/>
        <v>○</v>
      </c>
      <c r="AI62" s="231" t="str">
        <f t="shared" si="7"/>
        <v>○</v>
      </c>
      <c r="AJ62" s="14" t="str">
        <f t="shared" si="8"/>
        <v/>
      </c>
      <c r="AK62" s="12">
        <v>32</v>
      </c>
    </row>
    <row r="63" spans="1:37" ht="24.95" customHeight="1">
      <c r="A63" s="38">
        <v>49</v>
      </c>
      <c r="B63" s="313"/>
      <c r="C63" s="313"/>
      <c r="D63" s="313"/>
      <c r="E63" s="314"/>
      <c r="F63" s="315"/>
      <c r="G63" s="316"/>
      <c r="H63" s="316"/>
      <c r="I63" s="45">
        <f t="shared" si="0"/>
        <v>0</v>
      </c>
      <c r="J63" s="317"/>
      <c r="K63" s="45">
        <f t="shared" si="1"/>
        <v>0</v>
      </c>
      <c r="L63" s="232" t="str">
        <f>IF(AD63="◎",COUNTIF($AD$15:AD63,"◎"),"")</f>
        <v/>
      </c>
      <c r="W63" s="231" t="str">
        <f>IF(B63="既設病床",はじめに入力してください!$K$12,IF(B63="新設病床",はじめに入力してください!$K$13,IF(B63="共通使用",1,"")))</f>
        <v/>
      </c>
      <c r="AC63" s="28" t="s">
        <v>69</v>
      </c>
      <c r="AD63" s="231" t="str">
        <f t="shared" si="2"/>
        <v>○</v>
      </c>
      <c r="AE63" s="35" t="str">
        <f t="shared" si="3"/>
        <v>申請しない場合は入力不要です。</v>
      </c>
      <c r="AF63" s="231" t="str">
        <f t="shared" si="4"/>
        <v>○</v>
      </c>
      <c r="AG63" s="231" t="str">
        <f t="shared" si="5"/>
        <v>○</v>
      </c>
      <c r="AH63" s="231" t="str">
        <f t="shared" si="6"/>
        <v>○</v>
      </c>
      <c r="AI63" s="231" t="str">
        <f t="shared" si="7"/>
        <v>○</v>
      </c>
      <c r="AJ63" s="14" t="str">
        <f t="shared" si="8"/>
        <v/>
      </c>
      <c r="AK63" s="12">
        <v>32</v>
      </c>
    </row>
    <row r="64" spans="1:37" ht="24.95" customHeight="1">
      <c r="A64" s="38">
        <v>50</v>
      </c>
      <c r="B64" s="313"/>
      <c r="C64" s="313"/>
      <c r="D64" s="313"/>
      <c r="E64" s="314"/>
      <c r="F64" s="315"/>
      <c r="G64" s="316"/>
      <c r="H64" s="316"/>
      <c r="I64" s="45">
        <f t="shared" si="0"/>
        <v>0</v>
      </c>
      <c r="J64" s="317"/>
      <c r="K64" s="45">
        <f t="shared" si="1"/>
        <v>0</v>
      </c>
      <c r="L64" s="232" t="str">
        <f>IF(AD64="◎",COUNTIF($AD$15:AD64,"◎"),"")</f>
        <v/>
      </c>
      <c r="W64" s="231" t="str">
        <f>IF(B64="既設病床",はじめに入力してください!$K$12,IF(B64="新設病床",はじめに入力してください!$K$13,IF(B64="共通使用",1,"")))</f>
        <v/>
      </c>
      <c r="AC64" s="28" t="s">
        <v>69</v>
      </c>
      <c r="AD64" s="231" t="str">
        <f t="shared" si="2"/>
        <v>○</v>
      </c>
      <c r="AE64" s="35" t="str">
        <f t="shared" si="3"/>
        <v>申請しない場合は入力不要です。</v>
      </c>
      <c r="AF64" s="231" t="str">
        <f t="shared" si="4"/>
        <v>○</v>
      </c>
      <c r="AG64" s="231" t="str">
        <f t="shared" si="5"/>
        <v>○</v>
      </c>
      <c r="AH64" s="231" t="str">
        <f t="shared" si="6"/>
        <v>○</v>
      </c>
      <c r="AI64" s="231" t="str">
        <f t="shared" si="7"/>
        <v>○</v>
      </c>
      <c r="AJ64" s="14" t="str">
        <f t="shared" si="8"/>
        <v/>
      </c>
      <c r="AK64" s="12">
        <v>32</v>
      </c>
    </row>
  </sheetData>
  <sheetProtection algorithmName="SHA-512" hashValue="7nGzgcpjcJ45RIerPMwidkZiLu9QOs29HpCqHHMQ8/d3n8vdH7W9mXeTKK2awhZVGEty4brwzzQIZT/UxUxzYg==" saltValue="yquWKtJhcNNYUJB7fs8Qdg==" spinCount="100000" sheet="1" insertRows="0"/>
  <mergeCells count="28">
    <mergeCell ref="BS17:BW19"/>
    <mergeCell ref="B13:D13"/>
    <mergeCell ref="E13:F13"/>
    <mergeCell ref="G13:J13"/>
    <mergeCell ref="K13:K14"/>
    <mergeCell ref="L13:L14"/>
    <mergeCell ref="AY17:BC17"/>
    <mergeCell ref="BD17:BH17"/>
    <mergeCell ref="AY18:BC22"/>
    <mergeCell ref="BD18:BH22"/>
    <mergeCell ref="BR18:BR19"/>
    <mergeCell ref="BQ18:BQ19"/>
    <mergeCell ref="H2:L2"/>
    <mergeCell ref="AD5:AD6"/>
    <mergeCell ref="AE5:AE6"/>
    <mergeCell ref="AD7:AD12"/>
    <mergeCell ref="AE7:AE12"/>
    <mergeCell ref="B12:L12"/>
    <mergeCell ref="K8:L8"/>
    <mergeCell ref="H8:I8"/>
    <mergeCell ref="H9:I10"/>
    <mergeCell ref="K9:L10"/>
    <mergeCell ref="F2:G2"/>
    <mergeCell ref="B3:L6"/>
    <mergeCell ref="B8:C8"/>
    <mergeCell ref="B9:C9"/>
    <mergeCell ref="B10:C10"/>
    <mergeCell ref="J9:J10"/>
  </mergeCells>
  <phoneticPr fontId="1"/>
  <conditionalFormatting sqref="AY18">
    <cfRule type="containsText" dxfId="111" priority="10" operator="containsText" text="（補助対象員数）">
      <formula>NOT(ISERROR(SEARCH("（補助対象員数）",AY18)))</formula>
    </cfRule>
  </conditionalFormatting>
  <conditionalFormatting sqref="AE15:AF64">
    <cfRule type="containsText" dxfId="110" priority="9" operator="containsText" text="【不備の点】">
      <formula>NOT(ISERROR(SEARCH("【不備の点】",AE15)))</formula>
    </cfRule>
  </conditionalFormatting>
  <conditionalFormatting sqref="AD15:AD64">
    <cfRule type="containsText" dxfId="109" priority="8" operator="containsText" text="×">
      <formula>NOT(ISERROR(SEARCH("×",AD15)))</formula>
    </cfRule>
  </conditionalFormatting>
  <conditionalFormatting sqref="BD18:BG22">
    <cfRule type="containsText" dxfId="108" priority="7" operator="containsText" text="要修正">
      <formula>NOT(ISERROR(SEARCH("要修正",BD18)))</formula>
    </cfRule>
  </conditionalFormatting>
  <conditionalFormatting sqref="AY18:BC22">
    <cfRule type="containsText" dxfId="107" priority="6" operator="containsText" text="【未入力有】">
      <formula>NOT(ISERROR(SEARCH("【未入力有】",AY18)))</formula>
    </cfRule>
  </conditionalFormatting>
  <conditionalFormatting sqref="BP18:BQ19">
    <cfRule type="containsText" dxfId="106" priority="5" operator="containsText" text="×">
      <formula>NOT(ISERROR(SEARCH("×",BP18)))</formula>
    </cfRule>
  </conditionalFormatting>
  <conditionalFormatting sqref="BR18:BR19">
    <cfRule type="containsText" dxfId="105" priority="4" operator="containsText" text="要修正">
      <formula>NOT(ISERROR(SEARCH("要修正",BR18)))</formula>
    </cfRule>
  </conditionalFormatting>
  <conditionalFormatting sqref="AD7:AD12">
    <cfRule type="containsText" dxfId="104" priority="2" operator="containsText" text="×">
      <formula>NOT(ISERROR(SEARCH("×",AD7)))</formula>
    </cfRule>
  </conditionalFormatting>
  <conditionalFormatting sqref="AE7:AE12">
    <cfRule type="containsText" dxfId="103" priority="1" operator="containsText" text="要修正">
      <formula>NOT(ISERROR(SEARCH("要修正",AE7)))</formula>
    </cfRule>
  </conditionalFormatting>
  <dataValidations xWindow="416" yWindow="507" count="8">
    <dataValidation allowBlank="1" showInputMessage="1" showErrorMessage="1" promptTitle="規格及び数量の入力" prompt="補助対象経費を計上する際、いずれも入力してください。" sqref="E15:F64"/>
    <dataValidation allowBlank="1" showInputMessage="1" showErrorMessage="1" promptTitle="単価の入力" prompt="税抜額または税込額のいずれかを入力してください。_x000a_入力しない方は「0」は入力せず、空欄としてください。" sqref="G15:H64"/>
    <dataValidation allowBlank="1" showInputMessage="1" showErrorMessage="1" promptTitle="添付書類番号" prompt="種類、規格、数量、単価が全て適切に入力され、右の「判定」が「◎」と表示されると自動で番号が表示されます。" sqref="L15:L64"/>
    <dataValidation allowBlank="1" showInputMessage="1" showErrorMessage="1" promptTitle="金額の表示" prompt="数式が入力されているため、自動計算されます。" sqref="K15:K64 I15:I64"/>
    <dataValidation type="list" allowBlank="1" showInputMessage="1" showErrorMessage="1" promptTitle="設備、備品、その他の別を選択" prompt="当該行に記載する品目が_x000a_・「設備」（換気扇等立て付けのもの）_x000a_・備品（機材、什器等）_x000a_・その他（上記の該当しないもの）_x000a_の別をプルダウンから選択してください。" sqref="D15:D64">
      <formula1>"設備,備品,その他"</formula1>
    </dataValidation>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15:J64">
      <formula1>"補助対象,補助対象外"</formula1>
    </dataValidation>
    <dataValidation allowBlank="1" showInputMessage="1" showErrorMessage="1" promptTitle="割引額がある場合は入力" prompt="割引がない場合は「0円」のままとしてください。" sqref="J9:J10"/>
    <dataValidation allowBlank="1" showInputMessage="1" showErrorMessage="1" promptTitle="補助対象金額" prompt="補助対象額×（見積書金額-割引額）/見積書金額_x000a_で算出されます。" sqref="K9:L10"/>
  </dataValidations>
  <printOptions horizontalCentered="1"/>
  <pageMargins left="0.59055118110236227" right="0.39370078740157483" top="0.39370078740157483" bottom="0.39370078740157483" header="0.31496062992125984" footer="0.31496062992125984"/>
  <pageSetup paperSize="9" scale="56" fitToWidth="0" orientation="portrait" r:id="rId1"/>
  <drawing r:id="rId2"/>
  <legacyDrawing r:id="rId3"/>
  <extLst>
    <ext xmlns:x14="http://schemas.microsoft.com/office/spreadsheetml/2009/9/main" uri="{CCE6A557-97BC-4b89-ADB6-D9C93CAAB3DF}">
      <x14:dataValidations xmlns:xm="http://schemas.microsoft.com/office/excel/2006/main" xWindow="416" yWindow="507" count="2">
        <x14:dataValidation type="list" allowBlank="1" showInputMessage="1" showErrorMessage="1" promptTitle="「用途先」病床の選択（左の「病床」を選択しないと表示されません。" prompt="ベッドに必ずしも紐付けるものではありませんが、１病床１台で紐付けした場合、不足する病床に番号付けをした場合の番号を選択してください。_x000a_（例）_x000a_　既存の設備２台_x000a_　既設病床２床、新設病床３床の場合_x000a_→既存の設備２台は、既設病床１～２に配備_x000a_　３台申請する場合は「新設病床１」～「新設病床３」を選択して品目等必要情報を入力">
          <x14:formula1>
            <xm:f>OFFSET( はじめに入力してください!$AO$41, 0, MATCH(B15,はじめに入力してください!$AP$40:$AR$40,0), COUNTA(OFFSET(はじめに入力してください!$AO$41,0,MATCH(B15,はじめに入力してください!$AP$40:$AR$40,0),W15,1)),1)</xm:f>
          </x14:formula1>
          <xm:sqref>C15:C64</xm:sqref>
        </x14:dataValidation>
        <x14:dataValidation type="list" allowBlank="1" showInputMessage="1" showErrorMessage="1" promptTitle="配備する病床の「新設」「既設」の別を選択" prompt="ベッドに必ずしも紐付けるものではありませんが、１病床１台で紐付けした場合、配備する病床が_x000a_・令和３年度までにコロナ対応病床として指定済のものか_x000a_・令和４年度に指定を受けた・指定予定か_x000a_いずれかを選択してください。">
          <x14:formula1>
            <xm:f>はじめに入力してください!$AO$41:$AO$43</xm:f>
          </x14:formula1>
          <xm:sqref>B15:B64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転記用</vt:lpstr>
      <vt:lpstr>はじめに入力してください</vt:lpstr>
      <vt:lpstr>振込先情報</vt:lpstr>
      <vt:lpstr>表紙</vt:lpstr>
      <vt:lpstr>請求書</vt:lpstr>
      <vt:lpstr>経費書</vt:lpstr>
      <vt:lpstr>額内訳書</vt:lpstr>
      <vt:lpstr>歳入歳出抄本</vt:lpstr>
      <vt:lpstr>初度設備明細 </vt:lpstr>
      <vt:lpstr>人工呼吸器明細</vt:lpstr>
      <vt:lpstr>個人防護具明細</vt:lpstr>
      <vt:lpstr>簡易陰圧装置明細 </vt:lpstr>
      <vt:lpstr>簡易病室明細</vt:lpstr>
      <vt:lpstr>超音波画像診断装置</vt:lpstr>
      <vt:lpstr>血液浄化装置明細</vt:lpstr>
      <vt:lpstr>気管支鏡</vt:lpstr>
      <vt:lpstr>CT撮影装置明細</vt:lpstr>
      <vt:lpstr>生体情報モニタ</vt:lpstr>
      <vt:lpstr>分娩監視装置</vt:lpstr>
      <vt:lpstr>新生児モニタ </vt:lpstr>
      <vt:lpstr>リスト</vt:lpstr>
      <vt:lpstr>CT撮影装置明細!Print_Area</vt:lpstr>
      <vt:lpstr>はじめに入力してください!Print_Area</vt:lpstr>
      <vt:lpstr>リスト!Print_Area</vt:lpstr>
      <vt:lpstr>額内訳書!Print_Area</vt:lpstr>
      <vt:lpstr>'簡易陰圧装置明細 '!Print_Area</vt:lpstr>
      <vt:lpstr>簡易病室明細!Print_Area</vt:lpstr>
      <vt:lpstr>気管支鏡!Print_Area</vt:lpstr>
      <vt:lpstr>経費書!Print_Area</vt:lpstr>
      <vt:lpstr>血液浄化装置明細!Print_Area</vt:lpstr>
      <vt:lpstr>個人防護具明細!Print_Area</vt:lpstr>
      <vt:lpstr>歳入歳出抄本!Print_Area</vt:lpstr>
      <vt:lpstr>'初度設備明細 '!Print_Area</vt:lpstr>
      <vt:lpstr>振込先情報!Print_Area</vt:lpstr>
      <vt:lpstr>'新生児モニタ '!Print_Area</vt:lpstr>
      <vt:lpstr>人工呼吸器明細!Print_Area</vt:lpstr>
      <vt:lpstr>生体情報モニタ!Print_Area</vt:lpstr>
      <vt:lpstr>請求書!Print_Area</vt:lpstr>
      <vt:lpstr>超音波画像診断装置!Print_Area</vt:lpstr>
      <vt:lpstr>表紙!Print_Area</vt:lpstr>
      <vt:lpstr>分娩監視装置!Print_Area</vt:lpstr>
      <vt:lpstr>額内訳書!Print_Titles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2022-06-01T06:24:26Z</cp:lastPrinted>
  <dcterms:created xsi:type="dcterms:W3CDTF">2021-01-14T08:33:35Z</dcterms:created>
  <dcterms:modified xsi:type="dcterms:W3CDTF">2022-08-12T05:36:55Z</dcterms:modified>
</cp:coreProperties>
</file>